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2\"/>
    </mc:Choice>
  </mc:AlternateContent>
  <xr:revisionPtr revIDLastSave="0" documentId="13_ncr:1_{0DDD2C93-FED3-4218-8FC2-E4E34CF4FCEC}"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11" r:id="rId3"/>
    <sheet name="PLAT" sheetId="2" r:id="rId4"/>
    <sheet name="Runsheet" sheetId="112" r:id="rId5"/>
    <sheet name="Tract 1" sheetId="36" r:id="rId6"/>
    <sheet name="Tract 2" sheetId="114" r:id="rId7"/>
    <sheet name="Tract 3" sheetId="115" r:id="rId8"/>
    <sheet name="Tract 4" sheetId="116" r:id="rId9"/>
    <sheet name="Tract 5" sheetId="117" r:id="rId10"/>
    <sheet name="Tract 6" sheetId="118" r:id="rId11"/>
    <sheet name="Tract 7" sheetId="119" r:id="rId12"/>
    <sheet name="Tract 8" sheetId="120" r:id="rId13"/>
    <sheet name="Tract 9" sheetId="121" r:id="rId14"/>
    <sheet name="Tract 10" sheetId="122" r:id="rId15"/>
    <sheet name="WI 1" sheetId="27" r:id="rId16"/>
    <sheet name="WI 2" sheetId="124" r:id="rId17"/>
    <sheet name="Well 1" sheetId="25" r:id="rId18"/>
    <sheet name="rawdata" sheetId="53" r:id="rId19"/>
  </sheets>
  <externalReferences>
    <externalReference r:id="rId20"/>
    <externalReference r:id="rId21"/>
    <externalReference r:id="rId22"/>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'!$A$7:$G$7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Runsheet!$A$1:$O$565</definedName>
    <definedName name="_xlnm.Print_Area" localSheetId="1">'Title '!$A$1:$G$220</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calcPr fullCalcOnLoad="1"/>
</workbook>
</file>

<file path=xl/calcChain.xml><?xml version="1.0" encoding="utf-8"?>
<calcChain xmlns="http://schemas.openxmlformats.org/spreadsheetml/2006/main">
  <c r="C211" i="14" l="1"/>
  <c r="C175" i="14"/>
  <c r="C176" i="14" s="1"/>
  <c r="C164" i="14"/>
  <c r="C165" i="14" s="1"/>
  <c r="C155" i="14"/>
  <c r="C154" i="14" s="1"/>
  <c r="C144" i="14"/>
  <c r="C145" i="14" s="1"/>
  <c r="C124" i="14"/>
  <c r="C125" i="14" s="1"/>
  <c r="C126" i="14" s="1"/>
  <c r="C96" i="14"/>
  <c r="C97" i="14" s="1"/>
  <c r="C14" i="14"/>
  <c r="C15" i="14" s="1"/>
  <c r="C156" i="14" l="1"/>
  <c r="E142" i="124" l="1"/>
  <c r="C142" i="124" s="1"/>
  <c r="E141" i="124"/>
  <c r="C141" i="124" s="1"/>
  <c r="E140" i="124"/>
  <c r="C140" i="124" s="1"/>
  <c r="E139" i="124"/>
  <c r="C139" i="124" s="1"/>
  <c r="E138" i="124"/>
  <c r="C138" i="124" s="1"/>
  <c r="E137" i="124"/>
  <c r="C137" i="124" s="1"/>
  <c r="E136" i="124"/>
  <c r="C136" i="124" s="1"/>
  <c r="E135" i="124"/>
  <c r="C135" i="124" s="1"/>
  <c r="E134" i="124"/>
  <c r="C134" i="124" s="1"/>
  <c r="E133" i="124"/>
  <c r="C133" i="124" s="1"/>
  <c r="E132" i="124"/>
  <c r="C132" i="124" s="1"/>
  <c r="E131" i="124"/>
  <c r="C131" i="124" s="1"/>
  <c r="E130" i="124"/>
  <c r="C130" i="124" s="1"/>
  <c r="E129" i="124"/>
  <c r="C129" i="124" s="1"/>
  <c r="E128" i="124"/>
  <c r="C128" i="124" s="1"/>
  <c r="E127" i="124"/>
  <c r="C127" i="124" s="1"/>
  <c r="E126" i="124"/>
  <c r="C126" i="124" s="1"/>
  <c r="E125" i="124"/>
  <c r="C125" i="124" s="1"/>
  <c r="E124" i="124"/>
  <c r="C124" i="124" s="1"/>
  <c r="E123" i="124"/>
  <c r="C123" i="124" s="1"/>
  <c r="E122" i="124"/>
  <c r="C122" i="124" s="1"/>
  <c r="E121" i="124"/>
  <c r="C121" i="124" s="1"/>
  <c r="E120" i="124"/>
  <c r="C120" i="124" s="1"/>
  <c r="E119" i="124"/>
  <c r="C119" i="124" s="1"/>
  <c r="E118" i="124"/>
  <c r="C118" i="124" s="1"/>
  <c r="E117" i="124"/>
  <c r="C117" i="124" s="1"/>
  <c r="E116" i="124"/>
  <c r="C116" i="124" s="1"/>
  <c r="E115" i="124"/>
  <c r="C115" i="124" s="1"/>
  <c r="E114" i="124"/>
  <c r="C114" i="124" s="1"/>
  <c r="E113" i="124"/>
  <c r="C113" i="124" s="1"/>
  <c r="E112" i="124"/>
  <c r="C112" i="124" s="1"/>
  <c r="E111" i="124"/>
  <c r="C111" i="124" s="1"/>
  <c r="E110" i="124"/>
  <c r="C110" i="124" s="1"/>
  <c r="E109" i="124"/>
  <c r="C109" i="124" s="1"/>
  <c r="E108" i="124"/>
  <c r="C108" i="124" s="1"/>
  <c r="E107" i="124"/>
  <c r="C107" i="124" s="1"/>
  <c r="E106" i="124"/>
  <c r="C106" i="124" s="1"/>
  <c r="E105" i="124"/>
  <c r="C105" i="124" s="1"/>
  <c r="E104" i="124"/>
  <c r="C104" i="124" s="1"/>
  <c r="E103" i="124"/>
  <c r="C103" i="124" s="1"/>
  <c r="E102" i="124"/>
  <c r="C102" i="124" s="1"/>
  <c r="E101" i="124"/>
  <c r="C101" i="124" s="1"/>
  <c r="E100" i="124"/>
  <c r="C100" i="124" s="1"/>
  <c r="E99" i="124"/>
  <c r="C99" i="124" s="1"/>
  <c r="E98" i="124"/>
  <c r="C98" i="124" s="1"/>
  <c r="E97" i="124"/>
  <c r="C97" i="124" s="1"/>
  <c r="E96" i="124"/>
  <c r="C96" i="124" s="1"/>
  <c r="E95" i="124"/>
  <c r="C95" i="124" s="1"/>
  <c r="E94" i="124"/>
  <c r="C94" i="124" s="1"/>
  <c r="E93" i="124"/>
  <c r="C93" i="124" s="1"/>
  <c r="E92" i="124"/>
  <c r="C92" i="124" s="1"/>
  <c r="E91" i="124"/>
  <c r="C91" i="124" s="1"/>
  <c r="E90" i="124"/>
  <c r="C90" i="124" s="1"/>
  <c r="E89" i="124"/>
  <c r="C89" i="124" s="1"/>
  <c r="E88" i="124"/>
  <c r="C88" i="124" s="1"/>
  <c r="E87" i="124"/>
  <c r="C87" i="124" s="1"/>
  <c r="E86" i="124"/>
  <c r="C86" i="124" s="1"/>
  <c r="E85" i="124"/>
  <c r="C85" i="124" s="1"/>
  <c r="E84" i="124"/>
  <c r="C84" i="124" s="1"/>
  <c r="E83" i="124"/>
  <c r="C83" i="124" s="1"/>
  <c r="E82" i="124"/>
  <c r="C82" i="124" s="1"/>
  <c r="E81" i="124"/>
  <c r="C81" i="124" s="1"/>
  <c r="E80" i="124"/>
  <c r="C80" i="124" s="1"/>
  <c r="E79" i="124"/>
  <c r="C79" i="124" s="1"/>
  <c r="E78" i="124"/>
  <c r="C78" i="124" s="1"/>
  <c r="E77" i="124"/>
  <c r="C77" i="124" s="1"/>
  <c r="E76" i="124"/>
  <c r="C76" i="124" s="1"/>
  <c r="E75" i="124"/>
  <c r="C75" i="124" s="1"/>
  <c r="E74" i="124"/>
  <c r="C74" i="124" s="1"/>
  <c r="E73" i="124"/>
  <c r="C73" i="124" s="1"/>
  <c r="E72" i="124"/>
  <c r="C72" i="124" s="1"/>
  <c r="E71" i="124"/>
  <c r="C71" i="124" s="1"/>
  <c r="E70" i="124"/>
  <c r="C70" i="124" s="1"/>
  <c r="E69" i="124"/>
  <c r="C69" i="124" s="1"/>
  <c r="E68" i="124"/>
  <c r="C68" i="124" s="1"/>
  <c r="E67" i="124"/>
  <c r="C67" i="124" s="1"/>
  <c r="E66" i="124"/>
  <c r="C66" i="124" s="1"/>
  <c r="E65" i="124"/>
  <c r="C65" i="124" s="1"/>
  <c r="E64" i="124"/>
  <c r="C64" i="124" s="1"/>
  <c r="E63" i="124"/>
  <c r="C63" i="124" s="1"/>
  <c r="E62" i="124"/>
  <c r="C62" i="124" s="1"/>
  <c r="E61" i="124"/>
  <c r="C61" i="124" s="1"/>
  <c r="E60" i="124"/>
  <c r="C60" i="124" s="1"/>
  <c r="E59" i="124"/>
  <c r="C59" i="124" s="1"/>
  <c r="E58" i="124"/>
  <c r="C58" i="124" s="1"/>
  <c r="E57" i="124"/>
  <c r="C57" i="124" s="1"/>
  <c r="E56" i="124"/>
  <c r="C56" i="124" s="1"/>
  <c r="E55" i="124"/>
  <c r="C55" i="124" s="1"/>
  <c r="E54" i="124"/>
  <c r="C54" i="124" s="1"/>
  <c r="E53" i="124"/>
  <c r="C53" i="124" s="1"/>
  <c r="E52" i="124"/>
  <c r="C52" i="124" s="1"/>
  <c r="E51" i="124"/>
  <c r="C51" i="124" s="1"/>
  <c r="E50" i="124"/>
  <c r="C50" i="124" s="1"/>
  <c r="E49" i="124"/>
  <c r="C49" i="124" s="1"/>
  <c r="E48" i="124"/>
  <c r="C48" i="124" s="1"/>
  <c r="E47" i="124"/>
  <c r="C47" i="124" s="1"/>
  <c r="E46" i="124"/>
  <c r="C46" i="124" s="1"/>
  <c r="E45" i="124"/>
  <c r="C45" i="124" s="1"/>
  <c r="E44" i="124"/>
  <c r="C44" i="124" s="1"/>
  <c r="E43" i="124"/>
  <c r="C43" i="124" s="1"/>
  <c r="E42" i="124"/>
  <c r="C42" i="124" s="1"/>
  <c r="E41" i="124"/>
  <c r="C41" i="124" s="1"/>
  <c r="E40" i="124"/>
  <c r="C40" i="124" s="1"/>
  <c r="E39" i="124"/>
  <c r="C39" i="124" s="1"/>
  <c r="E38" i="124"/>
  <c r="C38" i="124" s="1"/>
  <c r="E37" i="124"/>
  <c r="C37" i="124" s="1"/>
  <c r="E36" i="124"/>
  <c r="C36" i="124" s="1"/>
  <c r="E35" i="124"/>
  <c r="C35" i="124" s="1"/>
  <c r="E34" i="124"/>
  <c r="C34" i="124" s="1"/>
  <c r="E33" i="124"/>
  <c r="C33" i="124" s="1"/>
  <c r="E32" i="124"/>
  <c r="C32" i="124" s="1"/>
  <c r="E31" i="124"/>
  <c r="C31" i="124" s="1"/>
  <c r="E30" i="124"/>
  <c r="C30" i="124" s="1"/>
  <c r="E29" i="124"/>
  <c r="C29" i="124" s="1"/>
  <c r="E28" i="124"/>
  <c r="C28" i="124" s="1"/>
  <c r="E27" i="124"/>
  <c r="C27" i="124" s="1"/>
  <c r="E26" i="124"/>
  <c r="C26" i="124" s="1"/>
  <c r="E25" i="124"/>
  <c r="C25" i="124" s="1"/>
  <c r="E24" i="124"/>
  <c r="C24" i="124" s="1"/>
  <c r="E23" i="124"/>
  <c r="C23" i="124" s="1"/>
  <c r="E22" i="124"/>
  <c r="C22" i="124" s="1"/>
  <c r="E21" i="124"/>
  <c r="C21" i="124" s="1"/>
  <c r="E20" i="124"/>
  <c r="C20" i="124" s="1"/>
  <c r="E19" i="124"/>
  <c r="C19" i="124" s="1"/>
  <c r="E18" i="124"/>
  <c r="C18" i="124" s="1"/>
  <c r="E17" i="124"/>
  <c r="C17" i="124" s="1"/>
  <c r="E16" i="124"/>
  <c r="C16" i="124" s="1"/>
  <c r="E15" i="124"/>
  <c r="C15" i="124" s="1"/>
  <c r="E14" i="124"/>
  <c r="C14" i="124" s="1"/>
  <c r="E13" i="124"/>
  <c r="C13" i="124" s="1"/>
  <c r="E12" i="124"/>
  <c r="C12" i="124" s="1"/>
  <c r="E11" i="124"/>
  <c r="C11" i="124" s="1"/>
  <c r="E10" i="124"/>
  <c r="C10" i="124" s="1"/>
  <c r="E9" i="124"/>
  <c r="C9" i="124" s="1"/>
  <c r="FQ6" i="124"/>
  <c r="FQ5" i="124" s="1"/>
  <c r="FP6" i="124"/>
  <c r="FP5" i="124" s="1"/>
  <c r="FO6" i="124"/>
  <c r="FO5" i="124" s="1"/>
  <c r="FN6" i="124"/>
  <c r="FN5" i="124" s="1"/>
  <c r="FM6" i="124"/>
  <c r="FM5" i="124" s="1"/>
  <c r="FL6" i="124"/>
  <c r="FL5" i="124" s="1"/>
  <c r="FK6" i="124"/>
  <c r="FK5" i="124" s="1"/>
  <c r="FJ6" i="124"/>
  <c r="FJ5" i="124" s="1"/>
  <c r="FI6" i="124"/>
  <c r="FI5" i="124" s="1"/>
  <c r="FH6" i="124"/>
  <c r="FH5" i="124" s="1"/>
  <c r="FG6" i="124"/>
  <c r="FG5" i="124" s="1"/>
  <c r="FF6" i="124"/>
  <c r="FF5" i="124" s="1"/>
  <c r="FE6" i="124"/>
  <c r="FE5" i="124" s="1"/>
  <c r="FD6" i="124"/>
  <c r="FD5" i="124" s="1"/>
  <c r="FC6" i="124"/>
  <c r="FC5" i="124" s="1"/>
  <c r="FB6" i="124"/>
  <c r="FB5" i="124" s="1"/>
  <c r="FA6" i="124"/>
  <c r="FA5" i="124" s="1"/>
  <c r="EZ6" i="124"/>
  <c r="EZ5" i="124" s="1"/>
  <c r="EY6" i="124"/>
  <c r="EY5" i="124" s="1"/>
  <c r="EX6" i="124"/>
  <c r="EX5" i="124" s="1"/>
  <c r="EW6" i="124"/>
  <c r="EW5" i="124" s="1"/>
  <c r="EV6" i="124"/>
  <c r="EV5" i="124" s="1"/>
  <c r="EU6" i="124"/>
  <c r="EU5" i="124" s="1"/>
  <c r="ET6" i="124"/>
  <c r="ET5" i="124" s="1"/>
  <c r="ES6" i="124"/>
  <c r="ES5" i="124" s="1"/>
  <c r="ER6" i="124"/>
  <c r="ER5" i="124" s="1"/>
  <c r="EQ6" i="124"/>
  <c r="EQ5" i="124" s="1"/>
  <c r="EP6" i="124"/>
  <c r="EP5" i="124" s="1"/>
  <c r="EO6" i="124"/>
  <c r="EO5" i="124" s="1"/>
  <c r="EN6" i="124"/>
  <c r="EN5" i="124" s="1"/>
  <c r="EM6" i="124"/>
  <c r="EM5" i="124" s="1"/>
  <c r="EL6" i="124"/>
  <c r="EL5" i="124" s="1"/>
  <c r="EK6" i="124"/>
  <c r="EK5" i="124" s="1"/>
  <c r="EJ6" i="124"/>
  <c r="EJ5" i="124" s="1"/>
  <c r="EI6" i="124"/>
  <c r="EI5" i="124" s="1"/>
  <c r="EH6" i="124"/>
  <c r="EH5" i="124" s="1"/>
  <c r="EG6" i="124"/>
  <c r="EG5" i="124" s="1"/>
  <c r="EF6" i="124"/>
  <c r="EF5" i="124" s="1"/>
  <c r="EE6" i="124"/>
  <c r="EE5" i="124" s="1"/>
  <c r="ED6" i="124"/>
  <c r="ED5" i="124" s="1"/>
  <c r="EC6" i="124"/>
  <c r="EC5" i="124" s="1"/>
  <c r="EB6" i="124"/>
  <c r="EB5" i="124" s="1"/>
  <c r="EA6" i="124"/>
  <c r="EA5" i="124" s="1"/>
  <c r="DZ6" i="124"/>
  <c r="DZ5" i="124" s="1"/>
  <c r="DY6" i="124"/>
  <c r="DY5" i="124" s="1"/>
  <c r="DX6" i="124"/>
  <c r="DX5" i="124" s="1"/>
  <c r="DW6" i="124"/>
  <c r="DW5" i="124" s="1"/>
  <c r="DV6" i="124"/>
  <c r="DV5" i="124" s="1"/>
  <c r="DU6" i="124"/>
  <c r="DU5" i="124" s="1"/>
  <c r="DT6" i="124"/>
  <c r="DT5" i="124" s="1"/>
  <c r="DS6" i="124"/>
  <c r="DS5" i="124" s="1"/>
  <c r="DR6" i="124"/>
  <c r="DR5" i="124" s="1"/>
  <c r="DQ6" i="124"/>
  <c r="DQ5" i="124" s="1"/>
  <c r="DP6" i="124"/>
  <c r="DP5" i="124" s="1"/>
  <c r="DO6" i="124"/>
  <c r="DO5" i="124" s="1"/>
  <c r="DN6" i="124"/>
  <c r="DN5" i="124" s="1"/>
  <c r="DM6" i="124"/>
  <c r="DM5" i="124" s="1"/>
  <c r="DL6" i="124"/>
  <c r="DL5" i="124" s="1"/>
  <c r="DK6" i="124"/>
  <c r="DK5" i="124" s="1"/>
  <c r="DJ6" i="124"/>
  <c r="DJ5" i="124" s="1"/>
  <c r="DI6" i="124"/>
  <c r="DI5" i="124" s="1"/>
  <c r="DH6" i="124"/>
  <c r="DH5" i="124" s="1"/>
  <c r="DG6" i="124"/>
  <c r="DG5" i="124" s="1"/>
  <c r="DF6" i="124"/>
  <c r="DF5" i="124" s="1"/>
  <c r="DE6" i="124"/>
  <c r="DE5" i="124" s="1"/>
  <c r="DD6" i="124"/>
  <c r="DD5" i="124" s="1"/>
  <c r="DC6" i="124"/>
  <c r="DC5" i="124" s="1"/>
  <c r="DB6" i="124"/>
  <c r="DB5" i="124" s="1"/>
  <c r="DA6" i="124"/>
  <c r="DA5" i="124" s="1"/>
  <c r="CZ6" i="124"/>
  <c r="CZ5" i="124" s="1"/>
  <c r="CY6" i="124"/>
  <c r="CY5" i="124" s="1"/>
  <c r="CX6" i="124"/>
  <c r="CX5" i="124" s="1"/>
  <c r="CW6" i="124"/>
  <c r="CW5" i="124" s="1"/>
  <c r="CV6" i="124"/>
  <c r="CV5" i="124" s="1"/>
  <c r="CU6" i="124"/>
  <c r="CU5" i="124" s="1"/>
  <c r="CT6" i="124"/>
  <c r="CT5" i="124" s="1"/>
  <c r="CS6" i="124"/>
  <c r="CS5" i="124" s="1"/>
  <c r="CR6" i="124"/>
  <c r="CR5" i="124" s="1"/>
  <c r="CQ6" i="124"/>
  <c r="CQ5" i="124" s="1"/>
  <c r="CP6" i="124"/>
  <c r="CP5" i="124" s="1"/>
  <c r="CO6" i="124"/>
  <c r="CO5" i="124" s="1"/>
  <c r="CN6" i="124"/>
  <c r="CN5" i="124" s="1"/>
  <c r="CM6" i="124"/>
  <c r="CM5" i="124" s="1"/>
  <c r="CL6" i="124"/>
  <c r="CL5" i="124" s="1"/>
  <c r="CK6" i="124"/>
  <c r="CK5" i="124" s="1"/>
  <c r="CJ6" i="124"/>
  <c r="CJ5" i="124" s="1"/>
  <c r="CI6" i="124"/>
  <c r="CI5" i="124" s="1"/>
  <c r="CH6" i="124"/>
  <c r="CH5" i="124" s="1"/>
  <c r="CG6" i="124"/>
  <c r="CG5" i="124" s="1"/>
  <c r="CF6" i="124"/>
  <c r="CF5" i="124" s="1"/>
  <c r="CE6" i="124"/>
  <c r="CE5" i="124" s="1"/>
  <c r="CD6" i="124"/>
  <c r="CD5" i="124" s="1"/>
  <c r="CC6" i="124"/>
  <c r="CC5" i="124" s="1"/>
  <c r="CB6" i="124"/>
  <c r="CB5" i="124" s="1"/>
  <c r="CA6" i="124"/>
  <c r="CA5" i="124" s="1"/>
  <c r="BZ6" i="124"/>
  <c r="BZ5" i="124" s="1"/>
  <c r="BY6" i="124"/>
  <c r="BY5" i="124" s="1"/>
  <c r="BX6" i="124"/>
  <c r="BX5" i="124" s="1"/>
  <c r="BW6" i="124"/>
  <c r="BW5" i="124" s="1"/>
  <c r="BV6" i="124"/>
  <c r="BV5" i="124" s="1"/>
  <c r="BU6" i="124"/>
  <c r="BU5" i="124" s="1"/>
  <c r="BT6" i="124"/>
  <c r="BT5" i="124" s="1"/>
  <c r="BS6" i="124"/>
  <c r="BS5" i="124" s="1"/>
  <c r="BR6" i="124"/>
  <c r="BR5" i="124" s="1"/>
  <c r="BQ6" i="124"/>
  <c r="BQ5" i="124" s="1"/>
  <c r="BP6" i="124"/>
  <c r="BP5" i="124" s="1"/>
  <c r="BO6" i="124"/>
  <c r="BO5" i="124" s="1"/>
  <c r="BN6" i="124"/>
  <c r="BN5" i="124" s="1"/>
  <c r="BM6" i="124"/>
  <c r="BM5" i="124" s="1"/>
  <c r="BL6" i="124"/>
  <c r="BL5" i="124" s="1"/>
  <c r="BK6" i="124"/>
  <c r="BK5" i="124" s="1"/>
  <c r="BJ6" i="124"/>
  <c r="BJ5" i="124" s="1"/>
  <c r="BI6" i="124"/>
  <c r="BI5" i="124" s="1"/>
  <c r="BH6" i="124"/>
  <c r="BH5" i="124" s="1"/>
  <c r="BG6" i="124"/>
  <c r="BG5" i="124" s="1"/>
  <c r="BF6" i="124"/>
  <c r="BF5" i="124" s="1"/>
  <c r="BE6" i="124"/>
  <c r="BE5" i="124" s="1"/>
  <c r="BD6" i="124"/>
  <c r="BD5" i="124" s="1"/>
  <c r="BC6" i="124"/>
  <c r="BC5" i="124" s="1"/>
  <c r="BB6" i="124"/>
  <c r="BB5" i="124" s="1"/>
  <c r="BA6" i="124"/>
  <c r="BA5" i="124" s="1"/>
  <c r="AZ6" i="124"/>
  <c r="AZ5" i="124" s="1"/>
  <c r="AY6" i="124"/>
  <c r="AY5" i="124" s="1"/>
  <c r="AX6" i="124"/>
  <c r="AX5" i="124" s="1"/>
  <c r="AW6" i="124"/>
  <c r="AW5" i="124" s="1"/>
  <c r="AV6" i="124"/>
  <c r="AV5" i="124" s="1"/>
  <c r="AU6" i="124"/>
  <c r="AU5" i="124" s="1"/>
  <c r="AT6" i="124"/>
  <c r="AT5" i="124" s="1"/>
  <c r="AS6" i="124"/>
  <c r="AS5" i="124" s="1"/>
  <c r="AR6" i="124"/>
  <c r="AR5" i="124" s="1"/>
  <c r="AQ6" i="124"/>
  <c r="AQ5" i="124" s="1"/>
  <c r="AP6" i="124"/>
  <c r="AP5" i="124" s="1"/>
  <c r="AO6" i="124"/>
  <c r="AO5" i="124" s="1"/>
  <c r="AN6" i="124"/>
  <c r="AN5" i="124" s="1"/>
  <c r="AM6" i="124"/>
  <c r="AM5" i="124" s="1"/>
  <c r="AL6" i="124"/>
  <c r="AL5" i="124" s="1"/>
  <c r="AK6" i="124"/>
  <c r="AK5" i="124" s="1"/>
  <c r="AJ6" i="124"/>
  <c r="AJ5" i="124" s="1"/>
  <c r="AI6" i="124"/>
  <c r="AI5" i="124" s="1"/>
  <c r="AH6" i="124"/>
  <c r="AH5" i="124" s="1"/>
  <c r="AG6" i="124"/>
  <c r="AG5" i="124" s="1"/>
  <c r="AF6" i="124"/>
  <c r="AF5" i="124" s="1"/>
  <c r="AE6" i="124"/>
  <c r="AE5" i="124" s="1"/>
  <c r="AD6" i="124"/>
  <c r="AD5" i="124" s="1"/>
  <c r="AC6" i="124"/>
  <c r="AC5" i="124" s="1"/>
  <c r="AB6" i="124"/>
  <c r="AB5" i="124" s="1"/>
  <c r="AA6" i="124"/>
  <c r="AA5" i="124" s="1"/>
  <c r="Z6" i="124"/>
  <c r="Z5" i="124" s="1"/>
  <c r="Y6" i="124"/>
  <c r="Y5" i="124" s="1"/>
  <c r="X6" i="124"/>
  <c r="X5" i="124" s="1"/>
  <c r="W6" i="124"/>
  <c r="W5" i="124" s="1"/>
  <c r="V6" i="124"/>
  <c r="V5" i="124" s="1"/>
  <c r="U6" i="124"/>
  <c r="U5" i="124" s="1"/>
  <c r="T6" i="124"/>
  <c r="T5" i="124" s="1"/>
  <c r="S6" i="124"/>
  <c r="S5" i="124" s="1"/>
  <c r="R6" i="124"/>
  <c r="R5" i="124" s="1"/>
  <c r="Q6" i="124"/>
  <c r="P6" i="124"/>
  <c r="P5" i="124" s="1"/>
  <c r="O6" i="124"/>
  <c r="O5" i="124" s="1"/>
  <c r="N6" i="124"/>
  <c r="N5" i="124" s="1"/>
  <c r="M6" i="124"/>
  <c r="M5" i="124" s="1"/>
  <c r="L6" i="124"/>
  <c r="L5" i="124" s="1"/>
  <c r="K6" i="124"/>
  <c r="K5" i="124" s="1"/>
  <c r="J6" i="124"/>
  <c r="I6" i="124"/>
  <c r="H6" i="124"/>
  <c r="G6" i="124"/>
  <c r="E203" i="122"/>
  <c r="C203" i="122" s="1"/>
  <c r="E202" i="122"/>
  <c r="C202" i="122" s="1"/>
  <c r="E201" i="122"/>
  <c r="C201" i="122" s="1"/>
  <c r="E200" i="122"/>
  <c r="C200" i="122" s="1"/>
  <c r="E199" i="122"/>
  <c r="C199" i="122" s="1"/>
  <c r="E198" i="122"/>
  <c r="C198" i="122" s="1"/>
  <c r="E197" i="122"/>
  <c r="C197" i="122" s="1"/>
  <c r="E196" i="122"/>
  <c r="C196" i="122" s="1"/>
  <c r="E195" i="122"/>
  <c r="C195" i="122" s="1"/>
  <c r="E194" i="122"/>
  <c r="C194" i="122" s="1"/>
  <c r="E193" i="122"/>
  <c r="C193" i="122" s="1"/>
  <c r="E192" i="122"/>
  <c r="C192" i="122" s="1"/>
  <c r="E191" i="122"/>
  <c r="C191" i="122" s="1"/>
  <c r="E190" i="122"/>
  <c r="C190" i="122" s="1"/>
  <c r="E189" i="122"/>
  <c r="C189" i="122" s="1"/>
  <c r="E188" i="122"/>
  <c r="C188" i="122" s="1"/>
  <c r="E187" i="122"/>
  <c r="C187" i="122" s="1"/>
  <c r="E186" i="122"/>
  <c r="C186" i="122" s="1"/>
  <c r="E185" i="122"/>
  <c r="C185" i="122" s="1"/>
  <c r="E184" i="122"/>
  <c r="C184" i="122" s="1"/>
  <c r="E183" i="122"/>
  <c r="C183" i="122" s="1"/>
  <c r="E182" i="122"/>
  <c r="C182" i="122" s="1"/>
  <c r="E181" i="122"/>
  <c r="C181" i="122" s="1"/>
  <c r="E180" i="122"/>
  <c r="C180" i="122" s="1"/>
  <c r="E179" i="122"/>
  <c r="C179" i="122" s="1"/>
  <c r="E178" i="122"/>
  <c r="C178" i="122" s="1"/>
  <c r="E177" i="122"/>
  <c r="C177" i="122" s="1"/>
  <c r="E176" i="122"/>
  <c r="C176" i="122" s="1"/>
  <c r="E175" i="122"/>
  <c r="C175" i="122" s="1"/>
  <c r="E174" i="122"/>
  <c r="C174" i="122" s="1"/>
  <c r="E173" i="122"/>
  <c r="C173" i="122" s="1"/>
  <c r="E172" i="122"/>
  <c r="C172" i="122" s="1"/>
  <c r="E171" i="122"/>
  <c r="C171" i="122" s="1"/>
  <c r="E170" i="122"/>
  <c r="C170" i="122" s="1"/>
  <c r="E169" i="122"/>
  <c r="C169" i="122" s="1"/>
  <c r="E168" i="122"/>
  <c r="C168" i="122" s="1"/>
  <c r="E167" i="122"/>
  <c r="C167" i="122" s="1"/>
  <c r="E166" i="122"/>
  <c r="C166" i="122" s="1"/>
  <c r="E165" i="122"/>
  <c r="C165" i="122" s="1"/>
  <c r="E164" i="122"/>
  <c r="C164" i="122" s="1"/>
  <c r="E163" i="122"/>
  <c r="C163" i="122" s="1"/>
  <c r="E162" i="122"/>
  <c r="C162" i="122" s="1"/>
  <c r="E161" i="122"/>
  <c r="C161" i="122" s="1"/>
  <c r="E160" i="122"/>
  <c r="C160" i="122" s="1"/>
  <c r="E159" i="122"/>
  <c r="C159" i="122" s="1"/>
  <c r="E158" i="122"/>
  <c r="C158" i="122" s="1"/>
  <c r="E157" i="122"/>
  <c r="C157" i="122" s="1"/>
  <c r="E156" i="122"/>
  <c r="C156" i="122" s="1"/>
  <c r="E155" i="122"/>
  <c r="C155" i="122" s="1"/>
  <c r="E154" i="122"/>
  <c r="C154" i="122" s="1"/>
  <c r="E153" i="122"/>
  <c r="C153" i="122" s="1"/>
  <c r="E152" i="122"/>
  <c r="C152" i="122" s="1"/>
  <c r="E151" i="122"/>
  <c r="C151" i="122" s="1"/>
  <c r="E150" i="122"/>
  <c r="C150" i="122" s="1"/>
  <c r="E149" i="122"/>
  <c r="C149" i="122" s="1"/>
  <c r="E148" i="122"/>
  <c r="C148" i="122" s="1"/>
  <c r="E147" i="122"/>
  <c r="C147" i="122" s="1"/>
  <c r="E146" i="122"/>
  <c r="C146" i="122" s="1"/>
  <c r="E145" i="122"/>
  <c r="C145" i="122" s="1"/>
  <c r="E144" i="122"/>
  <c r="C144" i="122" s="1"/>
  <c r="E143" i="122"/>
  <c r="C143" i="122" s="1"/>
  <c r="E142" i="122"/>
  <c r="C142" i="122" s="1"/>
  <c r="E141" i="122"/>
  <c r="C141" i="122" s="1"/>
  <c r="E140" i="122"/>
  <c r="C140" i="122" s="1"/>
  <c r="E139" i="122"/>
  <c r="C139" i="122" s="1"/>
  <c r="E138" i="122"/>
  <c r="C138" i="122" s="1"/>
  <c r="E137" i="122"/>
  <c r="C137" i="122" s="1"/>
  <c r="E136" i="122"/>
  <c r="C136" i="122" s="1"/>
  <c r="E135" i="122"/>
  <c r="C135" i="122" s="1"/>
  <c r="E134" i="122"/>
  <c r="C134" i="122" s="1"/>
  <c r="E133" i="122"/>
  <c r="C133" i="122" s="1"/>
  <c r="E132" i="122"/>
  <c r="C132" i="122" s="1"/>
  <c r="E131" i="122"/>
  <c r="C131" i="122" s="1"/>
  <c r="E130" i="122"/>
  <c r="C130" i="122" s="1"/>
  <c r="E129" i="122"/>
  <c r="C129" i="122" s="1"/>
  <c r="E128" i="122"/>
  <c r="C128" i="122" s="1"/>
  <c r="E127" i="122"/>
  <c r="C127" i="122" s="1"/>
  <c r="E126" i="122"/>
  <c r="C126" i="122" s="1"/>
  <c r="E125" i="122"/>
  <c r="C125" i="122" s="1"/>
  <c r="E124" i="122"/>
  <c r="C124" i="122" s="1"/>
  <c r="E123" i="122"/>
  <c r="C123" i="122" s="1"/>
  <c r="E122" i="122"/>
  <c r="C122" i="122" s="1"/>
  <c r="E121" i="122"/>
  <c r="C121" i="122" s="1"/>
  <c r="E120" i="122"/>
  <c r="C120" i="122" s="1"/>
  <c r="E119" i="122"/>
  <c r="C119" i="122" s="1"/>
  <c r="E118" i="122"/>
  <c r="C118" i="122" s="1"/>
  <c r="E117" i="122"/>
  <c r="C117" i="122" s="1"/>
  <c r="E116" i="122"/>
  <c r="C116" i="122" s="1"/>
  <c r="E115" i="122"/>
  <c r="C115" i="122" s="1"/>
  <c r="E114" i="122"/>
  <c r="C114" i="122" s="1"/>
  <c r="E113" i="122"/>
  <c r="C113" i="122" s="1"/>
  <c r="E112" i="122"/>
  <c r="C112" i="122" s="1"/>
  <c r="E111" i="122"/>
  <c r="C111" i="122" s="1"/>
  <c r="E110" i="122"/>
  <c r="C110" i="122" s="1"/>
  <c r="E109" i="122"/>
  <c r="C109" i="122" s="1"/>
  <c r="E108" i="122"/>
  <c r="C108" i="122" s="1"/>
  <c r="E107" i="122"/>
  <c r="C107" i="122" s="1"/>
  <c r="E106" i="122"/>
  <c r="C106" i="122" s="1"/>
  <c r="E105" i="122"/>
  <c r="C105" i="122" s="1"/>
  <c r="E104" i="122"/>
  <c r="C104" i="122" s="1"/>
  <c r="E103" i="122"/>
  <c r="C103" i="122" s="1"/>
  <c r="E102" i="122"/>
  <c r="C102" i="122" s="1"/>
  <c r="E101" i="122"/>
  <c r="C101" i="122" s="1"/>
  <c r="E100" i="122"/>
  <c r="C100" i="122" s="1"/>
  <c r="E99" i="122"/>
  <c r="C99" i="122" s="1"/>
  <c r="E98" i="122"/>
  <c r="C98" i="122" s="1"/>
  <c r="E97" i="122"/>
  <c r="C97" i="122" s="1"/>
  <c r="E96" i="122"/>
  <c r="C96" i="122" s="1"/>
  <c r="E95" i="122"/>
  <c r="C95" i="122" s="1"/>
  <c r="E94" i="122"/>
  <c r="C94" i="122" s="1"/>
  <c r="E93" i="122"/>
  <c r="C93" i="122" s="1"/>
  <c r="E92" i="122"/>
  <c r="C92" i="122" s="1"/>
  <c r="E91" i="122"/>
  <c r="C91" i="122" s="1"/>
  <c r="E90" i="122"/>
  <c r="C90" i="122" s="1"/>
  <c r="E89" i="122"/>
  <c r="C89" i="122" s="1"/>
  <c r="E88" i="122"/>
  <c r="C88" i="122" s="1"/>
  <c r="E87" i="122"/>
  <c r="C87" i="122" s="1"/>
  <c r="E86" i="122"/>
  <c r="C86" i="122" s="1"/>
  <c r="E85" i="122"/>
  <c r="C85" i="122" s="1"/>
  <c r="E84" i="122"/>
  <c r="C84" i="122" s="1"/>
  <c r="E83" i="122"/>
  <c r="C83" i="122" s="1"/>
  <c r="E82" i="122"/>
  <c r="C82" i="122" s="1"/>
  <c r="E81" i="122"/>
  <c r="C81" i="122" s="1"/>
  <c r="E80" i="122"/>
  <c r="C80" i="122" s="1"/>
  <c r="E79" i="122"/>
  <c r="C79" i="122" s="1"/>
  <c r="E78" i="122"/>
  <c r="C78" i="122" s="1"/>
  <c r="E77" i="122"/>
  <c r="C77" i="122" s="1"/>
  <c r="E76" i="122"/>
  <c r="C76" i="122" s="1"/>
  <c r="E75" i="122"/>
  <c r="C75" i="122" s="1"/>
  <c r="E74" i="122"/>
  <c r="C74" i="122" s="1"/>
  <c r="E73" i="122"/>
  <c r="C73" i="122" s="1"/>
  <c r="E72" i="122"/>
  <c r="C72" i="122" s="1"/>
  <c r="E71" i="122"/>
  <c r="C71" i="122" s="1"/>
  <c r="E70" i="122"/>
  <c r="C70" i="122" s="1"/>
  <c r="E69" i="122"/>
  <c r="C69" i="122" s="1"/>
  <c r="E68" i="122"/>
  <c r="C68" i="122" s="1"/>
  <c r="E67" i="122"/>
  <c r="C67" i="122" s="1"/>
  <c r="E66" i="122"/>
  <c r="C66" i="122" s="1"/>
  <c r="E65" i="122"/>
  <c r="C65" i="122" s="1"/>
  <c r="E64" i="122"/>
  <c r="C64" i="122" s="1"/>
  <c r="E63" i="122"/>
  <c r="C63" i="122" s="1"/>
  <c r="E62" i="122"/>
  <c r="C62" i="122" s="1"/>
  <c r="E61" i="122"/>
  <c r="C61" i="122" s="1"/>
  <c r="E60" i="122"/>
  <c r="C60" i="122" s="1"/>
  <c r="E59" i="122"/>
  <c r="C59" i="122" s="1"/>
  <c r="E58" i="122"/>
  <c r="C58" i="122" s="1"/>
  <c r="E57" i="122"/>
  <c r="C57" i="122" s="1"/>
  <c r="E56" i="122"/>
  <c r="C56" i="122" s="1"/>
  <c r="E55" i="122"/>
  <c r="C55" i="122" s="1"/>
  <c r="E54" i="122"/>
  <c r="C54" i="122" s="1"/>
  <c r="E53" i="122"/>
  <c r="C53" i="122" s="1"/>
  <c r="E52" i="122"/>
  <c r="C52" i="122" s="1"/>
  <c r="E51" i="122"/>
  <c r="C51" i="122" s="1"/>
  <c r="E50" i="122"/>
  <c r="C50" i="122" s="1"/>
  <c r="E49" i="122"/>
  <c r="C49" i="122" s="1"/>
  <c r="E48" i="122"/>
  <c r="C48" i="122" s="1"/>
  <c r="E47" i="122"/>
  <c r="C47" i="122" s="1"/>
  <c r="E46" i="122"/>
  <c r="C46" i="122" s="1"/>
  <c r="E45" i="122"/>
  <c r="C45" i="122" s="1"/>
  <c r="E44" i="122"/>
  <c r="C44" i="122" s="1"/>
  <c r="E43" i="122"/>
  <c r="C43" i="122" s="1"/>
  <c r="E42" i="122"/>
  <c r="C42" i="122" s="1"/>
  <c r="E41" i="122"/>
  <c r="C41" i="122" s="1"/>
  <c r="E40" i="122"/>
  <c r="C40" i="122" s="1"/>
  <c r="E39" i="122"/>
  <c r="C39" i="122" s="1"/>
  <c r="E38" i="122"/>
  <c r="C38" i="122" s="1"/>
  <c r="E37" i="122"/>
  <c r="C37" i="122" s="1"/>
  <c r="E36" i="122"/>
  <c r="C36" i="122" s="1"/>
  <c r="E35" i="122"/>
  <c r="C35" i="122" s="1"/>
  <c r="E34" i="122"/>
  <c r="C34" i="122" s="1"/>
  <c r="E33" i="122"/>
  <c r="C33" i="122" s="1"/>
  <c r="E32" i="122"/>
  <c r="C32" i="122" s="1"/>
  <c r="E31" i="122"/>
  <c r="C31" i="122" s="1"/>
  <c r="E30" i="122"/>
  <c r="C30" i="122" s="1"/>
  <c r="E29" i="122"/>
  <c r="C29" i="122" s="1"/>
  <c r="E28" i="122"/>
  <c r="C28" i="122" s="1"/>
  <c r="E27" i="122"/>
  <c r="C27" i="122" s="1"/>
  <c r="E26" i="122"/>
  <c r="C26" i="122" s="1"/>
  <c r="E25" i="122"/>
  <c r="C25" i="122" s="1"/>
  <c r="E24" i="122"/>
  <c r="C24" i="122" s="1"/>
  <c r="E23" i="122"/>
  <c r="C23" i="122" s="1"/>
  <c r="E22" i="122"/>
  <c r="C22" i="122" s="1"/>
  <c r="E21" i="122"/>
  <c r="C21" i="122" s="1"/>
  <c r="E20" i="122"/>
  <c r="C20" i="122" s="1"/>
  <c r="E19" i="122"/>
  <c r="C19" i="122" s="1"/>
  <c r="E18" i="122"/>
  <c r="C18" i="122" s="1"/>
  <c r="E17" i="122"/>
  <c r="C17" i="122" s="1"/>
  <c r="E16" i="122"/>
  <c r="C16" i="122" s="1"/>
  <c r="E15" i="122"/>
  <c r="C15" i="122" s="1"/>
  <c r="E14" i="122"/>
  <c r="C14" i="122" s="1"/>
  <c r="E13" i="122"/>
  <c r="C13" i="122" s="1"/>
  <c r="E12" i="122"/>
  <c r="C12" i="122" s="1"/>
  <c r="E11" i="122"/>
  <c r="C11" i="122" s="1"/>
  <c r="E10" i="122"/>
  <c r="C10" i="122" s="1"/>
  <c r="GA7" i="122"/>
  <c r="GA6" i="122" s="1"/>
  <c r="FZ7" i="122"/>
  <c r="FZ6" i="122" s="1"/>
  <c r="FY7" i="122"/>
  <c r="FY6" i="122" s="1"/>
  <c r="FX7" i="122"/>
  <c r="FX6" i="122" s="1"/>
  <c r="FW7" i="122"/>
  <c r="FW6" i="122" s="1"/>
  <c r="FV7" i="122"/>
  <c r="FV6" i="122" s="1"/>
  <c r="FU7" i="122"/>
  <c r="FU6" i="122" s="1"/>
  <c r="FT7" i="122"/>
  <c r="FT6" i="122" s="1"/>
  <c r="FS7" i="122"/>
  <c r="FS6" i="122" s="1"/>
  <c r="FR7" i="122"/>
  <c r="FR6" i="122" s="1"/>
  <c r="FQ7" i="122"/>
  <c r="FQ6" i="122" s="1"/>
  <c r="FP7" i="122"/>
  <c r="FP6" i="122" s="1"/>
  <c r="FO7" i="122"/>
  <c r="FO6" i="122" s="1"/>
  <c r="FN7" i="122"/>
  <c r="FN6" i="122" s="1"/>
  <c r="FM7" i="122"/>
  <c r="FM6" i="122" s="1"/>
  <c r="FL7" i="122"/>
  <c r="FL6" i="122" s="1"/>
  <c r="FK7" i="122"/>
  <c r="FK6" i="122" s="1"/>
  <c r="FJ7" i="122"/>
  <c r="FJ6" i="122" s="1"/>
  <c r="FI7" i="122"/>
  <c r="FI6" i="122" s="1"/>
  <c r="FH7" i="122"/>
  <c r="FH6" i="122" s="1"/>
  <c r="FG7" i="122"/>
  <c r="FG6" i="122" s="1"/>
  <c r="FF7" i="122"/>
  <c r="FF6" i="122" s="1"/>
  <c r="FE7" i="122"/>
  <c r="FE6" i="122" s="1"/>
  <c r="FD7" i="122"/>
  <c r="FD6" i="122" s="1"/>
  <c r="FC7" i="122"/>
  <c r="FC6" i="122" s="1"/>
  <c r="FB7" i="122"/>
  <c r="FB6" i="122" s="1"/>
  <c r="FA7" i="122"/>
  <c r="FA6" i="122" s="1"/>
  <c r="EZ7" i="122"/>
  <c r="EZ6" i="122" s="1"/>
  <c r="EY7" i="122"/>
  <c r="EY6" i="122" s="1"/>
  <c r="EX7" i="122"/>
  <c r="EX6" i="122" s="1"/>
  <c r="EW7" i="122"/>
  <c r="EW6" i="122" s="1"/>
  <c r="EV7" i="122"/>
  <c r="EV6" i="122" s="1"/>
  <c r="EU7" i="122"/>
  <c r="EU6" i="122" s="1"/>
  <c r="ET7" i="122"/>
  <c r="ET6" i="122" s="1"/>
  <c r="ES7" i="122"/>
  <c r="ES6" i="122" s="1"/>
  <c r="ER7" i="122"/>
  <c r="ER6" i="122" s="1"/>
  <c r="EQ7" i="122"/>
  <c r="EQ6" i="122" s="1"/>
  <c r="EP7" i="122"/>
  <c r="EP6" i="122" s="1"/>
  <c r="EO7" i="122"/>
  <c r="EO6" i="122" s="1"/>
  <c r="EN7" i="122"/>
  <c r="EN6" i="122" s="1"/>
  <c r="EM7" i="122"/>
  <c r="EM6" i="122" s="1"/>
  <c r="EL7" i="122"/>
  <c r="EL6" i="122" s="1"/>
  <c r="EK7" i="122"/>
  <c r="EK6" i="122" s="1"/>
  <c r="EJ7" i="122"/>
  <c r="EJ6" i="122" s="1"/>
  <c r="EI7" i="122"/>
  <c r="EI6" i="122" s="1"/>
  <c r="EH7" i="122"/>
  <c r="EH6" i="122" s="1"/>
  <c r="EG7" i="122"/>
  <c r="EG6" i="122" s="1"/>
  <c r="EF7" i="122"/>
  <c r="EF6" i="122" s="1"/>
  <c r="EE7" i="122"/>
  <c r="EE6" i="122" s="1"/>
  <c r="ED7" i="122"/>
  <c r="ED6" i="122" s="1"/>
  <c r="EC7" i="122"/>
  <c r="EC6" i="122" s="1"/>
  <c r="EB7" i="122"/>
  <c r="EB6" i="122" s="1"/>
  <c r="EA7" i="122"/>
  <c r="EA6" i="122" s="1"/>
  <c r="DZ7" i="122"/>
  <c r="DZ6" i="122" s="1"/>
  <c r="DY7" i="122"/>
  <c r="DY6" i="122" s="1"/>
  <c r="DX7" i="122"/>
  <c r="DX6" i="122" s="1"/>
  <c r="DW7" i="122"/>
  <c r="DW6" i="122" s="1"/>
  <c r="DV7" i="122"/>
  <c r="DV6" i="122" s="1"/>
  <c r="DU7" i="122"/>
  <c r="DU6" i="122" s="1"/>
  <c r="DT7" i="122"/>
  <c r="DT6" i="122" s="1"/>
  <c r="DS7" i="122"/>
  <c r="DS6" i="122" s="1"/>
  <c r="DR7" i="122"/>
  <c r="DR6" i="122" s="1"/>
  <c r="DQ7" i="122"/>
  <c r="DQ6" i="122" s="1"/>
  <c r="DP7" i="122"/>
  <c r="DP6" i="122" s="1"/>
  <c r="DO7" i="122"/>
  <c r="DO6" i="122" s="1"/>
  <c r="DN7" i="122"/>
  <c r="DN6" i="122" s="1"/>
  <c r="DM7" i="122"/>
  <c r="DM6" i="122" s="1"/>
  <c r="DL7" i="122"/>
  <c r="DL6" i="122" s="1"/>
  <c r="DK7" i="122"/>
  <c r="DK6" i="122" s="1"/>
  <c r="DJ7" i="122"/>
  <c r="DJ6" i="122" s="1"/>
  <c r="DI7" i="122"/>
  <c r="DI6" i="122" s="1"/>
  <c r="DH7" i="122"/>
  <c r="DH6" i="122" s="1"/>
  <c r="DG7" i="122"/>
  <c r="DG6" i="122" s="1"/>
  <c r="DF7" i="122"/>
  <c r="DF6" i="122" s="1"/>
  <c r="DE7" i="122"/>
  <c r="DE6" i="122" s="1"/>
  <c r="DD7" i="122"/>
  <c r="DD6" i="122" s="1"/>
  <c r="DC7" i="122"/>
  <c r="DC6" i="122" s="1"/>
  <c r="DB7" i="122"/>
  <c r="DB6" i="122" s="1"/>
  <c r="DA7" i="122"/>
  <c r="DA6" i="122" s="1"/>
  <c r="CZ7" i="122"/>
  <c r="CZ6" i="122" s="1"/>
  <c r="CY7" i="122"/>
  <c r="CY6" i="122" s="1"/>
  <c r="CX7" i="122"/>
  <c r="CX6" i="122" s="1"/>
  <c r="CW7" i="122"/>
  <c r="CW6" i="122" s="1"/>
  <c r="CV7" i="122"/>
  <c r="CV6" i="122" s="1"/>
  <c r="CU7" i="122"/>
  <c r="CU6" i="122" s="1"/>
  <c r="CT7" i="122"/>
  <c r="CT6" i="122" s="1"/>
  <c r="CS7" i="122"/>
  <c r="CS6" i="122" s="1"/>
  <c r="CR7" i="122"/>
  <c r="CR6" i="122" s="1"/>
  <c r="CQ7" i="122"/>
  <c r="CQ6" i="122" s="1"/>
  <c r="CP7" i="122"/>
  <c r="CP6" i="122" s="1"/>
  <c r="CO7" i="122"/>
  <c r="CO6" i="122" s="1"/>
  <c r="CN7" i="122"/>
  <c r="CN6" i="122" s="1"/>
  <c r="CM7" i="122"/>
  <c r="CM6" i="122" s="1"/>
  <c r="CL7" i="122"/>
  <c r="CL6" i="122" s="1"/>
  <c r="CK7" i="122"/>
  <c r="CK6" i="122" s="1"/>
  <c r="CJ7" i="122"/>
  <c r="CJ6" i="122" s="1"/>
  <c r="CI7" i="122"/>
  <c r="CI6" i="122" s="1"/>
  <c r="CH7" i="122"/>
  <c r="CH6" i="122" s="1"/>
  <c r="CG7" i="122"/>
  <c r="CG6" i="122" s="1"/>
  <c r="CF7" i="122"/>
  <c r="CF6" i="122" s="1"/>
  <c r="CE7" i="122"/>
  <c r="CE6" i="122" s="1"/>
  <c r="CD7" i="122"/>
  <c r="CD6" i="122" s="1"/>
  <c r="CC7" i="122"/>
  <c r="CC6" i="122" s="1"/>
  <c r="CB7" i="122"/>
  <c r="CB6" i="122" s="1"/>
  <c r="CA7" i="122"/>
  <c r="CA6" i="122" s="1"/>
  <c r="BZ7" i="122"/>
  <c r="BZ6" i="122" s="1"/>
  <c r="BY7" i="122"/>
  <c r="BY6" i="122" s="1"/>
  <c r="BX7" i="122"/>
  <c r="BX6" i="122" s="1"/>
  <c r="BW7" i="122"/>
  <c r="BW6" i="122" s="1"/>
  <c r="BV7" i="122"/>
  <c r="BV6" i="122" s="1"/>
  <c r="BU7" i="122"/>
  <c r="BU6" i="122" s="1"/>
  <c r="BT7" i="122"/>
  <c r="BT6" i="122" s="1"/>
  <c r="BS7" i="122"/>
  <c r="BS6" i="122" s="1"/>
  <c r="BR7" i="122"/>
  <c r="BR6" i="122" s="1"/>
  <c r="BQ7" i="122"/>
  <c r="BQ6" i="122" s="1"/>
  <c r="BP7" i="122"/>
  <c r="BP6" i="122" s="1"/>
  <c r="BO7" i="122"/>
  <c r="BO6" i="122" s="1"/>
  <c r="BN7" i="122"/>
  <c r="BN6" i="122" s="1"/>
  <c r="BM7" i="122"/>
  <c r="BM6" i="122" s="1"/>
  <c r="BL7" i="122"/>
  <c r="BL6" i="122" s="1"/>
  <c r="BK7" i="122"/>
  <c r="BK6" i="122" s="1"/>
  <c r="BJ7" i="122"/>
  <c r="BJ6" i="122" s="1"/>
  <c r="BI7" i="122"/>
  <c r="BI6" i="122" s="1"/>
  <c r="BH7" i="122"/>
  <c r="BH6" i="122" s="1"/>
  <c r="BG7" i="122"/>
  <c r="BG6" i="122" s="1"/>
  <c r="BF7" i="122"/>
  <c r="BF6" i="122" s="1"/>
  <c r="BE7" i="122"/>
  <c r="BE6" i="122" s="1"/>
  <c r="BD7" i="122"/>
  <c r="BD6" i="122" s="1"/>
  <c r="BC7" i="122"/>
  <c r="BC6" i="122" s="1"/>
  <c r="BB7" i="122"/>
  <c r="BB6" i="122" s="1"/>
  <c r="BA7" i="122"/>
  <c r="BA6" i="122" s="1"/>
  <c r="AZ7" i="122"/>
  <c r="AZ6" i="122" s="1"/>
  <c r="AY7" i="122"/>
  <c r="AY6" i="122" s="1"/>
  <c r="AX7" i="122"/>
  <c r="AX6" i="122" s="1"/>
  <c r="AW7" i="122"/>
  <c r="AW6" i="122" s="1"/>
  <c r="AV7" i="122"/>
  <c r="AV6" i="122" s="1"/>
  <c r="AU7" i="122"/>
  <c r="AU6" i="122" s="1"/>
  <c r="AT7" i="122"/>
  <c r="AT6" i="122" s="1"/>
  <c r="AS7" i="122"/>
  <c r="AS6" i="122" s="1"/>
  <c r="AR7" i="122"/>
  <c r="AR6" i="122" s="1"/>
  <c r="AQ7" i="122"/>
  <c r="AQ6" i="122" s="1"/>
  <c r="AP7" i="122"/>
  <c r="AP6" i="122" s="1"/>
  <c r="AO7" i="122"/>
  <c r="AO6" i="122" s="1"/>
  <c r="AN7" i="122"/>
  <c r="AN6" i="122" s="1"/>
  <c r="AM7" i="122"/>
  <c r="AM6" i="122" s="1"/>
  <c r="AL7" i="122"/>
  <c r="AL6" i="122" s="1"/>
  <c r="AK7" i="122"/>
  <c r="AK6" i="122" s="1"/>
  <c r="AJ7" i="122"/>
  <c r="AJ6" i="122" s="1"/>
  <c r="AI7" i="122"/>
  <c r="AI6" i="122" s="1"/>
  <c r="AH7" i="122"/>
  <c r="AG7" i="122"/>
  <c r="AF7" i="122"/>
  <c r="AF6" i="122" s="1"/>
  <c r="AE7" i="122"/>
  <c r="AE6" i="122" s="1"/>
  <c r="AD7" i="122"/>
  <c r="AD6" i="122" s="1"/>
  <c r="AC7" i="122"/>
  <c r="AC6" i="122" s="1"/>
  <c r="AB7" i="122"/>
  <c r="AB6" i="122" s="1"/>
  <c r="AA7" i="122"/>
  <c r="AA6" i="122" s="1"/>
  <c r="Z7" i="122"/>
  <c r="Z6" i="122" s="1"/>
  <c r="Y7" i="122"/>
  <c r="Y6" i="122" s="1"/>
  <c r="X7" i="122"/>
  <c r="X6" i="122" s="1"/>
  <c r="W7" i="122"/>
  <c r="W6" i="122" s="1"/>
  <c r="V7" i="122"/>
  <c r="V6" i="122" s="1"/>
  <c r="U7" i="122"/>
  <c r="U6" i="122" s="1"/>
  <c r="T7" i="122"/>
  <c r="T6" i="122" s="1"/>
  <c r="S7" i="122"/>
  <c r="R7" i="122"/>
  <c r="R6" i="122" s="1"/>
  <c r="Q7" i="122"/>
  <c r="P7" i="122"/>
  <c r="P6" i="122" s="1"/>
  <c r="O7" i="122"/>
  <c r="O6" i="122" s="1"/>
  <c r="N7" i="122"/>
  <c r="N6" i="122" s="1"/>
  <c r="M7" i="122"/>
  <c r="M6" i="122" s="1"/>
  <c r="L7" i="122"/>
  <c r="K7" i="122"/>
  <c r="K6" i="122" s="1"/>
  <c r="J7" i="122"/>
  <c r="I7" i="122"/>
  <c r="H7" i="122"/>
  <c r="H6" i="122" s="1"/>
  <c r="G7" i="122"/>
  <c r="E203" i="121"/>
  <c r="C203" i="121" s="1"/>
  <c r="E202" i="121"/>
  <c r="C202" i="121" s="1"/>
  <c r="E201" i="121"/>
  <c r="C201" i="121" s="1"/>
  <c r="E200" i="121"/>
  <c r="C200" i="121" s="1"/>
  <c r="E199" i="121"/>
  <c r="C199" i="121" s="1"/>
  <c r="E198" i="121"/>
  <c r="C198" i="121" s="1"/>
  <c r="E197" i="121"/>
  <c r="C197" i="121" s="1"/>
  <c r="E196" i="121"/>
  <c r="C196" i="121" s="1"/>
  <c r="E195" i="121"/>
  <c r="C195" i="121" s="1"/>
  <c r="E194" i="121"/>
  <c r="C194" i="121" s="1"/>
  <c r="E193" i="121"/>
  <c r="C193" i="121" s="1"/>
  <c r="E192" i="121"/>
  <c r="C192" i="121" s="1"/>
  <c r="E191" i="121"/>
  <c r="C191" i="121" s="1"/>
  <c r="E190" i="121"/>
  <c r="C190" i="121" s="1"/>
  <c r="E189" i="121"/>
  <c r="C189" i="121" s="1"/>
  <c r="E188" i="121"/>
  <c r="C188" i="121" s="1"/>
  <c r="E187" i="121"/>
  <c r="C187" i="121" s="1"/>
  <c r="E186" i="121"/>
  <c r="C186" i="121" s="1"/>
  <c r="E185" i="121"/>
  <c r="C185" i="121" s="1"/>
  <c r="E184" i="121"/>
  <c r="C184" i="121" s="1"/>
  <c r="E183" i="121"/>
  <c r="C183" i="121" s="1"/>
  <c r="E182" i="121"/>
  <c r="C182" i="121" s="1"/>
  <c r="E181" i="121"/>
  <c r="C181" i="121" s="1"/>
  <c r="E180" i="121"/>
  <c r="C180" i="121" s="1"/>
  <c r="E179" i="121"/>
  <c r="C179" i="121" s="1"/>
  <c r="E178" i="121"/>
  <c r="C178" i="121" s="1"/>
  <c r="E177" i="121"/>
  <c r="C177" i="121" s="1"/>
  <c r="E176" i="121"/>
  <c r="C176" i="121" s="1"/>
  <c r="E175" i="121"/>
  <c r="C175" i="121" s="1"/>
  <c r="E174" i="121"/>
  <c r="C174" i="121" s="1"/>
  <c r="E173" i="121"/>
  <c r="C173" i="121" s="1"/>
  <c r="E172" i="121"/>
  <c r="C172" i="121" s="1"/>
  <c r="E171" i="121"/>
  <c r="C171" i="121" s="1"/>
  <c r="E170" i="121"/>
  <c r="C170" i="121" s="1"/>
  <c r="E169" i="121"/>
  <c r="C169" i="121" s="1"/>
  <c r="E168" i="121"/>
  <c r="C168" i="121" s="1"/>
  <c r="E167" i="121"/>
  <c r="C167" i="121" s="1"/>
  <c r="E166" i="121"/>
  <c r="C166" i="121" s="1"/>
  <c r="E165" i="121"/>
  <c r="C165" i="121" s="1"/>
  <c r="E164" i="121"/>
  <c r="C164" i="121" s="1"/>
  <c r="E163" i="121"/>
  <c r="C163" i="121" s="1"/>
  <c r="E162" i="121"/>
  <c r="C162" i="121" s="1"/>
  <c r="E161" i="121"/>
  <c r="C161" i="121" s="1"/>
  <c r="E160" i="121"/>
  <c r="C160" i="121" s="1"/>
  <c r="E159" i="121"/>
  <c r="C159" i="121" s="1"/>
  <c r="E158" i="121"/>
  <c r="C158" i="121" s="1"/>
  <c r="E157" i="121"/>
  <c r="C157" i="121" s="1"/>
  <c r="E156" i="121"/>
  <c r="C156" i="121" s="1"/>
  <c r="E155" i="121"/>
  <c r="C155" i="121" s="1"/>
  <c r="E154" i="121"/>
  <c r="C154" i="121" s="1"/>
  <c r="E153" i="121"/>
  <c r="C153" i="121" s="1"/>
  <c r="E152" i="121"/>
  <c r="C152" i="121" s="1"/>
  <c r="E151" i="121"/>
  <c r="C151" i="121" s="1"/>
  <c r="E150" i="121"/>
  <c r="C150" i="121" s="1"/>
  <c r="E149" i="121"/>
  <c r="C149" i="121" s="1"/>
  <c r="E148" i="121"/>
  <c r="C148" i="121" s="1"/>
  <c r="E147" i="121"/>
  <c r="C147" i="121" s="1"/>
  <c r="E146" i="121"/>
  <c r="C146" i="121" s="1"/>
  <c r="E145" i="121"/>
  <c r="C145" i="121" s="1"/>
  <c r="E144" i="121"/>
  <c r="C144" i="121" s="1"/>
  <c r="E143" i="121"/>
  <c r="C143" i="121" s="1"/>
  <c r="E142" i="121"/>
  <c r="C142" i="121" s="1"/>
  <c r="E141" i="121"/>
  <c r="C141" i="121" s="1"/>
  <c r="E140" i="121"/>
  <c r="C140" i="121" s="1"/>
  <c r="E139" i="121"/>
  <c r="C139" i="121" s="1"/>
  <c r="E138" i="121"/>
  <c r="C138" i="121" s="1"/>
  <c r="E137" i="121"/>
  <c r="C137" i="121" s="1"/>
  <c r="E136" i="121"/>
  <c r="C136" i="121" s="1"/>
  <c r="E135" i="121"/>
  <c r="C135" i="121" s="1"/>
  <c r="E134" i="121"/>
  <c r="C134" i="121" s="1"/>
  <c r="E133" i="121"/>
  <c r="C133" i="121" s="1"/>
  <c r="E132" i="121"/>
  <c r="C132" i="121" s="1"/>
  <c r="E131" i="121"/>
  <c r="C131" i="121" s="1"/>
  <c r="E130" i="121"/>
  <c r="C130" i="121" s="1"/>
  <c r="E129" i="121"/>
  <c r="C129" i="121" s="1"/>
  <c r="E128" i="121"/>
  <c r="C128" i="121" s="1"/>
  <c r="E127" i="121"/>
  <c r="C127" i="121" s="1"/>
  <c r="E126" i="121"/>
  <c r="C126" i="121" s="1"/>
  <c r="E125" i="121"/>
  <c r="C125" i="121" s="1"/>
  <c r="E124" i="121"/>
  <c r="C124" i="121" s="1"/>
  <c r="E123" i="121"/>
  <c r="C123" i="121" s="1"/>
  <c r="E122" i="121"/>
  <c r="C122" i="121" s="1"/>
  <c r="E121" i="121"/>
  <c r="C121" i="121" s="1"/>
  <c r="E120" i="121"/>
  <c r="C120" i="121" s="1"/>
  <c r="E119" i="121"/>
  <c r="C119" i="121" s="1"/>
  <c r="E118" i="121"/>
  <c r="C118" i="121" s="1"/>
  <c r="E117" i="121"/>
  <c r="C117" i="121" s="1"/>
  <c r="E116" i="121"/>
  <c r="C116" i="121" s="1"/>
  <c r="E115" i="121"/>
  <c r="C115" i="121" s="1"/>
  <c r="E114" i="121"/>
  <c r="C114" i="121" s="1"/>
  <c r="E113" i="121"/>
  <c r="C113" i="121" s="1"/>
  <c r="E112" i="121"/>
  <c r="C112" i="121" s="1"/>
  <c r="E111" i="121"/>
  <c r="C111" i="121" s="1"/>
  <c r="E110" i="121"/>
  <c r="C110" i="121" s="1"/>
  <c r="E109" i="121"/>
  <c r="C109" i="121" s="1"/>
  <c r="E108" i="121"/>
  <c r="C108" i="121" s="1"/>
  <c r="E107" i="121"/>
  <c r="C107" i="121" s="1"/>
  <c r="E106" i="121"/>
  <c r="C106" i="121" s="1"/>
  <c r="E105" i="121"/>
  <c r="C105" i="121" s="1"/>
  <c r="E104" i="121"/>
  <c r="C104" i="121" s="1"/>
  <c r="E103" i="121"/>
  <c r="C103" i="121" s="1"/>
  <c r="E102" i="121"/>
  <c r="C102" i="121" s="1"/>
  <c r="E101" i="121"/>
  <c r="C101" i="121" s="1"/>
  <c r="E100" i="121"/>
  <c r="C100" i="121" s="1"/>
  <c r="E99" i="121"/>
  <c r="C99" i="121" s="1"/>
  <c r="E98" i="121"/>
  <c r="C98" i="121" s="1"/>
  <c r="E97" i="121"/>
  <c r="C97" i="121" s="1"/>
  <c r="E96" i="121"/>
  <c r="C96" i="121" s="1"/>
  <c r="E95" i="121"/>
  <c r="C95" i="121" s="1"/>
  <c r="E94" i="121"/>
  <c r="C94" i="121" s="1"/>
  <c r="E93" i="121"/>
  <c r="C93" i="121" s="1"/>
  <c r="E92" i="121"/>
  <c r="C92" i="121" s="1"/>
  <c r="E91" i="121"/>
  <c r="C91" i="121" s="1"/>
  <c r="E90" i="121"/>
  <c r="C90" i="121" s="1"/>
  <c r="E89" i="121"/>
  <c r="C89" i="121" s="1"/>
  <c r="E88" i="121"/>
  <c r="C88" i="121" s="1"/>
  <c r="E87" i="121"/>
  <c r="C87" i="121" s="1"/>
  <c r="E86" i="121"/>
  <c r="C86" i="121" s="1"/>
  <c r="E85" i="121"/>
  <c r="C85" i="121" s="1"/>
  <c r="E84" i="121"/>
  <c r="C84" i="121" s="1"/>
  <c r="E83" i="121"/>
  <c r="C83" i="121" s="1"/>
  <c r="E82" i="121"/>
  <c r="C82" i="121" s="1"/>
  <c r="E81" i="121"/>
  <c r="C81" i="121" s="1"/>
  <c r="E80" i="121"/>
  <c r="C80" i="121" s="1"/>
  <c r="E79" i="121"/>
  <c r="C79" i="121" s="1"/>
  <c r="E78" i="121"/>
  <c r="C78" i="121" s="1"/>
  <c r="E77" i="121"/>
  <c r="C77" i="121" s="1"/>
  <c r="E76" i="121"/>
  <c r="C76" i="121" s="1"/>
  <c r="E75" i="121"/>
  <c r="C75" i="121" s="1"/>
  <c r="E74" i="121"/>
  <c r="C74" i="121" s="1"/>
  <c r="E73" i="121"/>
  <c r="C73" i="121" s="1"/>
  <c r="E72" i="121"/>
  <c r="C72" i="121" s="1"/>
  <c r="E71" i="121"/>
  <c r="C71" i="121" s="1"/>
  <c r="E70" i="121"/>
  <c r="C70" i="121" s="1"/>
  <c r="E69" i="121"/>
  <c r="C69" i="121" s="1"/>
  <c r="E68" i="121"/>
  <c r="C68" i="121" s="1"/>
  <c r="E67" i="121"/>
  <c r="C67" i="121" s="1"/>
  <c r="E66" i="121"/>
  <c r="C66" i="121" s="1"/>
  <c r="E65" i="121"/>
  <c r="C65" i="121" s="1"/>
  <c r="E64" i="121"/>
  <c r="C64" i="121" s="1"/>
  <c r="E63" i="121"/>
  <c r="C63" i="121" s="1"/>
  <c r="E62" i="121"/>
  <c r="C62" i="121" s="1"/>
  <c r="E61" i="121"/>
  <c r="C61" i="121" s="1"/>
  <c r="E60" i="121"/>
  <c r="C60" i="121" s="1"/>
  <c r="E59" i="121"/>
  <c r="C59" i="121" s="1"/>
  <c r="E58" i="121"/>
  <c r="C58" i="121" s="1"/>
  <c r="E57" i="121"/>
  <c r="C57" i="121" s="1"/>
  <c r="E56" i="121"/>
  <c r="C56" i="121" s="1"/>
  <c r="E55" i="121"/>
  <c r="C55" i="121" s="1"/>
  <c r="E54" i="121"/>
  <c r="C54" i="121" s="1"/>
  <c r="E53" i="121"/>
  <c r="C53" i="121" s="1"/>
  <c r="E52" i="121"/>
  <c r="C52" i="121" s="1"/>
  <c r="E51" i="121"/>
  <c r="C51" i="121" s="1"/>
  <c r="E50" i="121"/>
  <c r="C50" i="121" s="1"/>
  <c r="E49" i="121"/>
  <c r="C49" i="121" s="1"/>
  <c r="E48" i="121"/>
  <c r="C48" i="121" s="1"/>
  <c r="E47" i="121"/>
  <c r="C47" i="121" s="1"/>
  <c r="E46" i="121"/>
  <c r="C46" i="121" s="1"/>
  <c r="E45" i="121"/>
  <c r="C45" i="121" s="1"/>
  <c r="E44" i="121"/>
  <c r="C44" i="121" s="1"/>
  <c r="E43" i="121"/>
  <c r="C43" i="121" s="1"/>
  <c r="E42" i="121"/>
  <c r="C42" i="121" s="1"/>
  <c r="E41" i="121"/>
  <c r="C41" i="121" s="1"/>
  <c r="E40" i="121"/>
  <c r="C40" i="121" s="1"/>
  <c r="E39" i="121"/>
  <c r="C39" i="121" s="1"/>
  <c r="E38" i="121"/>
  <c r="C38" i="121" s="1"/>
  <c r="E37" i="121"/>
  <c r="C37" i="121" s="1"/>
  <c r="E36" i="121"/>
  <c r="C36" i="121" s="1"/>
  <c r="E35" i="121"/>
  <c r="C35" i="121" s="1"/>
  <c r="E34" i="121"/>
  <c r="C34" i="121" s="1"/>
  <c r="E33" i="121"/>
  <c r="C33" i="121" s="1"/>
  <c r="E32" i="121"/>
  <c r="C32" i="121" s="1"/>
  <c r="E31" i="121"/>
  <c r="C31" i="121" s="1"/>
  <c r="E30" i="121"/>
  <c r="C30" i="121" s="1"/>
  <c r="E29" i="121"/>
  <c r="C29" i="121" s="1"/>
  <c r="E28" i="121"/>
  <c r="C28" i="121" s="1"/>
  <c r="E27" i="121"/>
  <c r="C27" i="121" s="1"/>
  <c r="E26" i="121"/>
  <c r="C26" i="121" s="1"/>
  <c r="E25" i="121"/>
  <c r="C25" i="121" s="1"/>
  <c r="E24" i="121"/>
  <c r="C24" i="121" s="1"/>
  <c r="E23" i="121"/>
  <c r="C23" i="121" s="1"/>
  <c r="E22" i="121"/>
  <c r="C22" i="121" s="1"/>
  <c r="E21" i="121"/>
  <c r="C21" i="121" s="1"/>
  <c r="E20" i="121"/>
  <c r="C20" i="121" s="1"/>
  <c r="E19" i="121"/>
  <c r="C19" i="121" s="1"/>
  <c r="E18" i="121"/>
  <c r="C18" i="121" s="1"/>
  <c r="E17" i="121"/>
  <c r="C17" i="121" s="1"/>
  <c r="E16" i="121"/>
  <c r="C16" i="121" s="1"/>
  <c r="E15" i="121"/>
  <c r="C15" i="121" s="1"/>
  <c r="E14" i="121"/>
  <c r="C14" i="121" s="1"/>
  <c r="E13" i="121"/>
  <c r="C13" i="121" s="1"/>
  <c r="E12" i="121"/>
  <c r="C12" i="121" s="1"/>
  <c r="E11" i="121"/>
  <c r="C11" i="121" s="1"/>
  <c r="E10" i="121"/>
  <c r="C10" i="121" s="1"/>
  <c r="GA7" i="121"/>
  <c r="FZ7" i="121"/>
  <c r="FY7" i="121"/>
  <c r="FX7" i="121"/>
  <c r="FW7" i="121"/>
  <c r="FV7" i="121"/>
  <c r="FU7" i="121"/>
  <c r="FT7" i="121"/>
  <c r="FS7" i="121"/>
  <c r="FR7" i="121"/>
  <c r="FQ7" i="121"/>
  <c r="FP7" i="121"/>
  <c r="FO7" i="121"/>
  <c r="FN7" i="121"/>
  <c r="FM7" i="121"/>
  <c r="FL7" i="121"/>
  <c r="FK7" i="121"/>
  <c r="FJ7" i="121"/>
  <c r="FI7" i="121"/>
  <c r="FH7" i="121"/>
  <c r="FG7" i="121"/>
  <c r="FF7" i="121"/>
  <c r="FE7" i="121"/>
  <c r="FD7" i="121"/>
  <c r="FC7" i="121"/>
  <c r="FB7" i="121"/>
  <c r="FA7" i="121"/>
  <c r="EZ7" i="121"/>
  <c r="EY7" i="121"/>
  <c r="EX7" i="121"/>
  <c r="EW7" i="121"/>
  <c r="EV7" i="121"/>
  <c r="EU7" i="121"/>
  <c r="ET7" i="121"/>
  <c r="ES7" i="121"/>
  <c r="ER7" i="121"/>
  <c r="EQ7" i="121"/>
  <c r="EP7" i="121"/>
  <c r="EO7" i="121"/>
  <c r="EN7" i="121"/>
  <c r="EM7" i="121"/>
  <c r="EL7" i="121"/>
  <c r="EK7" i="121"/>
  <c r="EJ7" i="121"/>
  <c r="EI7" i="121"/>
  <c r="EH7" i="121"/>
  <c r="EG7" i="121"/>
  <c r="EF7" i="121"/>
  <c r="EE7" i="121"/>
  <c r="ED7" i="121"/>
  <c r="EC7" i="121"/>
  <c r="EB7" i="121"/>
  <c r="EA7" i="121"/>
  <c r="DZ7" i="121"/>
  <c r="DY7" i="121"/>
  <c r="DX7" i="121"/>
  <c r="DW7" i="121"/>
  <c r="DV7" i="121"/>
  <c r="DU7" i="121"/>
  <c r="DT7" i="121"/>
  <c r="DS7" i="121"/>
  <c r="DR7" i="121"/>
  <c r="DQ7" i="121"/>
  <c r="DP7" i="121"/>
  <c r="DO7" i="121"/>
  <c r="DN7" i="121"/>
  <c r="DM7" i="121"/>
  <c r="DL7" i="121"/>
  <c r="DK7" i="121"/>
  <c r="DJ7" i="121"/>
  <c r="DI7" i="121"/>
  <c r="DH7" i="121"/>
  <c r="DG7" i="121"/>
  <c r="DF7" i="121"/>
  <c r="DE7" i="121"/>
  <c r="DD7" i="121"/>
  <c r="DC7" i="121"/>
  <c r="DB7" i="121"/>
  <c r="DA7" i="121"/>
  <c r="CZ7" i="121"/>
  <c r="CY7" i="121"/>
  <c r="CX7" i="121"/>
  <c r="CW7" i="121"/>
  <c r="CV7" i="121"/>
  <c r="CU7" i="121"/>
  <c r="CT7" i="121"/>
  <c r="CS7" i="121"/>
  <c r="CR7" i="121"/>
  <c r="CQ7" i="121"/>
  <c r="CP7" i="121"/>
  <c r="CO7" i="121"/>
  <c r="CN7" i="121"/>
  <c r="CM7" i="121"/>
  <c r="CL7" i="121"/>
  <c r="CK7" i="121"/>
  <c r="CJ7" i="121"/>
  <c r="CI7" i="121"/>
  <c r="CH7" i="121"/>
  <c r="CG7" i="121"/>
  <c r="CF7" i="121"/>
  <c r="CE7" i="121"/>
  <c r="CD7" i="121"/>
  <c r="CC7" i="121"/>
  <c r="CB7" i="121"/>
  <c r="CA7" i="121"/>
  <c r="BZ7" i="121"/>
  <c r="BY7" i="121"/>
  <c r="BX7" i="121"/>
  <c r="BW7" i="121"/>
  <c r="BV7" i="121"/>
  <c r="BU7" i="121"/>
  <c r="BT7" i="121"/>
  <c r="BS7" i="121"/>
  <c r="BR7" i="121"/>
  <c r="BQ7" i="121"/>
  <c r="BP7" i="121"/>
  <c r="BO7" i="121"/>
  <c r="BN7" i="121"/>
  <c r="BM7" i="121"/>
  <c r="BL7" i="121"/>
  <c r="BK7" i="121"/>
  <c r="BJ7" i="121"/>
  <c r="BI7" i="121"/>
  <c r="BH7" i="121"/>
  <c r="BG7" i="121"/>
  <c r="BF7" i="121"/>
  <c r="BE7" i="121"/>
  <c r="BD7" i="121"/>
  <c r="BC7" i="121"/>
  <c r="BB7" i="121"/>
  <c r="BA7" i="121"/>
  <c r="AZ7" i="121"/>
  <c r="AY7" i="121"/>
  <c r="AX7" i="121"/>
  <c r="AW7" i="121"/>
  <c r="AV7" i="121"/>
  <c r="AU7" i="121"/>
  <c r="AT7" i="121"/>
  <c r="AS7" i="121"/>
  <c r="AR7" i="121"/>
  <c r="AQ7" i="121"/>
  <c r="AP7" i="121"/>
  <c r="AO7" i="121"/>
  <c r="AN7" i="121"/>
  <c r="AM7" i="121"/>
  <c r="AL7" i="121"/>
  <c r="AK7" i="121"/>
  <c r="AJ7" i="121"/>
  <c r="AI7" i="121"/>
  <c r="AH7" i="121"/>
  <c r="AG7" i="121"/>
  <c r="AF7" i="121"/>
  <c r="AE7" i="121"/>
  <c r="AD7" i="121"/>
  <c r="AC7" i="121"/>
  <c r="AB7" i="121"/>
  <c r="AA7" i="121"/>
  <c r="Z7" i="121"/>
  <c r="Y7" i="121"/>
  <c r="X7" i="121"/>
  <c r="W7" i="121"/>
  <c r="V7" i="121"/>
  <c r="U7" i="121"/>
  <c r="T7" i="121"/>
  <c r="S7" i="121"/>
  <c r="R7" i="121"/>
  <c r="Q7" i="121"/>
  <c r="P7" i="121"/>
  <c r="O7" i="121"/>
  <c r="N7" i="121"/>
  <c r="M7" i="121"/>
  <c r="L7" i="121"/>
  <c r="K7" i="121"/>
  <c r="J7" i="121"/>
  <c r="I7" i="121"/>
  <c r="H7" i="121"/>
  <c r="G7" i="121"/>
  <c r="E203" i="120"/>
  <c r="C203" i="120" s="1"/>
  <c r="E202" i="120"/>
  <c r="C202" i="120" s="1"/>
  <c r="E201" i="120"/>
  <c r="C201" i="120" s="1"/>
  <c r="E200" i="120"/>
  <c r="C200" i="120" s="1"/>
  <c r="E199" i="120"/>
  <c r="C199" i="120" s="1"/>
  <c r="E198" i="120"/>
  <c r="C198" i="120" s="1"/>
  <c r="E197" i="120"/>
  <c r="C197" i="120" s="1"/>
  <c r="E196" i="120"/>
  <c r="C196" i="120" s="1"/>
  <c r="E195" i="120"/>
  <c r="C195" i="120" s="1"/>
  <c r="E194" i="120"/>
  <c r="C194" i="120" s="1"/>
  <c r="E193" i="120"/>
  <c r="C193" i="120" s="1"/>
  <c r="E192" i="120"/>
  <c r="C192" i="120" s="1"/>
  <c r="E191" i="120"/>
  <c r="C191" i="120" s="1"/>
  <c r="E190" i="120"/>
  <c r="C190" i="120" s="1"/>
  <c r="E189" i="120"/>
  <c r="C189" i="120" s="1"/>
  <c r="E188" i="120"/>
  <c r="C188" i="120" s="1"/>
  <c r="E187" i="120"/>
  <c r="C187" i="120" s="1"/>
  <c r="E186" i="120"/>
  <c r="C186" i="120" s="1"/>
  <c r="E185" i="120"/>
  <c r="C185" i="120" s="1"/>
  <c r="E184" i="120"/>
  <c r="C184" i="120" s="1"/>
  <c r="E183" i="120"/>
  <c r="C183" i="120" s="1"/>
  <c r="E182" i="120"/>
  <c r="C182" i="120" s="1"/>
  <c r="E181" i="120"/>
  <c r="C181" i="120" s="1"/>
  <c r="E180" i="120"/>
  <c r="C180" i="120" s="1"/>
  <c r="E179" i="120"/>
  <c r="C179" i="120" s="1"/>
  <c r="E178" i="120"/>
  <c r="C178" i="120" s="1"/>
  <c r="E177" i="120"/>
  <c r="C177" i="120" s="1"/>
  <c r="E176" i="120"/>
  <c r="C176" i="120" s="1"/>
  <c r="E175" i="120"/>
  <c r="C175" i="120" s="1"/>
  <c r="E174" i="120"/>
  <c r="C174" i="120" s="1"/>
  <c r="E173" i="120"/>
  <c r="C173" i="120" s="1"/>
  <c r="E172" i="120"/>
  <c r="C172" i="120" s="1"/>
  <c r="E171" i="120"/>
  <c r="C171" i="120" s="1"/>
  <c r="E170" i="120"/>
  <c r="C170" i="120" s="1"/>
  <c r="E169" i="120"/>
  <c r="C169" i="120" s="1"/>
  <c r="E168" i="120"/>
  <c r="C168" i="120" s="1"/>
  <c r="E167" i="120"/>
  <c r="C167" i="120" s="1"/>
  <c r="E166" i="120"/>
  <c r="C166" i="120" s="1"/>
  <c r="E165" i="120"/>
  <c r="C165" i="120" s="1"/>
  <c r="E164" i="120"/>
  <c r="C164" i="120" s="1"/>
  <c r="E163" i="120"/>
  <c r="C163" i="120" s="1"/>
  <c r="E162" i="120"/>
  <c r="C162" i="120" s="1"/>
  <c r="E161" i="120"/>
  <c r="C161" i="120" s="1"/>
  <c r="E160" i="120"/>
  <c r="C160" i="120" s="1"/>
  <c r="E159" i="120"/>
  <c r="C159" i="120" s="1"/>
  <c r="E158" i="120"/>
  <c r="C158" i="120" s="1"/>
  <c r="E157" i="120"/>
  <c r="C157" i="120" s="1"/>
  <c r="E156" i="120"/>
  <c r="C156" i="120" s="1"/>
  <c r="E155" i="120"/>
  <c r="C155" i="120" s="1"/>
  <c r="E154" i="120"/>
  <c r="C154" i="120" s="1"/>
  <c r="E153" i="120"/>
  <c r="C153" i="120" s="1"/>
  <c r="E152" i="120"/>
  <c r="C152" i="120" s="1"/>
  <c r="E151" i="120"/>
  <c r="C151" i="120" s="1"/>
  <c r="E150" i="120"/>
  <c r="C150" i="120" s="1"/>
  <c r="E149" i="120"/>
  <c r="C149" i="120" s="1"/>
  <c r="E148" i="120"/>
  <c r="C148" i="120" s="1"/>
  <c r="E147" i="120"/>
  <c r="C147" i="120" s="1"/>
  <c r="E146" i="120"/>
  <c r="C146" i="120" s="1"/>
  <c r="E145" i="120"/>
  <c r="C145" i="120" s="1"/>
  <c r="E144" i="120"/>
  <c r="C144" i="120" s="1"/>
  <c r="E143" i="120"/>
  <c r="C143" i="120" s="1"/>
  <c r="E142" i="120"/>
  <c r="C142" i="120" s="1"/>
  <c r="E141" i="120"/>
  <c r="C141" i="120" s="1"/>
  <c r="E140" i="120"/>
  <c r="C140" i="120" s="1"/>
  <c r="E139" i="120"/>
  <c r="C139" i="120" s="1"/>
  <c r="E138" i="120"/>
  <c r="C138" i="120" s="1"/>
  <c r="E137" i="120"/>
  <c r="C137" i="120" s="1"/>
  <c r="E136" i="120"/>
  <c r="C136" i="120" s="1"/>
  <c r="E135" i="120"/>
  <c r="C135" i="120" s="1"/>
  <c r="E134" i="120"/>
  <c r="C134" i="120" s="1"/>
  <c r="E133" i="120"/>
  <c r="C133" i="120" s="1"/>
  <c r="E132" i="120"/>
  <c r="C132" i="120" s="1"/>
  <c r="E131" i="120"/>
  <c r="C131" i="120" s="1"/>
  <c r="E130" i="120"/>
  <c r="C130" i="120" s="1"/>
  <c r="E129" i="120"/>
  <c r="C129" i="120" s="1"/>
  <c r="E128" i="120"/>
  <c r="C128" i="120" s="1"/>
  <c r="E127" i="120"/>
  <c r="C127" i="120" s="1"/>
  <c r="E126" i="120"/>
  <c r="C126" i="120" s="1"/>
  <c r="E125" i="120"/>
  <c r="C125" i="120" s="1"/>
  <c r="E124" i="120"/>
  <c r="C124" i="120" s="1"/>
  <c r="E123" i="120"/>
  <c r="C123" i="120" s="1"/>
  <c r="E122" i="120"/>
  <c r="C122" i="120" s="1"/>
  <c r="E121" i="120"/>
  <c r="C121" i="120" s="1"/>
  <c r="E120" i="120"/>
  <c r="C120" i="120" s="1"/>
  <c r="E119" i="120"/>
  <c r="C119" i="120" s="1"/>
  <c r="E118" i="120"/>
  <c r="C118" i="120" s="1"/>
  <c r="E117" i="120"/>
  <c r="C117" i="120" s="1"/>
  <c r="E116" i="120"/>
  <c r="C116" i="120" s="1"/>
  <c r="E115" i="120"/>
  <c r="C115" i="120" s="1"/>
  <c r="E114" i="120"/>
  <c r="C114" i="120" s="1"/>
  <c r="E113" i="120"/>
  <c r="C113" i="120" s="1"/>
  <c r="E112" i="120"/>
  <c r="C112" i="120" s="1"/>
  <c r="E111" i="120"/>
  <c r="C111" i="120" s="1"/>
  <c r="E110" i="120"/>
  <c r="C110" i="120" s="1"/>
  <c r="E109" i="120"/>
  <c r="C109" i="120" s="1"/>
  <c r="E108" i="120"/>
  <c r="C108" i="120" s="1"/>
  <c r="E107" i="120"/>
  <c r="C107" i="120" s="1"/>
  <c r="E106" i="120"/>
  <c r="C106" i="120" s="1"/>
  <c r="E105" i="120"/>
  <c r="C105" i="120" s="1"/>
  <c r="E104" i="120"/>
  <c r="C104" i="120" s="1"/>
  <c r="E103" i="120"/>
  <c r="C103" i="120" s="1"/>
  <c r="E102" i="120"/>
  <c r="C102" i="120" s="1"/>
  <c r="E101" i="120"/>
  <c r="C101" i="120" s="1"/>
  <c r="E100" i="120"/>
  <c r="C100" i="120" s="1"/>
  <c r="E99" i="120"/>
  <c r="C99" i="120" s="1"/>
  <c r="E98" i="120"/>
  <c r="C98" i="120" s="1"/>
  <c r="E97" i="120"/>
  <c r="C97" i="120" s="1"/>
  <c r="E96" i="120"/>
  <c r="C96" i="120" s="1"/>
  <c r="E95" i="120"/>
  <c r="C95" i="120" s="1"/>
  <c r="E94" i="120"/>
  <c r="C94" i="120" s="1"/>
  <c r="E93" i="120"/>
  <c r="C93" i="120" s="1"/>
  <c r="E92" i="120"/>
  <c r="C92" i="120" s="1"/>
  <c r="E91" i="120"/>
  <c r="C91" i="120" s="1"/>
  <c r="E90" i="120"/>
  <c r="C90" i="120" s="1"/>
  <c r="E89" i="120"/>
  <c r="C89" i="120" s="1"/>
  <c r="E88" i="120"/>
  <c r="C88" i="120" s="1"/>
  <c r="E87" i="120"/>
  <c r="C87" i="120" s="1"/>
  <c r="E86" i="120"/>
  <c r="C86" i="120" s="1"/>
  <c r="E85" i="120"/>
  <c r="C85" i="120" s="1"/>
  <c r="E84" i="120"/>
  <c r="C84" i="120" s="1"/>
  <c r="E83" i="120"/>
  <c r="C83" i="120" s="1"/>
  <c r="E82" i="120"/>
  <c r="C82" i="120" s="1"/>
  <c r="E81" i="120"/>
  <c r="C81" i="120" s="1"/>
  <c r="E80" i="120"/>
  <c r="C80" i="120" s="1"/>
  <c r="E79" i="120"/>
  <c r="C79" i="120" s="1"/>
  <c r="E78" i="120"/>
  <c r="C78" i="120" s="1"/>
  <c r="E77" i="120"/>
  <c r="C77" i="120" s="1"/>
  <c r="E76" i="120"/>
  <c r="C76" i="120" s="1"/>
  <c r="E75" i="120"/>
  <c r="C75" i="120" s="1"/>
  <c r="E74" i="120"/>
  <c r="C74" i="120" s="1"/>
  <c r="E73" i="120"/>
  <c r="C73" i="120" s="1"/>
  <c r="E72" i="120"/>
  <c r="C72" i="120" s="1"/>
  <c r="E71" i="120"/>
  <c r="C71" i="120" s="1"/>
  <c r="E70" i="120"/>
  <c r="C70" i="120" s="1"/>
  <c r="E69" i="120"/>
  <c r="C69" i="120" s="1"/>
  <c r="E68" i="120"/>
  <c r="C68" i="120" s="1"/>
  <c r="E67" i="120"/>
  <c r="C67" i="120" s="1"/>
  <c r="E66" i="120"/>
  <c r="C66" i="120" s="1"/>
  <c r="E65" i="120"/>
  <c r="C65" i="120" s="1"/>
  <c r="E64" i="120"/>
  <c r="C64" i="120" s="1"/>
  <c r="E63" i="120"/>
  <c r="C63" i="120" s="1"/>
  <c r="E62" i="120"/>
  <c r="C62" i="120" s="1"/>
  <c r="E61" i="120"/>
  <c r="C61" i="120" s="1"/>
  <c r="E60" i="120"/>
  <c r="C60" i="120" s="1"/>
  <c r="E59" i="120"/>
  <c r="C59" i="120" s="1"/>
  <c r="E58" i="120"/>
  <c r="C58" i="120" s="1"/>
  <c r="E57" i="120"/>
  <c r="C57" i="120" s="1"/>
  <c r="E56" i="120"/>
  <c r="C56" i="120" s="1"/>
  <c r="E55" i="120"/>
  <c r="C55" i="120" s="1"/>
  <c r="E54" i="120"/>
  <c r="C54" i="120" s="1"/>
  <c r="E53" i="120"/>
  <c r="C53" i="120" s="1"/>
  <c r="E52" i="120"/>
  <c r="C52" i="120" s="1"/>
  <c r="E51" i="120"/>
  <c r="C51" i="120" s="1"/>
  <c r="E50" i="120"/>
  <c r="C50" i="120" s="1"/>
  <c r="E49" i="120"/>
  <c r="C49" i="120" s="1"/>
  <c r="E48" i="120"/>
  <c r="C48" i="120" s="1"/>
  <c r="E47" i="120"/>
  <c r="C47" i="120" s="1"/>
  <c r="E46" i="120"/>
  <c r="C46" i="120" s="1"/>
  <c r="E45" i="120"/>
  <c r="C45" i="120" s="1"/>
  <c r="E44" i="120"/>
  <c r="C44" i="120" s="1"/>
  <c r="E43" i="120"/>
  <c r="C43" i="120" s="1"/>
  <c r="E42" i="120"/>
  <c r="C42" i="120" s="1"/>
  <c r="E41" i="120"/>
  <c r="C41" i="120" s="1"/>
  <c r="E40" i="120"/>
  <c r="C40" i="120" s="1"/>
  <c r="E39" i="120"/>
  <c r="C39" i="120" s="1"/>
  <c r="E38" i="120"/>
  <c r="C38" i="120" s="1"/>
  <c r="E37" i="120"/>
  <c r="C37" i="120" s="1"/>
  <c r="E36" i="120"/>
  <c r="C36" i="120" s="1"/>
  <c r="E35" i="120"/>
  <c r="C35" i="120" s="1"/>
  <c r="E34" i="120"/>
  <c r="C34" i="120" s="1"/>
  <c r="E33" i="120"/>
  <c r="C33" i="120" s="1"/>
  <c r="E32" i="120"/>
  <c r="C32" i="120" s="1"/>
  <c r="E31" i="120"/>
  <c r="C31" i="120" s="1"/>
  <c r="E30" i="120"/>
  <c r="C30" i="120" s="1"/>
  <c r="E29" i="120"/>
  <c r="C29" i="120" s="1"/>
  <c r="E28" i="120"/>
  <c r="C28" i="120" s="1"/>
  <c r="E27" i="120"/>
  <c r="C27" i="120" s="1"/>
  <c r="E26" i="120"/>
  <c r="C26" i="120" s="1"/>
  <c r="E25" i="120"/>
  <c r="C25" i="120" s="1"/>
  <c r="E24" i="120"/>
  <c r="C24" i="120" s="1"/>
  <c r="E23" i="120"/>
  <c r="C23" i="120" s="1"/>
  <c r="E22" i="120"/>
  <c r="C22" i="120" s="1"/>
  <c r="E21" i="120"/>
  <c r="C21" i="120" s="1"/>
  <c r="E20" i="120"/>
  <c r="C20" i="120" s="1"/>
  <c r="E19" i="120"/>
  <c r="C19" i="120" s="1"/>
  <c r="E18" i="120"/>
  <c r="C18" i="120" s="1"/>
  <c r="E17" i="120"/>
  <c r="C17" i="120" s="1"/>
  <c r="E16" i="120"/>
  <c r="C16" i="120" s="1"/>
  <c r="E15" i="120"/>
  <c r="C15" i="120" s="1"/>
  <c r="E14" i="120"/>
  <c r="C14" i="120" s="1"/>
  <c r="E13" i="120"/>
  <c r="C13" i="120" s="1"/>
  <c r="E12" i="120"/>
  <c r="C12" i="120" s="1"/>
  <c r="E11" i="120"/>
  <c r="C11" i="120" s="1"/>
  <c r="E10" i="120"/>
  <c r="C10" i="120" s="1"/>
  <c r="GA7" i="120"/>
  <c r="GA6" i="120" s="1"/>
  <c r="FZ7" i="120"/>
  <c r="FZ6" i="120" s="1"/>
  <c r="FY7" i="120"/>
  <c r="FY6" i="120" s="1"/>
  <c r="FX7" i="120"/>
  <c r="FX6" i="120" s="1"/>
  <c r="FW7" i="120"/>
  <c r="FW6" i="120" s="1"/>
  <c r="FV7" i="120"/>
  <c r="FV6" i="120" s="1"/>
  <c r="FU7" i="120"/>
  <c r="FU6" i="120" s="1"/>
  <c r="FT7" i="120"/>
  <c r="FT6" i="120" s="1"/>
  <c r="FS7" i="120"/>
  <c r="FS6" i="120" s="1"/>
  <c r="FR7" i="120"/>
  <c r="FR6" i="120" s="1"/>
  <c r="FQ7" i="120"/>
  <c r="FQ6" i="120" s="1"/>
  <c r="FP7" i="120"/>
  <c r="FP6" i="120" s="1"/>
  <c r="FO7" i="120"/>
  <c r="FO6" i="120" s="1"/>
  <c r="FN7" i="120"/>
  <c r="FN6" i="120" s="1"/>
  <c r="FM7" i="120"/>
  <c r="FM6" i="120" s="1"/>
  <c r="FL7" i="120"/>
  <c r="FL6" i="120" s="1"/>
  <c r="FK7" i="120"/>
  <c r="FK6" i="120" s="1"/>
  <c r="FJ7" i="120"/>
  <c r="FJ6" i="120" s="1"/>
  <c r="FI7" i="120"/>
  <c r="FI6" i="120" s="1"/>
  <c r="FH7" i="120"/>
  <c r="FH6" i="120" s="1"/>
  <c r="FG7" i="120"/>
  <c r="FG6" i="120" s="1"/>
  <c r="FF7" i="120"/>
  <c r="FF6" i="120" s="1"/>
  <c r="FE7" i="120"/>
  <c r="FE6" i="120" s="1"/>
  <c r="FD7" i="120"/>
  <c r="FD6" i="120" s="1"/>
  <c r="FC7" i="120"/>
  <c r="FC6" i="120" s="1"/>
  <c r="FB7" i="120"/>
  <c r="FB6" i="120" s="1"/>
  <c r="FA7" i="120"/>
  <c r="FA6" i="120" s="1"/>
  <c r="EZ7" i="120"/>
  <c r="EZ6" i="120" s="1"/>
  <c r="EY7" i="120"/>
  <c r="EY6" i="120" s="1"/>
  <c r="EX7" i="120"/>
  <c r="EX6" i="120" s="1"/>
  <c r="EW7" i="120"/>
  <c r="EW6" i="120" s="1"/>
  <c r="EV7" i="120"/>
  <c r="EV6" i="120" s="1"/>
  <c r="EU7" i="120"/>
  <c r="EU6" i="120" s="1"/>
  <c r="ET7" i="120"/>
  <c r="ET6" i="120" s="1"/>
  <c r="ES7" i="120"/>
  <c r="ES6" i="120" s="1"/>
  <c r="ER7" i="120"/>
  <c r="ER6" i="120" s="1"/>
  <c r="EQ7" i="120"/>
  <c r="EQ6" i="120" s="1"/>
  <c r="EP7" i="120"/>
  <c r="EP6" i="120" s="1"/>
  <c r="EO7" i="120"/>
  <c r="EO6" i="120" s="1"/>
  <c r="EN7" i="120"/>
  <c r="EN6" i="120" s="1"/>
  <c r="EM7" i="120"/>
  <c r="EM6" i="120" s="1"/>
  <c r="EL7" i="120"/>
  <c r="EL6" i="120" s="1"/>
  <c r="EK7" i="120"/>
  <c r="EK6" i="120" s="1"/>
  <c r="EJ7" i="120"/>
  <c r="EJ6" i="120" s="1"/>
  <c r="EI7" i="120"/>
  <c r="EI6" i="120" s="1"/>
  <c r="EH7" i="120"/>
  <c r="EH6" i="120" s="1"/>
  <c r="EG7" i="120"/>
  <c r="EG6" i="120" s="1"/>
  <c r="EF7" i="120"/>
  <c r="EF6" i="120" s="1"/>
  <c r="EE7" i="120"/>
  <c r="EE6" i="120" s="1"/>
  <c r="ED7" i="120"/>
  <c r="ED6" i="120" s="1"/>
  <c r="EC7" i="120"/>
  <c r="EC6" i="120" s="1"/>
  <c r="EB7" i="120"/>
  <c r="EB6" i="120" s="1"/>
  <c r="EA7" i="120"/>
  <c r="EA6" i="120" s="1"/>
  <c r="DZ7" i="120"/>
  <c r="DZ6" i="120" s="1"/>
  <c r="DY7" i="120"/>
  <c r="DY6" i="120" s="1"/>
  <c r="DX7" i="120"/>
  <c r="DX6" i="120" s="1"/>
  <c r="DW7" i="120"/>
  <c r="DW6" i="120" s="1"/>
  <c r="DV7" i="120"/>
  <c r="DV6" i="120" s="1"/>
  <c r="DU7" i="120"/>
  <c r="DU6" i="120" s="1"/>
  <c r="DT7" i="120"/>
  <c r="DT6" i="120" s="1"/>
  <c r="DS7" i="120"/>
  <c r="DS6" i="120" s="1"/>
  <c r="DR7" i="120"/>
  <c r="DR6" i="120" s="1"/>
  <c r="DQ7" i="120"/>
  <c r="DQ6" i="120" s="1"/>
  <c r="DP7" i="120"/>
  <c r="DP6" i="120" s="1"/>
  <c r="DO7" i="120"/>
  <c r="DO6" i="120" s="1"/>
  <c r="DN7" i="120"/>
  <c r="DN6" i="120" s="1"/>
  <c r="DM7" i="120"/>
  <c r="DM6" i="120" s="1"/>
  <c r="DL7" i="120"/>
  <c r="DL6" i="120" s="1"/>
  <c r="DK7" i="120"/>
  <c r="DK6" i="120" s="1"/>
  <c r="DJ7" i="120"/>
  <c r="DJ6" i="120" s="1"/>
  <c r="DI7" i="120"/>
  <c r="DI6" i="120" s="1"/>
  <c r="DH7" i="120"/>
  <c r="DH6" i="120" s="1"/>
  <c r="DG7" i="120"/>
  <c r="DG6" i="120" s="1"/>
  <c r="DF7" i="120"/>
  <c r="DF6" i="120" s="1"/>
  <c r="DE7" i="120"/>
  <c r="DE6" i="120" s="1"/>
  <c r="DD7" i="120"/>
  <c r="DD6" i="120" s="1"/>
  <c r="DC7" i="120"/>
  <c r="DC6" i="120" s="1"/>
  <c r="DB7" i="120"/>
  <c r="DB6" i="120" s="1"/>
  <c r="DA7" i="120"/>
  <c r="DA6" i="120" s="1"/>
  <c r="CZ7" i="120"/>
  <c r="CZ6" i="120" s="1"/>
  <c r="CY7" i="120"/>
  <c r="CY6" i="120" s="1"/>
  <c r="CX7" i="120"/>
  <c r="CX6" i="120" s="1"/>
  <c r="CW7" i="120"/>
  <c r="CW6" i="120" s="1"/>
  <c r="CV7" i="120"/>
  <c r="CV6" i="120" s="1"/>
  <c r="CU7" i="120"/>
  <c r="CU6" i="120" s="1"/>
  <c r="CT7" i="120"/>
  <c r="CT6" i="120" s="1"/>
  <c r="CS7" i="120"/>
  <c r="CS6" i="120" s="1"/>
  <c r="CR7" i="120"/>
  <c r="CR6" i="120" s="1"/>
  <c r="CQ7" i="120"/>
  <c r="CQ6" i="120" s="1"/>
  <c r="CP7" i="120"/>
  <c r="CP6" i="120" s="1"/>
  <c r="CO7" i="120"/>
  <c r="CO6" i="120" s="1"/>
  <c r="CN7" i="120"/>
  <c r="CN6" i="120" s="1"/>
  <c r="CM7" i="120"/>
  <c r="CM6" i="120" s="1"/>
  <c r="CL7" i="120"/>
  <c r="CL6" i="120" s="1"/>
  <c r="CK7" i="120"/>
  <c r="CK6" i="120" s="1"/>
  <c r="CJ7" i="120"/>
  <c r="CJ6" i="120" s="1"/>
  <c r="CI7" i="120"/>
  <c r="CI6" i="120" s="1"/>
  <c r="CH7" i="120"/>
  <c r="CH6" i="120" s="1"/>
  <c r="CG7" i="120"/>
  <c r="CG6" i="120" s="1"/>
  <c r="CF7" i="120"/>
  <c r="CF6" i="120" s="1"/>
  <c r="CE7" i="120"/>
  <c r="CE6" i="120" s="1"/>
  <c r="CD7" i="120"/>
  <c r="CD6" i="120" s="1"/>
  <c r="CC7" i="120"/>
  <c r="CC6" i="120" s="1"/>
  <c r="CB7" i="120"/>
  <c r="CB6" i="120" s="1"/>
  <c r="CA7" i="120"/>
  <c r="CA6" i="120" s="1"/>
  <c r="BZ7" i="120"/>
  <c r="BZ6" i="120" s="1"/>
  <c r="BY7" i="120"/>
  <c r="BY6" i="120" s="1"/>
  <c r="BX7" i="120"/>
  <c r="BX6" i="120" s="1"/>
  <c r="BW7" i="120"/>
  <c r="BW6" i="120" s="1"/>
  <c r="BV7" i="120"/>
  <c r="BV6" i="120" s="1"/>
  <c r="BU7" i="120"/>
  <c r="BU6" i="120" s="1"/>
  <c r="BT7" i="120"/>
  <c r="BT6" i="120" s="1"/>
  <c r="BS7" i="120"/>
  <c r="BS6" i="120" s="1"/>
  <c r="BR7" i="120"/>
  <c r="BR6" i="120" s="1"/>
  <c r="BQ7" i="120"/>
  <c r="BQ6" i="120" s="1"/>
  <c r="BP7" i="120"/>
  <c r="BP6" i="120" s="1"/>
  <c r="BO7" i="120"/>
  <c r="BO6" i="120" s="1"/>
  <c r="BN7" i="120"/>
  <c r="BN6" i="120" s="1"/>
  <c r="BM7" i="120"/>
  <c r="BM6" i="120" s="1"/>
  <c r="BL7" i="120"/>
  <c r="BL6" i="120" s="1"/>
  <c r="BK7" i="120"/>
  <c r="BK6" i="120" s="1"/>
  <c r="BJ7" i="120"/>
  <c r="BJ6" i="120" s="1"/>
  <c r="BI7" i="120"/>
  <c r="BI6" i="120" s="1"/>
  <c r="BH7" i="120"/>
  <c r="BH6" i="120" s="1"/>
  <c r="BG7" i="120"/>
  <c r="BG6" i="120" s="1"/>
  <c r="BF7" i="120"/>
  <c r="BF6" i="120" s="1"/>
  <c r="BE7" i="120"/>
  <c r="BE6" i="120" s="1"/>
  <c r="BD7" i="120"/>
  <c r="BD6" i="120" s="1"/>
  <c r="BC7" i="120"/>
  <c r="BC6" i="120" s="1"/>
  <c r="BB7" i="120"/>
  <c r="BB6" i="120" s="1"/>
  <c r="BA7" i="120"/>
  <c r="BA6" i="120" s="1"/>
  <c r="AZ7" i="120"/>
  <c r="AZ6" i="120" s="1"/>
  <c r="AY7" i="120"/>
  <c r="AY6" i="120" s="1"/>
  <c r="AX7" i="120"/>
  <c r="AX6" i="120" s="1"/>
  <c r="AW7" i="120"/>
  <c r="AW6" i="120" s="1"/>
  <c r="AV7" i="120"/>
  <c r="AV6" i="120" s="1"/>
  <c r="AU7" i="120"/>
  <c r="AU6" i="120" s="1"/>
  <c r="AT7" i="120"/>
  <c r="AT6" i="120" s="1"/>
  <c r="AS7" i="120"/>
  <c r="AS6" i="120" s="1"/>
  <c r="AR7" i="120"/>
  <c r="AR6" i="120" s="1"/>
  <c r="AQ7" i="120"/>
  <c r="AQ6" i="120" s="1"/>
  <c r="AP7" i="120"/>
  <c r="AP6" i="120" s="1"/>
  <c r="AO7" i="120"/>
  <c r="AO6" i="120" s="1"/>
  <c r="AN7" i="120"/>
  <c r="AN6" i="120" s="1"/>
  <c r="AM7" i="120"/>
  <c r="AM6" i="120" s="1"/>
  <c r="AL7" i="120"/>
  <c r="AL6" i="120" s="1"/>
  <c r="AK7" i="120"/>
  <c r="AK6" i="120" s="1"/>
  <c r="AJ7" i="120"/>
  <c r="AJ6" i="120" s="1"/>
  <c r="AI7" i="120"/>
  <c r="AI6" i="120" s="1"/>
  <c r="AH7" i="120"/>
  <c r="AG7" i="120"/>
  <c r="AF7" i="120"/>
  <c r="AF6" i="120" s="1"/>
  <c r="AE7" i="120"/>
  <c r="AE6" i="120" s="1"/>
  <c r="AD7" i="120"/>
  <c r="AD6" i="120" s="1"/>
  <c r="AC7" i="120"/>
  <c r="AC6" i="120" s="1"/>
  <c r="AB7" i="120"/>
  <c r="AB6" i="120" s="1"/>
  <c r="AA7" i="120"/>
  <c r="AA6" i="120" s="1"/>
  <c r="Z7" i="120"/>
  <c r="Z6" i="120" s="1"/>
  <c r="Y7" i="120"/>
  <c r="Y6" i="120" s="1"/>
  <c r="X7" i="120"/>
  <c r="X6" i="120" s="1"/>
  <c r="W7" i="120"/>
  <c r="W6" i="120" s="1"/>
  <c r="V7" i="120"/>
  <c r="V6" i="120" s="1"/>
  <c r="U7" i="120"/>
  <c r="U6" i="120" s="1"/>
  <c r="T7" i="120"/>
  <c r="T6" i="120" s="1"/>
  <c r="S7" i="120"/>
  <c r="R7" i="120"/>
  <c r="R6" i="120" s="1"/>
  <c r="Q7" i="120"/>
  <c r="P7" i="120"/>
  <c r="P6" i="120" s="1"/>
  <c r="O7" i="120"/>
  <c r="O6" i="120" s="1"/>
  <c r="N7" i="120"/>
  <c r="N6" i="120" s="1"/>
  <c r="M7" i="120"/>
  <c r="M6" i="120" s="1"/>
  <c r="L7" i="120"/>
  <c r="K7" i="120"/>
  <c r="K6" i="120" s="1"/>
  <c r="J7" i="120"/>
  <c r="I7" i="120"/>
  <c r="H7" i="120"/>
  <c r="H6" i="120" s="1"/>
  <c r="G7" i="120"/>
  <c r="E203" i="119"/>
  <c r="C203" i="119" s="1"/>
  <c r="E202" i="119"/>
  <c r="C202" i="119" s="1"/>
  <c r="E201" i="119"/>
  <c r="C201" i="119" s="1"/>
  <c r="E200" i="119"/>
  <c r="C200" i="119" s="1"/>
  <c r="E199" i="119"/>
  <c r="C199" i="119" s="1"/>
  <c r="E198" i="119"/>
  <c r="C198" i="119" s="1"/>
  <c r="E197" i="119"/>
  <c r="C197" i="119" s="1"/>
  <c r="E196" i="119"/>
  <c r="C196" i="119" s="1"/>
  <c r="E195" i="119"/>
  <c r="C195" i="119" s="1"/>
  <c r="E194" i="119"/>
  <c r="C194" i="119" s="1"/>
  <c r="E193" i="119"/>
  <c r="C193" i="119" s="1"/>
  <c r="E192" i="119"/>
  <c r="C192" i="119" s="1"/>
  <c r="E191" i="119"/>
  <c r="C191" i="119" s="1"/>
  <c r="E190" i="119"/>
  <c r="C190" i="119" s="1"/>
  <c r="E189" i="119"/>
  <c r="C189" i="119" s="1"/>
  <c r="E188" i="119"/>
  <c r="C188" i="119" s="1"/>
  <c r="E187" i="119"/>
  <c r="C187" i="119" s="1"/>
  <c r="E186" i="119"/>
  <c r="C186" i="119" s="1"/>
  <c r="E185" i="119"/>
  <c r="C185" i="119" s="1"/>
  <c r="E184" i="119"/>
  <c r="C184" i="119" s="1"/>
  <c r="E183" i="119"/>
  <c r="C183" i="119" s="1"/>
  <c r="E182" i="119"/>
  <c r="C182" i="119" s="1"/>
  <c r="E181" i="119"/>
  <c r="C181" i="119" s="1"/>
  <c r="E180" i="119"/>
  <c r="C180" i="119" s="1"/>
  <c r="E179" i="119"/>
  <c r="C179" i="119" s="1"/>
  <c r="E178" i="119"/>
  <c r="C178" i="119" s="1"/>
  <c r="E177" i="119"/>
  <c r="C177" i="119" s="1"/>
  <c r="E176" i="119"/>
  <c r="C176" i="119" s="1"/>
  <c r="E175" i="119"/>
  <c r="C175" i="119" s="1"/>
  <c r="E174" i="119"/>
  <c r="C174" i="119" s="1"/>
  <c r="E173" i="119"/>
  <c r="C173" i="119" s="1"/>
  <c r="E172" i="119"/>
  <c r="C172" i="119" s="1"/>
  <c r="E171" i="119"/>
  <c r="C171" i="119" s="1"/>
  <c r="E170" i="119"/>
  <c r="C170" i="119" s="1"/>
  <c r="E169" i="119"/>
  <c r="C169" i="119" s="1"/>
  <c r="E168" i="119"/>
  <c r="C168" i="119" s="1"/>
  <c r="E167" i="119"/>
  <c r="C167" i="119" s="1"/>
  <c r="E166" i="119"/>
  <c r="C166" i="119" s="1"/>
  <c r="E165" i="119"/>
  <c r="C165" i="119" s="1"/>
  <c r="E164" i="119"/>
  <c r="C164" i="119" s="1"/>
  <c r="E163" i="119"/>
  <c r="C163" i="119" s="1"/>
  <c r="E162" i="119"/>
  <c r="C162" i="119" s="1"/>
  <c r="E161" i="119"/>
  <c r="C161" i="119" s="1"/>
  <c r="E160" i="119"/>
  <c r="C160" i="119" s="1"/>
  <c r="E159" i="119"/>
  <c r="C159" i="119" s="1"/>
  <c r="E158" i="119"/>
  <c r="C158" i="119" s="1"/>
  <c r="E157" i="119"/>
  <c r="C157" i="119" s="1"/>
  <c r="E156" i="119"/>
  <c r="C156" i="119" s="1"/>
  <c r="E155" i="119"/>
  <c r="C155" i="119" s="1"/>
  <c r="E154" i="119"/>
  <c r="C154" i="119" s="1"/>
  <c r="E153" i="119"/>
  <c r="C153" i="119" s="1"/>
  <c r="E152" i="119"/>
  <c r="C152" i="119" s="1"/>
  <c r="E151" i="119"/>
  <c r="C151" i="119" s="1"/>
  <c r="E150" i="119"/>
  <c r="C150" i="119" s="1"/>
  <c r="E149" i="119"/>
  <c r="C149" i="119" s="1"/>
  <c r="E148" i="119"/>
  <c r="C148" i="119" s="1"/>
  <c r="E147" i="119"/>
  <c r="C147" i="119" s="1"/>
  <c r="E146" i="119"/>
  <c r="C146" i="119" s="1"/>
  <c r="E145" i="119"/>
  <c r="C145" i="119" s="1"/>
  <c r="E144" i="119"/>
  <c r="C144" i="119" s="1"/>
  <c r="E143" i="119"/>
  <c r="C143" i="119" s="1"/>
  <c r="E142" i="119"/>
  <c r="C142" i="119" s="1"/>
  <c r="E141" i="119"/>
  <c r="C141" i="119" s="1"/>
  <c r="E140" i="119"/>
  <c r="C140" i="119" s="1"/>
  <c r="E139" i="119"/>
  <c r="C139" i="119" s="1"/>
  <c r="E138" i="119"/>
  <c r="C138" i="119" s="1"/>
  <c r="E137" i="119"/>
  <c r="C137" i="119" s="1"/>
  <c r="E136" i="119"/>
  <c r="C136" i="119" s="1"/>
  <c r="E135" i="119"/>
  <c r="C135" i="119" s="1"/>
  <c r="E134" i="119"/>
  <c r="C134" i="119" s="1"/>
  <c r="E133" i="119"/>
  <c r="C133" i="119" s="1"/>
  <c r="E132" i="119"/>
  <c r="C132" i="119" s="1"/>
  <c r="E131" i="119"/>
  <c r="C131" i="119" s="1"/>
  <c r="E130" i="119"/>
  <c r="C130" i="119" s="1"/>
  <c r="E129" i="119"/>
  <c r="C129" i="119" s="1"/>
  <c r="E128" i="119"/>
  <c r="C128" i="119" s="1"/>
  <c r="E127" i="119"/>
  <c r="C127" i="119" s="1"/>
  <c r="E126" i="119"/>
  <c r="C126" i="119" s="1"/>
  <c r="E125" i="119"/>
  <c r="C125" i="119" s="1"/>
  <c r="E124" i="119"/>
  <c r="C124" i="119" s="1"/>
  <c r="E123" i="119"/>
  <c r="C123" i="119" s="1"/>
  <c r="E122" i="119"/>
  <c r="C122" i="119" s="1"/>
  <c r="E121" i="119"/>
  <c r="C121" i="119" s="1"/>
  <c r="E120" i="119"/>
  <c r="C120" i="119" s="1"/>
  <c r="E119" i="119"/>
  <c r="C119" i="119" s="1"/>
  <c r="E118" i="119"/>
  <c r="C118" i="119" s="1"/>
  <c r="E117" i="119"/>
  <c r="C117" i="119" s="1"/>
  <c r="E116" i="119"/>
  <c r="C116" i="119" s="1"/>
  <c r="E115" i="119"/>
  <c r="C115" i="119" s="1"/>
  <c r="E114" i="119"/>
  <c r="C114" i="119" s="1"/>
  <c r="E113" i="119"/>
  <c r="C113" i="119" s="1"/>
  <c r="E112" i="119"/>
  <c r="C112" i="119" s="1"/>
  <c r="E111" i="119"/>
  <c r="C111" i="119" s="1"/>
  <c r="E110" i="119"/>
  <c r="C110" i="119" s="1"/>
  <c r="E109" i="119"/>
  <c r="C109" i="119" s="1"/>
  <c r="E108" i="119"/>
  <c r="C108" i="119" s="1"/>
  <c r="E107" i="119"/>
  <c r="C107" i="119" s="1"/>
  <c r="E106" i="119"/>
  <c r="C106" i="119" s="1"/>
  <c r="E105" i="119"/>
  <c r="C105" i="119" s="1"/>
  <c r="E104" i="119"/>
  <c r="C104" i="119" s="1"/>
  <c r="E103" i="119"/>
  <c r="C103" i="119" s="1"/>
  <c r="E102" i="119"/>
  <c r="C102" i="119" s="1"/>
  <c r="E101" i="119"/>
  <c r="C101" i="119" s="1"/>
  <c r="E100" i="119"/>
  <c r="C100" i="119" s="1"/>
  <c r="E99" i="119"/>
  <c r="C99" i="119" s="1"/>
  <c r="E98" i="119"/>
  <c r="C98" i="119" s="1"/>
  <c r="E97" i="119"/>
  <c r="C97" i="119" s="1"/>
  <c r="E96" i="119"/>
  <c r="C96" i="119" s="1"/>
  <c r="E95" i="119"/>
  <c r="C95" i="119" s="1"/>
  <c r="E94" i="119"/>
  <c r="C94" i="119" s="1"/>
  <c r="E93" i="119"/>
  <c r="C93" i="119" s="1"/>
  <c r="E92" i="119"/>
  <c r="C92" i="119" s="1"/>
  <c r="E91" i="119"/>
  <c r="C91" i="119" s="1"/>
  <c r="E90" i="119"/>
  <c r="C90" i="119" s="1"/>
  <c r="E89" i="119"/>
  <c r="C89" i="119" s="1"/>
  <c r="E88" i="119"/>
  <c r="C88" i="119" s="1"/>
  <c r="E87" i="119"/>
  <c r="C87" i="119" s="1"/>
  <c r="E86" i="119"/>
  <c r="C86" i="119" s="1"/>
  <c r="E85" i="119"/>
  <c r="C85" i="119" s="1"/>
  <c r="E84" i="119"/>
  <c r="C84" i="119" s="1"/>
  <c r="E83" i="119"/>
  <c r="C83" i="119" s="1"/>
  <c r="E82" i="119"/>
  <c r="C82" i="119" s="1"/>
  <c r="E81" i="119"/>
  <c r="C81" i="119" s="1"/>
  <c r="E80" i="119"/>
  <c r="C80" i="119" s="1"/>
  <c r="E79" i="119"/>
  <c r="C79" i="119" s="1"/>
  <c r="E78" i="119"/>
  <c r="C78" i="119" s="1"/>
  <c r="E77" i="119"/>
  <c r="C77" i="119" s="1"/>
  <c r="E76" i="119"/>
  <c r="C76" i="119" s="1"/>
  <c r="E75" i="119"/>
  <c r="C75" i="119" s="1"/>
  <c r="E74" i="119"/>
  <c r="C74" i="119" s="1"/>
  <c r="E73" i="119"/>
  <c r="C73" i="119" s="1"/>
  <c r="E72" i="119"/>
  <c r="C72" i="119" s="1"/>
  <c r="E71" i="119"/>
  <c r="C71" i="119" s="1"/>
  <c r="E70" i="119"/>
  <c r="C70" i="119" s="1"/>
  <c r="E69" i="119"/>
  <c r="C69" i="119" s="1"/>
  <c r="E68" i="119"/>
  <c r="C68" i="119" s="1"/>
  <c r="E67" i="119"/>
  <c r="C67" i="119" s="1"/>
  <c r="E66" i="119"/>
  <c r="C66" i="119" s="1"/>
  <c r="E65" i="119"/>
  <c r="C65" i="119" s="1"/>
  <c r="E64" i="119"/>
  <c r="C64" i="119" s="1"/>
  <c r="E63" i="119"/>
  <c r="C63" i="119" s="1"/>
  <c r="E62" i="119"/>
  <c r="C62" i="119" s="1"/>
  <c r="E61" i="119"/>
  <c r="C61" i="119" s="1"/>
  <c r="E60" i="119"/>
  <c r="C60" i="119" s="1"/>
  <c r="E59" i="119"/>
  <c r="C59" i="119" s="1"/>
  <c r="E58" i="119"/>
  <c r="C58" i="119" s="1"/>
  <c r="E57" i="119"/>
  <c r="C57" i="119" s="1"/>
  <c r="E56" i="119"/>
  <c r="C56" i="119" s="1"/>
  <c r="E55" i="119"/>
  <c r="C55" i="119" s="1"/>
  <c r="E54" i="119"/>
  <c r="C54" i="119" s="1"/>
  <c r="E53" i="119"/>
  <c r="C53" i="119" s="1"/>
  <c r="E52" i="119"/>
  <c r="C52" i="119" s="1"/>
  <c r="E51" i="119"/>
  <c r="C51" i="119" s="1"/>
  <c r="E50" i="119"/>
  <c r="C50" i="119" s="1"/>
  <c r="E49" i="119"/>
  <c r="C49" i="119" s="1"/>
  <c r="E48" i="119"/>
  <c r="C48" i="119" s="1"/>
  <c r="E47" i="119"/>
  <c r="C47" i="119" s="1"/>
  <c r="E46" i="119"/>
  <c r="C46" i="119" s="1"/>
  <c r="E45" i="119"/>
  <c r="C45" i="119" s="1"/>
  <c r="E44" i="119"/>
  <c r="C44" i="119" s="1"/>
  <c r="E43" i="119"/>
  <c r="C43" i="119" s="1"/>
  <c r="E42" i="119"/>
  <c r="C42" i="119" s="1"/>
  <c r="E41" i="119"/>
  <c r="C41" i="119" s="1"/>
  <c r="E40" i="119"/>
  <c r="C40" i="119" s="1"/>
  <c r="E39" i="119"/>
  <c r="C39" i="119" s="1"/>
  <c r="E38" i="119"/>
  <c r="C38" i="119" s="1"/>
  <c r="E37" i="119"/>
  <c r="C37" i="119" s="1"/>
  <c r="E36" i="119"/>
  <c r="C36" i="119" s="1"/>
  <c r="E35" i="119"/>
  <c r="C35" i="119" s="1"/>
  <c r="E34" i="119"/>
  <c r="C34" i="119" s="1"/>
  <c r="E33" i="119"/>
  <c r="C33" i="119" s="1"/>
  <c r="E32" i="119"/>
  <c r="C32" i="119" s="1"/>
  <c r="E31" i="119"/>
  <c r="C31" i="119" s="1"/>
  <c r="E30" i="119"/>
  <c r="C30" i="119" s="1"/>
  <c r="E29" i="119"/>
  <c r="C29" i="119" s="1"/>
  <c r="E28" i="119"/>
  <c r="C28" i="119" s="1"/>
  <c r="E27" i="119"/>
  <c r="C27" i="119" s="1"/>
  <c r="E26" i="119"/>
  <c r="C26" i="119" s="1"/>
  <c r="E25" i="119"/>
  <c r="C25" i="119" s="1"/>
  <c r="E24" i="119"/>
  <c r="C24" i="119" s="1"/>
  <c r="E23" i="119"/>
  <c r="C23" i="119" s="1"/>
  <c r="E22" i="119"/>
  <c r="C22" i="119" s="1"/>
  <c r="E21" i="119"/>
  <c r="C21" i="119" s="1"/>
  <c r="E20" i="119"/>
  <c r="C20" i="119" s="1"/>
  <c r="E19" i="119"/>
  <c r="C19" i="119" s="1"/>
  <c r="E18" i="119"/>
  <c r="C18" i="119" s="1"/>
  <c r="E17" i="119"/>
  <c r="C17" i="119" s="1"/>
  <c r="E16" i="119"/>
  <c r="C16" i="119" s="1"/>
  <c r="E15" i="119"/>
  <c r="C15" i="119" s="1"/>
  <c r="E14" i="119"/>
  <c r="C14" i="119" s="1"/>
  <c r="E13" i="119"/>
  <c r="C13" i="119" s="1"/>
  <c r="E12" i="119"/>
  <c r="C12" i="119" s="1"/>
  <c r="E11" i="119"/>
  <c r="C11" i="119" s="1"/>
  <c r="E10" i="119"/>
  <c r="C10" i="119" s="1"/>
  <c r="GA7" i="119"/>
  <c r="GA6" i="119" s="1"/>
  <c r="FZ7" i="119"/>
  <c r="FZ6" i="119" s="1"/>
  <c r="FY7" i="119"/>
  <c r="FY6" i="119" s="1"/>
  <c r="FX7" i="119"/>
  <c r="FX6" i="119" s="1"/>
  <c r="FW7" i="119"/>
  <c r="FW6" i="119" s="1"/>
  <c r="FV7" i="119"/>
  <c r="FV6" i="119" s="1"/>
  <c r="FU7" i="119"/>
  <c r="FU6" i="119" s="1"/>
  <c r="FT7" i="119"/>
  <c r="FT6" i="119" s="1"/>
  <c r="FS7" i="119"/>
  <c r="FS6" i="119" s="1"/>
  <c r="FR7" i="119"/>
  <c r="FR6" i="119" s="1"/>
  <c r="FQ7" i="119"/>
  <c r="FQ6" i="119" s="1"/>
  <c r="FP7" i="119"/>
  <c r="FP6" i="119" s="1"/>
  <c r="FO7" i="119"/>
  <c r="FO6" i="119" s="1"/>
  <c r="FN7" i="119"/>
  <c r="FN6" i="119" s="1"/>
  <c r="FM7" i="119"/>
  <c r="FM6" i="119" s="1"/>
  <c r="FL7" i="119"/>
  <c r="FL6" i="119" s="1"/>
  <c r="FK7" i="119"/>
  <c r="FK6" i="119" s="1"/>
  <c r="FJ7" i="119"/>
  <c r="FJ6" i="119" s="1"/>
  <c r="FI7" i="119"/>
  <c r="FI6" i="119" s="1"/>
  <c r="FH7" i="119"/>
  <c r="FH6" i="119" s="1"/>
  <c r="FG7" i="119"/>
  <c r="FG6" i="119" s="1"/>
  <c r="FF7" i="119"/>
  <c r="FF6" i="119" s="1"/>
  <c r="FE7" i="119"/>
  <c r="FE6" i="119" s="1"/>
  <c r="FD7" i="119"/>
  <c r="FD6" i="119" s="1"/>
  <c r="FC7" i="119"/>
  <c r="FC6" i="119" s="1"/>
  <c r="FB7" i="119"/>
  <c r="FB6" i="119" s="1"/>
  <c r="FA7" i="119"/>
  <c r="FA6" i="119" s="1"/>
  <c r="EZ7" i="119"/>
  <c r="EZ6" i="119" s="1"/>
  <c r="EY7" i="119"/>
  <c r="EY6" i="119" s="1"/>
  <c r="EX7" i="119"/>
  <c r="EX6" i="119" s="1"/>
  <c r="EW7" i="119"/>
  <c r="EW6" i="119" s="1"/>
  <c r="EV7" i="119"/>
  <c r="EV6" i="119" s="1"/>
  <c r="EU7" i="119"/>
  <c r="EU6" i="119" s="1"/>
  <c r="ET7" i="119"/>
  <c r="ET6" i="119" s="1"/>
  <c r="ES7" i="119"/>
  <c r="ES6" i="119" s="1"/>
  <c r="ER7" i="119"/>
  <c r="ER6" i="119" s="1"/>
  <c r="EQ7" i="119"/>
  <c r="EQ6" i="119" s="1"/>
  <c r="EP7" i="119"/>
  <c r="EP6" i="119" s="1"/>
  <c r="EO7" i="119"/>
  <c r="EO6" i="119" s="1"/>
  <c r="EN7" i="119"/>
  <c r="EN6" i="119" s="1"/>
  <c r="EM7" i="119"/>
  <c r="EM6" i="119" s="1"/>
  <c r="EL7" i="119"/>
  <c r="EL6" i="119" s="1"/>
  <c r="EK7" i="119"/>
  <c r="EK6" i="119" s="1"/>
  <c r="EJ7" i="119"/>
  <c r="EJ6" i="119" s="1"/>
  <c r="EI7" i="119"/>
  <c r="EI6" i="119" s="1"/>
  <c r="EH7" i="119"/>
  <c r="EH6" i="119" s="1"/>
  <c r="EG7" i="119"/>
  <c r="EG6" i="119" s="1"/>
  <c r="EF7" i="119"/>
  <c r="EF6" i="119" s="1"/>
  <c r="EE7" i="119"/>
  <c r="EE6" i="119" s="1"/>
  <c r="ED7" i="119"/>
  <c r="ED6" i="119" s="1"/>
  <c r="EC7" i="119"/>
  <c r="EC6" i="119" s="1"/>
  <c r="EB7" i="119"/>
  <c r="EB6" i="119" s="1"/>
  <c r="EA7" i="119"/>
  <c r="EA6" i="119" s="1"/>
  <c r="DZ7" i="119"/>
  <c r="DZ6" i="119" s="1"/>
  <c r="DY7" i="119"/>
  <c r="DY6" i="119" s="1"/>
  <c r="DX7" i="119"/>
  <c r="DX6" i="119" s="1"/>
  <c r="DW7" i="119"/>
  <c r="DW6" i="119" s="1"/>
  <c r="DV7" i="119"/>
  <c r="DV6" i="119" s="1"/>
  <c r="DU7" i="119"/>
  <c r="DU6" i="119" s="1"/>
  <c r="DT7" i="119"/>
  <c r="DT6" i="119" s="1"/>
  <c r="DS7" i="119"/>
  <c r="DS6" i="119" s="1"/>
  <c r="DR7" i="119"/>
  <c r="DR6" i="119" s="1"/>
  <c r="DQ7" i="119"/>
  <c r="DQ6" i="119" s="1"/>
  <c r="DP7" i="119"/>
  <c r="DP6" i="119" s="1"/>
  <c r="DO7" i="119"/>
  <c r="DO6" i="119" s="1"/>
  <c r="DN7" i="119"/>
  <c r="DN6" i="119" s="1"/>
  <c r="DM7" i="119"/>
  <c r="DM6" i="119" s="1"/>
  <c r="DL7" i="119"/>
  <c r="DL6" i="119" s="1"/>
  <c r="DK7" i="119"/>
  <c r="DK6" i="119" s="1"/>
  <c r="DJ7" i="119"/>
  <c r="DJ6" i="119" s="1"/>
  <c r="DI7" i="119"/>
  <c r="DI6" i="119" s="1"/>
  <c r="DH7" i="119"/>
  <c r="DH6" i="119" s="1"/>
  <c r="DG7" i="119"/>
  <c r="DG6" i="119" s="1"/>
  <c r="DF7" i="119"/>
  <c r="DF6" i="119" s="1"/>
  <c r="DE7" i="119"/>
  <c r="DE6" i="119" s="1"/>
  <c r="DD7" i="119"/>
  <c r="DD6" i="119" s="1"/>
  <c r="DC7" i="119"/>
  <c r="DC6" i="119" s="1"/>
  <c r="DB7" i="119"/>
  <c r="DB6" i="119" s="1"/>
  <c r="DA7" i="119"/>
  <c r="DA6" i="119" s="1"/>
  <c r="CZ7" i="119"/>
  <c r="CZ6" i="119" s="1"/>
  <c r="CY7" i="119"/>
  <c r="CY6" i="119" s="1"/>
  <c r="CX7" i="119"/>
  <c r="CX6" i="119" s="1"/>
  <c r="CW7" i="119"/>
  <c r="CW6" i="119" s="1"/>
  <c r="CV7" i="119"/>
  <c r="CV6" i="119" s="1"/>
  <c r="CU7" i="119"/>
  <c r="CU6" i="119" s="1"/>
  <c r="CT7" i="119"/>
  <c r="CT6" i="119" s="1"/>
  <c r="CS7" i="119"/>
  <c r="CS6" i="119" s="1"/>
  <c r="CR7" i="119"/>
  <c r="CR6" i="119" s="1"/>
  <c r="CQ7" i="119"/>
  <c r="CQ6" i="119" s="1"/>
  <c r="CP7" i="119"/>
  <c r="CP6" i="119" s="1"/>
  <c r="CO7" i="119"/>
  <c r="CO6" i="119" s="1"/>
  <c r="CN7" i="119"/>
  <c r="CN6" i="119" s="1"/>
  <c r="CM7" i="119"/>
  <c r="CM6" i="119" s="1"/>
  <c r="CL7" i="119"/>
  <c r="CL6" i="119" s="1"/>
  <c r="CK7" i="119"/>
  <c r="CK6" i="119" s="1"/>
  <c r="CJ7" i="119"/>
  <c r="CJ6" i="119" s="1"/>
  <c r="CI7" i="119"/>
  <c r="CI6" i="119" s="1"/>
  <c r="CH7" i="119"/>
  <c r="CH6" i="119" s="1"/>
  <c r="CG7" i="119"/>
  <c r="CG6" i="119" s="1"/>
  <c r="CF7" i="119"/>
  <c r="CF6" i="119" s="1"/>
  <c r="CE7" i="119"/>
  <c r="CE6" i="119" s="1"/>
  <c r="CD7" i="119"/>
  <c r="CD6" i="119" s="1"/>
  <c r="CC7" i="119"/>
  <c r="CC6" i="119" s="1"/>
  <c r="CB7" i="119"/>
  <c r="CB6" i="119" s="1"/>
  <c r="CA7" i="119"/>
  <c r="CA6" i="119" s="1"/>
  <c r="BZ7" i="119"/>
  <c r="BZ6" i="119" s="1"/>
  <c r="BY7" i="119"/>
  <c r="BY6" i="119" s="1"/>
  <c r="BX7" i="119"/>
  <c r="BX6" i="119" s="1"/>
  <c r="BW7" i="119"/>
  <c r="BW6" i="119" s="1"/>
  <c r="BV7" i="119"/>
  <c r="BV6" i="119" s="1"/>
  <c r="BU7" i="119"/>
  <c r="BU6" i="119" s="1"/>
  <c r="BT7" i="119"/>
  <c r="BT6" i="119" s="1"/>
  <c r="BS7" i="119"/>
  <c r="BS6" i="119" s="1"/>
  <c r="BR7" i="119"/>
  <c r="BR6" i="119" s="1"/>
  <c r="BQ7" i="119"/>
  <c r="BQ6" i="119" s="1"/>
  <c r="BP7" i="119"/>
  <c r="BP6" i="119" s="1"/>
  <c r="BO7" i="119"/>
  <c r="BO6" i="119" s="1"/>
  <c r="BN7" i="119"/>
  <c r="BN6" i="119" s="1"/>
  <c r="BM7" i="119"/>
  <c r="BM6" i="119" s="1"/>
  <c r="BL7" i="119"/>
  <c r="BL6" i="119" s="1"/>
  <c r="BK7" i="119"/>
  <c r="BK6" i="119" s="1"/>
  <c r="BJ7" i="119"/>
  <c r="BJ6" i="119" s="1"/>
  <c r="BI7" i="119"/>
  <c r="BI6" i="119" s="1"/>
  <c r="BH7" i="119"/>
  <c r="BH6" i="119" s="1"/>
  <c r="BG7" i="119"/>
  <c r="BG6" i="119" s="1"/>
  <c r="BF7" i="119"/>
  <c r="BF6" i="119" s="1"/>
  <c r="BE7" i="119"/>
  <c r="BE6" i="119" s="1"/>
  <c r="BD7" i="119"/>
  <c r="BD6" i="119" s="1"/>
  <c r="BC7" i="119"/>
  <c r="BC6" i="119" s="1"/>
  <c r="BB7" i="119"/>
  <c r="BB6" i="119" s="1"/>
  <c r="BA7" i="119"/>
  <c r="BA6" i="119" s="1"/>
  <c r="AZ7" i="119"/>
  <c r="AZ6" i="119" s="1"/>
  <c r="AY7" i="119"/>
  <c r="AY6" i="119" s="1"/>
  <c r="AX7" i="119"/>
  <c r="AX6" i="119" s="1"/>
  <c r="AW7" i="119"/>
  <c r="AW6" i="119" s="1"/>
  <c r="AV7" i="119"/>
  <c r="AV6" i="119" s="1"/>
  <c r="AU7" i="119"/>
  <c r="AU6" i="119" s="1"/>
  <c r="AT7" i="119"/>
  <c r="AT6" i="119" s="1"/>
  <c r="AS7" i="119"/>
  <c r="AS6" i="119" s="1"/>
  <c r="AR7" i="119"/>
  <c r="AR6" i="119" s="1"/>
  <c r="AQ7" i="119"/>
  <c r="AQ6" i="119" s="1"/>
  <c r="AP7" i="119"/>
  <c r="AP6" i="119" s="1"/>
  <c r="AO7" i="119"/>
  <c r="AO6" i="119" s="1"/>
  <c r="AN7" i="119"/>
  <c r="AN6" i="119" s="1"/>
  <c r="AM7" i="119"/>
  <c r="AM6" i="119" s="1"/>
  <c r="AL7" i="119"/>
  <c r="AL6" i="119" s="1"/>
  <c r="AK7" i="119"/>
  <c r="AK6" i="119" s="1"/>
  <c r="AJ7" i="119"/>
  <c r="AJ6" i="119" s="1"/>
  <c r="AI7" i="119"/>
  <c r="AI6" i="119" s="1"/>
  <c r="AH7" i="119"/>
  <c r="AH6" i="119" s="1"/>
  <c r="AG7" i="119"/>
  <c r="AG6" i="119" s="1"/>
  <c r="AF7" i="119"/>
  <c r="AF6" i="119" s="1"/>
  <c r="AE7" i="119"/>
  <c r="AE6" i="119" s="1"/>
  <c r="AD7" i="119"/>
  <c r="AD6" i="119" s="1"/>
  <c r="AC7" i="119"/>
  <c r="AC6" i="119" s="1"/>
  <c r="AB7" i="119"/>
  <c r="AB6" i="119" s="1"/>
  <c r="AA7" i="119"/>
  <c r="AA6" i="119" s="1"/>
  <c r="Z7" i="119"/>
  <c r="Z6" i="119" s="1"/>
  <c r="Y7" i="119"/>
  <c r="Y6" i="119" s="1"/>
  <c r="X7" i="119"/>
  <c r="X6" i="119" s="1"/>
  <c r="W7" i="119"/>
  <c r="W6" i="119" s="1"/>
  <c r="V7" i="119"/>
  <c r="V6" i="119" s="1"/>
  <c r="U7" i="119"/>
  <c r="U6" i="119" s="1"/>
  <c r="T7" i="119"/>
  <c r="T6" i="119" s="1"/>
  <c r="S7" i="119"/>
  <c r="S6" i="119" s="1"/>
  <c r="R7" i="119"/>
  <c r="R6" i="119" s="1"/>
  <c r="Q7" i="119"/>
  <c r="Q6" i="119" s="1"/>
  <c r="P7" i="119"/>
  <c r="P6" i="119" s="1"/>
  <c r="O7" i="119"/>
  <c r="O6" i="119" s="1"/>
  <c r="N7" i="119"/>
  <c r="N6" i="119" s="1"/>
  <c r="M7" i="119"/>
  <c r="M6" i="119" s="1"/>
  <c r="L7" i="119"/>
  <c r="L6" i="119" s="1"/>
  <c r="K7" i="119"/>
  <c r="K6" i="119" s="1"/>
  <c r="J7" i="119"/>
  <c r="J6" i="119" s="1"/>
  <c r="I7" i="119"/>
  <c r="I6" i="119" s="1"/>
  <c r="H7" i="119"/>
  <c r="H6" i="119" s="1"/>
  <c r="G7" i="119"/>
  <c r="E203" i="118"/>
  <c r="C203" i="118" s="1"/>
  <c r="E202" i="118"/>
  <c r="C202" i="118" s="1"/>
  <c r="E201" i="118"/>
  <c r="C201" i="118" s="1"/>
  <c r="E200" i="118"/>
  <c r="C200" i="118" s="1"/>
  <c r="E199" i="118"/>
  <c r="C199" i="118" s="1"/>
  <c r="E198" i="118"/>
  <c r="C198" i="118" s="1"/>
  <c r="E197" i="118"/>
  <c r="C197" i="118" s="1"/>
  <c r="E196" i="118"/>
  <c r="C196" i="118" s="1"/>
  <c r="E195" i="118"/>
  <c r="C195" i="118" s="1"/>
  <c r="E194" i="118"/>
  <c r="C194" i="118" s="1"/>
  <c r="E193" i="118"/>
  <c r="C193" i="118" s="1"/>
  <c r="E192" i="118"/>
  <c r="C192" i="118" s="1"/>
  <c r="E191" i="118"/>
  <c r="C191" i="118" s="1"/>
  <c r="E190" i="118"/>
  <c r="C190" i="118" s="1"/>
  <c r="E189" i="118"/>
  <c r="C189" i="118" s="1"/>
  <c r="E188" i="118"/>
  <c r="C188" i="118" s="1"/>
  <c r="E187" i="118"/>
  <c r="C187" i="118" s="1"/>
  <c r="E186" i="118"/>
  <c r="C186" i="118" s="1"/>
  <c r="E185" i="118"/>
  <c r="C185" i="118" s="1"/>
  <c r="E184" i="118"/>
  <c r="C184" i="118" s="1"/>
  <c r="E183" i="118"/>
  <c r="C183" i="118" s="1"/>
  <c r="E182" i="118"/>
  <c r="C182" i="118" s="1"/>
  <c r="E181" i="118"/>
  <c r="C181" i="118" s="1"/>
  <c r="E180" i="118"/>
  <c r="C180" i="118" s="1"/>
  <c r="E179" i="118"/>
  <c r="C179" i="118" s="1"/>
  <c r="E178" i="118"/>
  <c r="C178" i="118" s="1"/>
  <c r="E177" i="118"/>
  <c r="C177" i="118" s="1"/>
  <c r="E176" i="118"/>
  <c r="C176" i="118" s="1"/>
  <c r="E175" i="118"/>
  <c r="C175" i="118" s="1"/>
  <c r="E174" i="118"/>
  <c r="C174" i="118" s="1"/>
  <c r="E173" i="118"/>
  <c r="C173" i="118" s="1"/>
  <c r="E172" i="118"/>
  <c r="C172" i="118" s="1"/>
  <c r="E171" i="118"/>
  <c r="C171" i="118" s="1"/>
  <c r="E170" i="118"/>
  <c r="C170" i="118" s="1"/>
  <c r="E169" i="118"/>
  <c r="C169" i="118" s="1"/>
  <c r="E168" i="118"/>
  <c r="C168" i="118" s="1"/>
  <c r="E167" i="118"/>
  <c r="C167" i="118" s="1"/>
  <c r="E166" i="118"/>
  <c r="C166" i="118" s="1"/>
  <c r="E165" i="118"/>
  <c r="C165" i="118" s="1"/>
  <c r="E164" i="118"/>
  <c r="C164" i="118" s="1"/>
  <c r="E163" i="118"/>
  <c r="C163" i="118" s="1"/>
  <c r="E162" i="118"/>
  <c r="C162" i="118" s="1"/>
  <c r="E161" i="118"/>
  <c r="C161" i="118" s="1"/>
  <c r="E160" i="118"/>
  <c r="C160" i="118" s="1"/>
  <c r="E159" i="118"/>
  <c r="C159" i="118" s="1"/>
  <c r="E158" i="118"/>
  <c r="C158" i="118" s="1"/>
  <c r="E157" i="118"/>
  <c r="C157" i="118" s="1"/>
  <c r="E156" i="118"/>
  <c r="C156" i="118" s="1"/>
  <c r="E155" i="118"/>
  <c r="C155" i="118" s="1"/>
  <c r="E154" i="118"/>
  <c r="C154" i="118" s="1"/>
  <c r="E153" i="118"/>
  <c r="C153" i="118" s="1"/>
  <c r="E152" i="118"/>
  <c r="C152" i="118" s="1"/>
  <c r="E151" i="118"/>
  <c r="C151" i="118" s="1"/>
  <c r="E150" i="118"/>
  <c r="C150" i="118" s="1"/>
  <c r="E149" i="118"/>
  <c r="C149" i="118" s="1"/>
  <c r="E148" i="118"/>
  <c r="C148" i="118" s="1"/>
  <c r="E147" i="118"/>
  <c r="C147" i="118" s="1"/>
  <c r="E146" i="118"/>
  <c r="C146" i="118" s="1"/>
  <c r="E145" i="118"/>
  <c r="C145" i="118" s="1"/>
  <c r="E144" i="118"/>
  <c r="C144" i="118" s="1"/>
  <c r="E143" i="118"/>
  <c r="C143" i="118" s="1"/>
  <c r="E142" i="118"/>
  <c r="C142" i="118" s="1"/>
  <c r="E141" i="118"/>
  <c r="C141" i="118" s="1"/>
  <c r="E140" i="118"/>
  <c r="C140" i="118" s="1"/>
  <c r="E139" i="118"/>
  <c r="C139" i="118" s="1"/>
  <c r="E138" i="118"/>
  <c r="C138" i="118" s="1"/>
  <c r="E137" i="118"/>
  <c r="C137" i="118" s="1"/>
  <c r="E136" i="118"/>
  <c r="C136" i="118" s="1"/>
  <c r="E135" i="118"/>
  <c r="C135" i="118" s="1"/>
  <c r="E134" i="118"/>
  <c r="C134" i="118" s="1"/>
  <c r="E133" i="118"/>
  <c r="C133" i="118" s="1"/>
  <c r="E132" i="118"/>
  <c r="C132" i="118" s="1"/>
  <c r="E131" i="118"/>
  <c r="C131" i="118" s="1"/>
  <c r="E130" i="118"/>
  <c r="C130" i="118" s="1"/>
  <c r="E129" i="118"/>
  <c r="C129" i="118" s="1"/>
  <c r="E128" i="118"/>
  <c r="C128" i="118" s="1"/>
  <c r="E127" i="118"/>
  <c r="C127" i="118" s="1"/>
  <c r="E126" i="118"/>
  <c r="C126" i="118" s="1"/>
  <c r="E125" i="118"/>
  <c r="C125" i="118" s="1"/>
  <c r="E124" i="118"/>
  <c r="C124" i="118" s="1"/>
  <c r="E123" i="118"/>
  <c r="C123" i="118" s="1"/>
  <c r="E122" i="118"/>
  <c r="C122" i="118" s="1"/>
  <c r="E121" i="118"/>
  <c r="C121" i="118" s="1"/>
  <c r="E120" i="118"/>
  <c r="C120" i="118" s="1"/>
  <c r="E119" i="118"/>
  <c r="C119" i="118" s="1"/>
  <c r="E118" i="118"/>
  <c r="C118" i="118" s="1"/>
  <c r="E117" i="118"/>
  <c r="C117" i="118" s="1"/>
  <c r="E116" i="118"/>
  <c r="C116" i="118" s="1"/>
  <c r="E115" i="118"/>
  <c r="C115" i="118" s="1"/>
  <c r="E114" i="118"/>
  <c r="C114" i="118" s="1"/>
  <c r="E113" i="118"/>
  <c r="C113" i="118" s="1"/>
  <c r="E112" i="118"/>
  <c r="C112" i="118" s="1"/>
  <c r="E111" i="118"/>
  <c r="C111" i="118" s="1"/>
  <c r="E110" i="118"/>
  <c r="C110" i="118" s="1"/>
  <c r="E109" i="118"/>
  <c r="C109" i="118" s="1"/>
  <c r="E108" i="118"/>
  <c r="C108" i="118" s="1"/>
  <c r="E107" i="118"/>
  <c r="C107" i="118" s="1"/>
  <c r="E106" i="118"/>
  <c r="C106" i="118" s="1"/>
  <c r="E105" i="118"/>
  <c r="C105" i="118" s="1"/>
  <c r="E104" i="118"/>
  <c r="C104" i="118" s="1"/>
  <c r="E103" i="118"/>
  <c r="C103" i="118" s="1"/>
  <c r="E102" i="118"/>
  <c r="C102" i="118" s="1"/>
  <c r="E101" i="118"/>
  <c r="C101" i="118" s="1"/>
  <c r="E100" i="118"/>
  <c r="C100" i="118" s="1"/>
  <c r="E99" i="118"/>
  <c r="C99" i="118" s="1"/>
  <c r="E98" i="118"/>
  <c r="C98" i="118" s="1"/>
  <c r="E97" i="118"/>
  <c r="C97" i="118" s="1"/>
  <c r="E96" i="118"/>
  <c r="C96" i="118" s="1"/>
  <c r="E95" i="118"/>
  <c r="C95" i="118" s="1"/>
  <c r="E94" i="118"/>
  <c r="C94" i="118" s="1"/>
  <c r="E93" i="118"/>
  <c r="C93" i="118" s="1"/>
  <c r="E92" i="118"/>
  <c r="C92" i="118" s="1"/>
  <c r="E91" i="118"/>
  <c r="C91" i="118" s="1"/>
  <c r="E90" i="118"/>
  <c r="C90" i="118" s="1"/>
  <c r="E89" i="118"/>
  <c r="C89" i="118" s="1"/>
  <c r="E88" i="118"/>
  <c r="C88" i="118" s="1"/>
  <c r="E87" i="118"/>
  <c r="C87" i="118" s="1"/>
  <c r="E86" i="118"/>
  <c r="C86" i="118" s="1"/>
  <c r="E85" i="118"/>
  <c r="C85" i="118" s="1"/>
  <c r="E84" i="118"/>
  <c r="C84" i="118" s="1"/>
  <c r="E83" i="118"/>
  <c r="C83" i="118" s="1"/>
  <c r="E82" i="118"/>
  <c r="C82" i="118" s="1"/>
  <c r="E81" i="118"/>
  <c r="C81" i="118" s="1"/>
  <c r="E80" i="118"/>
  <c r="C80" i="118" s="1"/>
  <c r="E79" i="118"/>
  <c r="C79" i="118" s="1"/>
  <c r="E78" i="118"/>
  <c r="C78" i="118" s="1"/>
  <c r="E77" i="118"/>
  <c r="C77" i="118" s="1"/>
  <c r="E76" i="118"/>
  <c r="C76" i="118" s="1"/>
  <c r="E75" i="118"/>
  <c r="C75" i="118" s="1"/>
  <c r="E74" i="118"/>
  <c r="C74" i="118" s="1"/>
  <c r="E73" i="118"/>
  <c r="C73" i="118" s="1"/>
  <c r="E72" i="118"/>
  <c r="C72" i="118" s="1"/>
  <c r="E71" i="118"/>
  <c r="C71" i="118" s="1"/>
  <c r="E70" i="118"/>
  <c r="C70" i="118" s="1"/>
  <c r="E69" i="118"/>
  <c r="C69" i="118" s="1"/>
  <c r="E68" i="118"/>
  <c r="C68" i="118" s="1"/>
  <c r="E67" i="118"/>
  <c r="C67" i="118" s="1"/>
  <c r="E66" i="118"/>
  <c r="C66" i="118" s="1"/>
  <c r="E65" i="118"/>
  <c r="C65" i="118" s="1"/>
  <c r="E64" i="118"/>
  <c r="C64" i="118" s="1"/>
  <c r="E63" i="118"/>
  <c r="C63" i="118" s="1"/>
  <c r="E62" i="118"/>
  <c r="C62" i="118" s="1"/>
  <c r="E61" i="118"/>
  <c r="C61" i="118" s="1"/>
  <c r="E60" i="118"/>
  <c r="C60" i="118" s="1"/>
  <c r="E59" i="118"/>
  <c r="C59" i="118" s="1"/>
  <c r="E58" i="118"/>
  <c r="C58" i="118" s="1"/>
  <c r="E57" i="118"/>
  <c r="C57" i="118" s="1"/>
  <c r="E56" i="118"/>
  <c r="C56" i="118" s="1"/>
  <c r="E55" i="118"/>
  <c r="C55" i="118" s="1"/>
  <c r="E54" i="118"/>
  <c r="C54" i="118" s="1"/>
  <c r="E53" i="118"/>
  <c r="C53" i="118" s="1"/>
  <c r="E52" i="118"/>
  <c r="C52" i="118" s="1"/>
  <c r="E51" i="118"/>
  <c r="C51" i="118" s="1"/>
  <c r="E50" i="118"/>
  <c r="C50" i="118" s="1"/>
  <c r="E49" i="118"/>
  <c r="C49" i="118" s="1"/>
  <c r="E48" i="118"/>
  <c r="C48" i="118" s="1"/>
  <c r="E47" i="118"/>
  <c r="C47" i="118" s="1"/>
  <c r="E46" i="118"/>
  <c r="C46" i="118" s="1"/>
  <c r="E45" i="118"/>
  <c r="C45" i="118" s="1"/>
  <c r="E44" i="118"/>
  <c r="C44" i="118" s="1"/>
  <c r="E43" i="118"/>
  <c r="C43" i="118" s="1"/>
  <c r="E42" i="118"/>
  <c r="C42" i="118" s="1"/>
  <c r="E41" i="118"/>
  <c r="C41" i="118" s="1"/>
  <c r="E40" i="118"/>
  <c r="C40" i="118" s="1"/>
  <c r="E39" i="118"/>
  <c r="C39" i="118" s="1"/>
  <c r="E38" i="118"/>
  <c r="C38" i="118" s="1"/>
  <c r="E37" i="118"/>
  <c r="C37" i="118" s="1"/>
  <c r="E36" i="118"/>
  <c r="C36" i="118" s="1"/>
  <c r="E35" i="118"/>
  <c r="C35" i="118" s="1"/>
  <c r="E34" i="118"/>
  <c r="C34" i="118" s="1"/>
  <c r="E33" i="118"/>
  <c r="C33" i="118" s="1"/>
  <c r="E32" i="118"/>
  <c r="C32" i="118" s="1"/>
  <c r="E31" i="118"/>
  <c r="C31" i="118" s="1"/>
  <c r="E30" i="118"/>
  <c r="C30" i="118" s="1"/>
  <c r="E29" i="118"/>
  <c r="C29" i="118" s="1"/>
  <c r="E28" i="118"/>
  <c r="C28" i="118" s="1"/>
  <c r="E27" i="118"/>
  <c r="C27" i="118" s="1"/>
  <c r="E26" i="118"/>
  <c r="C26" i="118" s="1"/>
  <c r="E25" i="118"/>
  <c r="C25" i="118" s="1"/>
  <c r="E24" i="118"/>
  <c r="C24" i="118" s="1"/>
  <c r="E23" i="118"/>
  <c r="C23" i="118" s="1"/>
  <c r="E22" i="118"/>
  <c r="C22" i="118" s="1"/>
  <c r="E21" i="118"/>
  <c r="C21" i="118" s="1"/>
  <c r="E20" i="118"/>
  <c r="C20" i="118" s="1"/>
  <c r="E19" i="118"/>
  <c r="C19" i="118" s="1"/>
  <c r="E18" i="118"/>
  <c r="C18" i="118" s="1"/>
  <c r="E17" i="118"/>
  <c r="C17" i="118" s="1"/>
  <c r="E16" i="118"/>
  <c r="C16" i="118" s="1"/>
  <c r="E15" i="118"/>
  <c r="C15" i="118" s="1"/>
  <c r="E14" i="118"/>
  <c r="C14" i="118" s="1"/>
  <c r="E13" i="118"/>
  <c r="C13" i="118" s="1"/>
  <c r="E12" i="118"/>
  <c r="C12" i="118" s="1"/>
  <c r="E11" i="118"/>
  <c r="C11" i="118" s="1"/>
  <c r="E10" i="118"/>
  <c r="C10" i="118" s="1"/>
  <c r="GA7" i="118"/>
  <c r="GA6" i="118" s="1"/>
  <c r="FZ7" i="118"/>
  <c r="FZ6" i="118" s="1"/>
  <c r="FY7" i="118"/>
  <c r="FY6" i="118" s="1"/>
  <c r="FX7" i="118"/>
  <c r="FX6" i="118" s="1"/>
  <c r="FW7" i="118"/>
  <c r="FW6" i="118" s="1"/>
  <c r="FV7" i="118"/>
  <c r="FV6" i="118" s="1"/>
  <c r="FU7" i="118"/>
  <c r="FU6" i="118" s="1"/>
  <c r="FT7" i="118"/>
  <c r="FT6" i="118" s="1"/>
  <c r="FS7" i="118"/>
  <c r="FS6" i="118" s="1"/>
  <c r="FR7" i="118"/>
  <c r="FR6" i="118" s="1"/>
  <c r="FQ7" i="118"/>
  <c r="FQ6" i="118" s="1"/>
  <c r="FP7" i="118"/>
  <c r="FP6" i="118" s="1"/>
  <c r="FO7" i="118"/>
  <c r="FO6" i="118" s="1"/>
  <c r="FN7" i="118"/>
  <c r="FN6" i="118" s="1"/>
  <c r="FM7" i="118"/>
  <c r="FM6" i="118" s="1"/>
  <c r="FL7" i="118"/>
  <c r="FL6" i="118" s="1"/>
  <c r="FK7" i="118"/>
  <c r="FK6" i="118" s="1"/>
  <c r="FJ7" i="118"/>
  <c r="FJ6" i="118" s="1"/>
  <c r="FI7" i="118"/>
  <c r="FI6" i="118" s="1"/>
  <c r="FH7" i="118"/>
  <c r="FH6" i="118" s="1"/>
  <c r="FG7" i="118"/>
  <c r="FG6" i="118" s="1"/>
  <c r="FF7" i="118"/>
  <c r="FF6" i="118" s="1"/>
  <c r="FE7" i="118"/>
  <c r="FE6" i="118" s="1"/>
  <c r="FD7" i="118"/>
  <c r="FD6" i="118" s="1"/>
  <c r="FC7" i="118"/>
  <c r="FC6" i="118" s="1"/>
  <c r="FB7" i="118"/>
  <c r="FB6" i="118" s="1"/>
  <c r="FA7" i="118"/>
  <c r="FA6" i="118" s="1"/>
  <c r="EZ7" i="118"/>
  <c r="EZ6" i="118" s="1"/>
  <c r="EY7" i="118"/>
  <c r="EY6" i="118" s="1"/>
  <c r="EX7" i="118"/>
  <c r="EX6" i="118" s="1"/>
  <c r="EW7" i="118"/>
  <c r="EW6" i="118" s="1"/>
  <c r="EV7" i="118"/>
  <c r="EV6" i="118" s="1"/>
  <c r="EU7" i="118"/>
  <c r="EU6" i="118" s="1"/>
  <c r="ET7" i="118"/>
  <c r="ET6" i="118" s="1"/>
  <c r="ES7" i="118"/>
  <c r="ES6" i="118" s="1"/>
  <c r="ER7" i="118"/>
  <c r="ER6" i="118" s="1"/>
  <c r="EQ7" i="118"/>
  <c r="EQ6" i="118" s="1"/>
  <c r="EP7" i="118"/>
  <c r="EP6" i="118" s="1"/>
  <c r="EO7" i="118"/>
  <c r="EO6" i="118" s="1"/>
  <c r="EN7" i="118"/>
  <c r="EN6" i="118" s="1"/>
  <c r="EM7" i="118"/>
  <c r="EM6" i="118" s="1"/>
  <c r="EL7" i="118"/>
  <c r="EL6" i="118" s="1"/>
  <c r="EK7" i="118"/>
  <c r="EK6" i="118" s="1"/>
  <c r="EJ7" i="118"/>
  <c r="EJ6" i="118" s="1"/>
  <c r="EI7" i="118"/>
  <c r="EI6" i="118" s="1"/>
  <c r="EH7" i="118"/>
  <c r="EH6" i="118" s="1"/>
  <c r="EG7" i="118"/>
  <c r="EG6" i="118" s="1"/>
  <c r="EF7" i="118"/>
  <c r="EF6" i="118" s="1"/>
  <c r="EE7" i="118"/>
  <c r="EE6" i="118" s="1"/>
  <c r="ED7" i="118"/>
  <c r="ED6" i="118" s="1"/>
  <c r="EC7" i="118"/>
  <c r="EC6" i="118" s="1"/>
  <c r="EB7" i="118"/>
  <c r="EB6" i="118" s="1"/>
  <c r="EA7" i="118"/>
  <c r="EA6" i="118" s="1"/>
  <c r="DZ7" i="118"/>
  <c r="DZ6" i="118" s="1"/>
  <c r="DY7" i="118"/>
  <c r="DY6" i="118" s="1"/>
  <c r="DX7" i="118"/>
  <c r="DX6" i="118" s="1"/>
  <c r="DW7" i="118"/>
  <c r="DW6" i="118" s="1"/>
  <c r="DV7" i="118"/>
  <c r="DV6" i="118" s="1"/>
  <c r="DU7" i="118"/>
  <c r="DU6" i="118" s="1"/>
  <c r="DT7" i="118"/>
  <c r="DT6" i="118" s="1"/>
  <c r="DS7" i="118"/>
  <c r="DS6" i="118" s="1"/>
  <c r="DR7" i="118"/>
  <c r="DR6" i="118" s="1"/>
  <c r="DQ7" i="118"/>
  <c r="DQ6" i="118" s="1"/>
  <c r="DP7" i="118"/>
  <c r="DP6" i="118" s="1"/>
  <c r="DO7" i="118"/>
  <c r="DO6" i="118" s="1"/>
  <c r="DN7" i="118"/>
  <c r="DN6" i="118" s="1"/>
  <c r="DM7" i="118"/>
  <c r="DM6" i="118" s="1"/>
  <c r="DL7" i="118"/>
  <c r="DL6" i="118" s="1"/>
  <c r="DK7" i="118"/>
  <c r="DK6" i="118" s="1"/>
  <c r="DJ7" i="118"/>
  <c r="DJ6" i="118" s="1"/>
  <c r="DI7" i="118"/>
  <c r="DI6" i="118" s="1"/>
  <c r="DH7" i="118"/>
  <c r="DH6" i="118" s="1"/>
  <c r="DG7" i="118"/>
  <c r="DG6" i="118" s="1"/>
  <c r="DF7" i="118"/>
  <c r="DF6" i="118" s="1"/>
  <c r="DE7" i="118"/>
  <c r="DE6" i="118" s="1"/>
  <c r="DD7" i="118"/>
  <c r="DD6" i="118" s="1"/>
  <c r="DC7" i="118"/>
  <c r="DC6" i="118" s="1"/>
  <c r="DB7" i="118"/>
  <c r="DB6" i="118" s="1"/>
  <c r="DA7" i="118"/>
  <c r="DA6" i="118" s="1"/>
  <c r="CZ7" i="118"/>
  <c r="CZ6" i="118" s="1"/>
  <c r="CY7" i="118"/>
  <c r="CY6" i="118" s="1"/>
  <c r="CX7" i="118"/>
  <c r="CX6" i="118" s="1"/>
  <c r="CW7" i="118"/>
  <c r="CW6" i="118" s="1"/>
  <c r="CV7" i="118"/>
  <c r="CV6" i="118" s="1"/>
  <c r="CU7" i="118"/>
  <c r="CU6" i="118" s="1"/>
  <c r="CT7" i="118"/>
  <c r="CT6" i="118" s="1"/>
  <c r="CS7" i="118"/>
  <c r="CS6" i="118" s="1"/>
  <c r="CR7" i="118"/>
  <c r="CR6" i="118" s="1"/>
  <c r="CQ7" i="118"/>
  <c r="CQ6" i="118" s="1"/>
  <c r="CP7" i="118"/>
  <c r="CP6" i="118" s="1"/>
  <c r="CO7" i="118"/>
  <c r="CO6" i="118" s="1"/>
  <c r="CN7" i="118"/>
  <c r="CN6" i="118" s="1"/>
  <c r="CM7" i="118"/>
  <c r="CM6" i="118" s="1"/>
  <c r="CL7" i="118"/>
  <c r="CL6" i="118" s="1"/>
  <c r="CK7" i="118"/>
  <c r="CK6" i="118" s="1"/>
  <c r="CJ7" i="118"/>
  <c r="CJ6" i="118" s="1"/>
  <c r="CI7" i="118"/>
  <c r="CI6" i="118" s="1"/>
  <c r="CH7" i="118"/>
  <c r="CH6" i="118" s="1"/>
  <c r="CG7" i="118"/>
  <c r="CG6" i="118" s="1"/>
  <c r="CF7" i="118"/>
  <c r="CF6" i="118" s="1"/>
  <c r="CE7" i="118"/>
  <c r="CE6" i="118" s="1"/>
  <c r="CD7" i="118"/>
  <c r="CD6" i="118" s="1"/>
  <c r="CC7" i="118"/>
  <c r="CC6" i="118" s="1"/>
  <c r="CB7" i="118"/>
  <c r="CB6" i="118" s="1"/>
  <c r="CA7" i="118"/>
  <c r="CA6" i="118" s="1"/>
  <c r="BZ7" i="118"/>
  <c r="BZ6" i="118" s="1"/>
  <c r="BY7" i="118"/>
  <c r="BY6" i="118" s="1"/>
  <c r="BX7" i="118"/>
  <c r="BX6" i="118" s="1"/>
  <c r="BW7" i="118"/>
  <c r="BW6" i="118" s="1"/>
  <c r="BV7" i="118"/>
  <c r="BV6" i="118" s="1"/>
  <c r="BU7" i="118"/>
  <c r="BU6" i="118" s="1"/>
  <c r="BT7" i="118"/>
  <c r="BT6" i="118" s="1"/>
  <c r="BS7" i="118"/>
  <c r="BS6" i="118" s="1"/>
  <c r="BR7" i="118"/>
  <c r="BR6" i="118" s="1"/>
  <c r="BQ7" i="118"/>
  <c r="BQ6" i="118" s="1"/>
  <c r="BP7" i="118"/>
  <c r="BP6" i="118" s="1"/>
  <c r="BO7" i="118"/>
  <c r="BO6" i="118" s="1"/>
  <c r="BN7" i="118"/>
  <c r="BN6" i="118" s="1"/>
  <c r="BM7" i="118"/>
  <c r="BM6" i="118" s="1"/>
  <c r="BL7" i="118"/>
  <c r="BL6" i="118" s="1"/>
  <c r="BK7" i="118"/>
  <c r="BK6" i="118" s="1"/>
  <c r="BJ7" i="118"/>
  <c r="BJ6" i="118" s="1"/>
  <c r="BI7" i="118"/>
  <c r="BI6" i="118" s="1"/>
  <c r="BH7" i="118"/>
  <c r="BH6" i="118" s="1"/>
  <c r="BG7" i="118"/>
  <c r="BG6" i="118" s="1"/>
  <c r="BF7" i="118"/>
  <c r="BF6" i="118" s="1"/>
  <c r="BE7" i="118"/>
  <c r="BE6" i="118" s="1"/>
  <c r="BD7" i="118"/>
  <c r="BD6" i="118" s="1"/>
  <c r="BC7" i="118"/>
  <c r="BC6" i="118" s="1"/>
  <c r="BB7" i="118"/>
  <c r="BB6" i="118" s="1"/>
  <c r="BA7" i="118"/>
  <c r="BA6" i="118" s="1"/>
  <c r="AZ7" i="118"/>
  <c r="AZ6" i="118" s="1"/>
  <c r="AY7" i="118"/>
  <c r="AY6" i="118" s="1"/>
  <c r="AX7" i="118"/>
  <c r="AX6" i="118" s="1"/>
  <c r="AW7" i="118"/>
  <c r="AW6" i="118" s="1"/>
  <c r="AV7" i="118"/>
  <c r="AV6" i="118" s="1"/>
  <c r="AU7" i="118"/>
  <c r="AU6" i="118" s="1"/>
  <c r="AT7" i="118"/>
  <c r="AT6" i="118" s="1"/>
  <c r="AS7" i="118"/>
  <c r="AS6" i="118" s="1"/>
  <c r="AR7" i="118"/>
  <c r="AR6" i="118" s="1"/>
  <c r="AQ7" i="118"/>
  <c r="AQ6" i="118" s="1"/>
  <c r="AP7" i="118"/>
  <c r="AP6" i="118" s="1"/>
  <c r="AO7" i="118"/>
  <c r="AO6" i="118" s="1"/>
  <c r="AN7" i="118"/>
  <c r="AN6" i="118" s="1"/>
  <c r="AM7" i="118"/>
  <c r="AM6" i="118" s="1"/>
  <c r="AL7" i="118"/>
  <c r="AL6" i="118" s="1"/>
  <c r="AK7" i="118"/>
  <c r="AK6" i="118" s="1"/>
  <c r="AJ7" i="118"/>
  <c r="AJ6" i="118" s="1"/>
  <c r="AI7" i="118"/>
  <c r="AI6" i="118" s="1"/>
  <c r="AH7" i="118"/>
  <c r="AG7" i="118"/>
  <c r="AF7" i="118"/>
  <c r="AF6" i="118" s="1"/>
  <c r="AE7" i="118"/>
  <c r="AE6" i="118" s="1"/>
  <c r="AD7" i="118"/>
  <c r="AD6" i="118" s="1"/>
  <c r="AC7" i="118"/>
  <c r="AC6" i="118" s="1"/>
  <c r="AB7" i="118"/>
  <c r="AB6" i="118" s="1"/>
  <c r="AA7" i="118"/>
  <c r="AA6" i="118" s="1"/>
  <c r="Z7" i="118"/>
  <c r="Z6" i="118" s="1"/>
  <c r="Y7" i="118"/>
  <c r="Y6" i="118" s="1"/>
  <c r="X7" i="118"/>
  <c r="X6" i="118" s="1"/>
  <c r="W7" i="118"/>
  <c r="W6" i="118" s="1"/>
  <c r="V7" i="118"/>
  <c r="V6" i="118" s="1"/>
  <c r="U7" i="118"/>
  <c r="U6" i="118" s="1"/>
  <c r="T7" i="118"/>
  <c r="T6" i="118" s="1"/>
  <c r="S7" i="118"/>
  <c r="R7" i="118"/>
  <c r="R6" i="118" s="1"/>
  <c r="Q7" i="118"/>
  <c r="P7" i="118"/>
  <c r="P6" i="118" s="1"/>
  <c r="O7" i="118"/>
  <c r="O6" i="118" s="1"/>
  <c r="N7" i="118"/>
  <c r="N6" i="118" s="1"/>
  <c r="M7" i="118"/>
  <c r="M6" i="118" s="1"/>
  <c r="L7" i="118"/>
  <c r="K7" i="118"/>
  <c r="K6" i="118" s="1"/>
  <c r="J7" i="118"/>
  <c r="I7" i="118"/>
  <c r="H7" i="118"/>
  <c r="H6" i="118" s="1"/>
  <c r="G7" i="118"/>
  <c r="E203" i="117"/>
  <c r="C203" i="117" s="1"/>
  <c r="E202" i="117"/>
  <c r="C202" i="117" s="1"/>
  <c r="E201" i="117"/>
  <c r="C201" i="117" s="1"/>
  <c r="E200" i="117"/>
  <c r="C200" i="117" s="1"/>
  <c r="E199" i="117"/>
  <c r="C199" i="117" s="1"/>
  <c r="E198" i="117"/>
  <c r="C198" i="117" s="1"/>
  <c r="E197" i="117"/>
  <c r="C197" i="117" s="1"/>
  <c r="E196" i="117"/>
  <c r="C196" i="117" s="1"/>
  <c r="E195" i="117"/>
  <c r="C195" i="117" s="1"/>
  <c r="E194" i="117"/>
  <c r="C194" i="117" s="1"/>
  <c r="E193" i="117"/>
  <c r="C193" i="117" s="1"/>
  <c r="E192" i="117"/>
  <c r="C192" i="117" s="1"/>
  <c r="E191" i="117"/>
  <c r="C191" i="117" s="1"/>
  <c r="E190" i="117"/>
  <c r="C190" i="117" s="1"/>
  <c r="E189" i="117"/>
  <c r="C189" i="117" s="1"/>
  <c r="E188" i="117"/>
  <c r="C188" i="117" s="1"/>
  <c r="E187" i="117"/>
  <c r="C187" i="117" s="1"/>
  <c r="E186" i="117"/>
  <c r="C186" i="117" s="1"/>
  <c r="E185" i="117"/>
  <c r="C185" i="117" s="1"/>
  <c r="E184" i="117"/>
  <c r="C184" i="117" s="1"/>
  <c r="E183" i="117"/>
  <c r="C183" i="117" s="1"/>
  <c r="E182" i="117"/>
  <c r="C182" i="117" s="1"/>
  <c r="E181" i="117"/>
  <c r="C181" i="117" s="1"/>
  <c r="E180" i="117"/>
  <c r="C180" i="117" s="1"/>
  <c r="E179" i="117"/>
  <c r="C179" i="117" s="1"/>
  <c r="E178" i="117"/>
  <c r="C178" i="117" s="1"/>
  <c r="E177" i="117"/>
  <c r="C177" i="117" s="1"/>
  <c r="E176" i="117"/>
  <c r="C176" i="117" s="1"/>
  <c r="E175" i="117"/>
  <c r="C175" i="117" s="1"/>
  <c r="E174" i="117"/>
  <c r="C174" i="117" s="1"/>
  <c r="E173" i="117"/>
  <c r="C173" i="117" s="1"/>
  <c r="E172" i="117"/>
  <c r="C172" i="117" s="1"/>
  <c r="E171" i="117"/>
  <c r="C171" i="117" s="1"/>
  <c r="E170" i="117"/>
  <c r="C170" i="117" s="1"/>
  <c r="E169" i="117"/>
  <c r="C169" i="117" s="1"/>
  <c r="E168" i="117"/>
  <c r="C168" i="117" s="1"/>
  <c r="E167" i="117"/>
  <c r="C167" i="117" s="1"/>
  <c r="E166" i="117"/>
  <c r="C166" i="117" s="1"/>
  <c r="E165" i="117"/>
  <c r="C165" i="117" s="1"/>
  <c r="E164" i="117"/>
  <c r="C164" i="117" s="1"/>
  <c r="E163" i="117"/>
  <c r="C163" i="117" s="1"/>
  <c r="E162" i="117"/>
  <c r="C162" i="117" s="1"/>
  <c r="E161" i="117"/>
  <c r="C161" i="117" s="1"/>
  <c r="E160" i="117"/>
  <c r="C160" i="117" s="1"/>
  <c r="E159" i="117"/>
  <c r="C159" i="117" s="1"/>
  <c r="E158" i="117"/>
  <c r="C158" i="117" s="1"/>
  <c r="E157" i="117"/>
  <c r="C157" i="117" s="1"/>
  <c r="E156" i="117"/>
  <c r="C156" i="117" s="1"/>
  <c r="E155" i="117"/>
  <c r="C155" i="117" s="1"/>
  <c r="E154" i="117"/>
  <c r="C154" i="117" s="1"/>
  <c r="E153" i="117"/>
  <c r="C153" i="117" s="1"/>
  <c r="E152" i="117"/>
  <c r="C152" i="117" s="1"/>
  <c r="E151" i="117"/>
  <c r="C151" i="117" s="1"/>
  <c r="E150" i="117"/>
  <c r="C150" i="117" s="1"/>
  <c r="E149" i="117"/>
  <c r="C149" i="117" s="1"/>
  <c r="E148" i="117"/>
  <c r="C148" i="117" s="1"/>
  <c r="E147" i="117"/>
  <c r="C147" i="117" s="1"/>
  <c r="E146" i="117"/>
  <c r="C146" i="117" s="1"/>
  <c r="E145" i="117"/>
  <c r="C145" i="117" s="1"/>
  <c r="E144" i="117"/>
  <c r="C144" i="117" s="1"/>
  <c r="E143" i="117"/>
  <c r="C143" i="117" s="1"/>
  <c r="E142" i="117"/>
  <c r="C142" i="117" s="1"/>
  <c r="E141" i="117"/>
  <c r="C141" i="117" s="1"/>
  <c r="E140" i="117"/>
  <c r="C140" i="117" s="1"/>
  <c r="E139" i="117"/>
  <c r="C139" i="117" s="1"/>
  <c r="E138" i="117"/>
  <c r="C138" i="117" s="1"/>
  <c r="E137" i="117"/>
  <c r="C137" i="117" s="1"/>
  <c r="E136" i="117"/>
  <c r="C136" i="117" s="1"/>
  <c r="E135" i="117"/>
  <c r="C135" i="117" s="1"/>
  <c r="E134" i="117"/>
  <c r="C134" i="117" s="1"/>
  <c r="E133" i="117"/>
  <c r="C133" i="117" s="1"/>
  <c r="E132" i="117"/>
  <c r="C132" i="117" s="1"/>
  <c r="E131" i="117"/>
  <c r="C131" i="117" s="1"/>
  <c r="E130" i="117"/>
  <c r="C130" i="117" s="1"/>
  <c r="E129" i="117"/>
  <c r="C129" i="117" s="1"/>
  <c r="E128" i="117"/>
  <c r="C128" i="117" s="1"/>
  <c r="E127" i="117"/>
  <c r="C127" i="117" s="1"/>
  <c r="E126" i="117"/>
  <c r="C126" i="117" s="1"/>
  <c r="E125" i="117"/>
  <c r="C125" i="117" s="1"/>
  <c r="E124" i="117"/>
  <c r="C124" i="117" s="1"/>
  <c r="E123" i="117"/>
  <c r="C123" i="117" s="1"/>
  <c r="E122" i="117"/>
  <c r="C122" i="117" s="1"/>
  <c r="E121" i="117"/>
  <c r="C121" i="117" s="1"/>
  <c r="E120" i="117"/>
  <c r="C120" i="117" s="1"/>
  <c r="E119" i="117"/>
  <c r="C119" i="117" s="1"/>
  <c r="E118" i="117"/>
  <c r="C118" i="117" s="1"/>
  <c r="E117" i="117"/>
  <c r="C117" i="117" s="1"/>
  <c r="E116" i="117"/>
  <c r="C116" i="117" s="1"/>
  <c r="E115" i="117"/>
  <c r="C115" i="117" s="1"/>
  <c r="E114" i="117"/>
  <c r="C114" i="117" s="1"/>
  <c r="E113" i="117"/>
  <c r="C113" i="117" s="1"/>
  <c r="E112" i="117"/>
  <c r="C112" i="117" s="1"/>
  <c r="E111" i="117"/>
  <c r="C111" i="117" s="1"/>
  <c r="E110" i="117"/>
  <c r="C110" i="117" s="1"/>
  <c r="E109" i="117"/>
  <c r="C109" i="117" s="1"/>
  <c r="E108" i="117"/>
  <c r="C108" i="117" s="1"/>
  <c r="E107" i="117"/>
  <c r="C107" i="117" s="1"/>
  <c r="E106" i="117"/>
  <c r="C106" i="117" s="1"/>
  <c r="E105" i="117"/>
  <c r="C105" i="117" s="1"/>
  <c r="E104" i="117"/>
  <c r="C104" i="117" s="1"/>
  <c r="E103" i="117"/>
  <c r="C103" i="117" s="1"/>
  <c r="E102" i="117"/>
  <c r="C102" i="117" s="1"/>
  <c r="E101" i="117"/>
  <c r="C101" i="117" s="1"/>
  <c r="E100" i="117"/>
  <c r="C100" i="117" s="1"/>
  <c r="E99" i="117"/>
  <c r="C99" i="117" s="1"/>
  <c r="E98" i="117"/>
  <c r="C98" i="117" s="1"/>
  <c r="E97" i="117"/>
  <c r="C97" i="117" s="1"/>
  <c r="E96" i="117"/>
  <c r="C96" i="117" s="1"/>
  <c r="E95" i="117"/>
  <c r="C95" i="117" s="1"/>
  <c r="E94" i="117"/>
  <c r="C94" i="117" s="1"/>
  <c r="E93" i="117"/>
  <c r="C93" i="117" s="1"/>
  <c r="E92" i="117"/>
  <c r="C92" i="117" s="1"/>
  <c r="E91" i="117"/>
  <c r="C91" i="117" s="1"/>
  <c r="E90" i="117"/>
  <c r="C90" i="117" s="1"/>
  <c r="E89" i="117"/>
  <c r="C89" i="117" s="1"/>
  <c r="E88" i="117"/>
  <c r="C88" i="117" s="1"/>
  <c r="E87" i="117"/>
  <c r="C87" i="117" s="1"/>
  <c r="E86" i="117"/>
  <c r="C86" i="117" s="1"/>
  <c r="E85" i="117"/>
  <c r="C85" i="117" s="1"/>
  <c r="E84" i="117"/>
  <c r="C84" i="117" s="1"/>
  <c r="E83" i="117"/>
  <c r="C83" i="117" s="1"/>
  <c r="E82" i="117"/>
  <c r="C82" i="117" s="1"/>
  <c r="E81" i="117"/>
  <c r="C81" i="117" s="1"/>
  <c r="E80" i="117"/>
  <c r="C80" i="117" s="1"/>
  <c r="E79" i="117"/>
  <c r="C79" i="117" s="1"/>
  <c r="E78" i="117"/>
  <c r="C78" i="117" s="1"/>
  <c r="E77" i="117"/>
  <c r="C77" i="117" s="1"/>
  <c r="E76" i="117"/>
  <c r="C76" i="117" s="1"/>
  <c r="E75" i="117"/>
  <c r="C75" i="117" s="1"/>
  <c r="E74" i="117"/>
  <c r="C74" i="117" s="1"/>
  <c r="E73" i="117"/>
  <c r="C73" i="117" s="1"/>
  <c r="E72" i="117"/>
  <c r="C72" i="117" s="1"/>
  <c r="E71" i="117"/>
  <c r="C71" i="117" s="1"/>
  <c r="E70" i="117"/>
  <c r="C70" i="117" s="1"/>
  <c r="E69" i="117"/>
  <c r="C69" i="117" s="1"/>
  <c r="E68" i="117"/>
  <c r="C68" i="117" s="1"/>
  <c r="E67" i="117"/>
  <c r="C67" i="117" s="1"/>
  <c r="E66" i="117"/>
  <c r="C66" i="117" s="1"/>
  <c r="E65" i="117"/>
  <c r="C65" i="117" s="1"/>
  <c r="E64" i="117"/>
  <c r="C64" i="117" s="1"/>
  <c r="E63" i="117"/>
  <c r="C63" i="117" s="1"/>
  <c r="E62" i="117"/>
  <c r="C62" i="117" s="1"/>
  <c r="E61" i="117"/>
  <c r="C61" i="117" s="1"/>
  <c r="E60" i="117"/>
  <c r="C60" i="117" s="1"/>
  <c r="E59" i="117"/>
  <c r="C59" i="117" s="1"/>
  <c r="E58" i="117"/>
  <c r="C58" i="117" s="1"/>
  <c r="E57" i="117"/>
  <c r="C57" i="117" s="1"/>
  <c r="E56" i="117"/>
  <c r="C56" i="117" s="1"/>
  <c r="E55" i="117"/>
  <c r="C55" i="117" s="1"/>
  <c r="E54" i="117"/>
  <c r="C54" i="117" s="1"/>
  <c r="E53" i="117"/>
  <c r="C53" i="117" s="1"/>
  <c r="E52" i="117"/>
  <c r="C52" i="117" s="1"/>
  <c r="E51" i="117"/>
  <c r="C51" i="117" s="1"/>
  <c r="E50" i="117"/>
  <c r="C50" i="117" s="1"/>
  <c r="E49" i="117"/>
  <c r="C49" i="117" s="1"/>
  <c r="E48" i="117"/>
  <c r="C48" i="117" s="1"/>
  <c r="E47" i="117"/>
  <c r="C47" i="117" s="1"/>
  <c r="E46" i="117"/>
  <c r="C46" i="117" s="1"/>
  <c r="E45" i="117"/>
  <c r="C45" i="117" s="1"/>
  <c r="E44" i="117"/>
  <c r="C44" i="117" s="1"/>
  <c r="E43" i="117"/>
  <c r="C43" i="117" s="1"/>
  <c r="E42" i="117"/>
  <c r="C42" i="117" s="1"/>
  <c r="E41" i="117"/>
  <c r="C41" i="117" s="1"/>
  <c r="E40" i="117"/>
  <c r="C40" i="117" s="1"/>
  <c r="E39" i="117"/>
  <c r="C39" i="117" s="1"/>
  <c r="E38" i="117"/>
  <c r="C38" i="117" s="1"/>
  <c r="E37" i="117"/>
  <c r="C37" i="117" s="1"/>
  <c r="E36" i="117"/>
  <c r="C36" i="117" s="1"/>
  <c r="E35" i="117"/>
  <c r="C35" i="117" s="1"/>
  <c r="E34" i="117"/>
  <c r="C34" i="117" s="1"/>
  <c r="E33" i="117"/>
  <c r="C33" i="117" s="1"/>
  <c r="E32" i="117"/>
  <c r="C32" i="117" s="1"/>
  <c r="E31" i="117"/>
  <c r="C31" i="117" s="1"/>
  <c r="E30" i="117"/>
  <c r="C30" i="117" s="1"/>
  <c r="E29" i="117"/>
  <c r="C29" i="117" s="1"/>
  <c r="E28" i="117"/>
  <c r="C28" i="117" s="1"/>
  <c r="E27" i="117"/>
  <c r="C27" i="117" s="1"/>
  <c r="E26" i="117"/>
  <c r="C26" i="117" s="1"/>
  <c r="E25" i="117"/>
  <c r="C25" i="117" s="1"/>
  <c r="E24" i="117"/>
  <c r="C24" i="117" s="1"/>
  <c r="E23" i="117"/>
  <c r="C23" i="117" s="1"/>
  <c r="E22" i="117"/>
  <c r="C22" i="117" s="1"/>
  <c r="E21" i="117"/>
  <c r="C21" i="117" s="1"/>
  <c r="E20" i="117"/>
  <c r="C20" i="117" s="1"/>
  <c r="E19" i="117"/>
  <c r="C19" i="117" s="1"/>
  <c r="E18" i="117"/>
  <c r="C18" i="117" s="1"/>
  <c r="E17" i="117"/>
  <c r="C17" i="117" s="1"/>
  <c r="E16" i="117"/>
  <c r="C16" i="117" s="1"/>
  <c r="E15" i="117"/>
  <c r="C15" i="117" s="1"/>
  <c r="E14" i="117"/>
  <c r="C14" i="117" s="1"/>
  <c r="E13" i="117"/>
  <c r="C13" i="117" s="1"/>
  <c r="E12" i="117"/>
  <c r="C12" i="117" s="1"/>
  <c r="E11" i="117"/>
  <c r="C11" i="117" s="1"/>
  <c r="E10" i="117"/>
  <c r="C10" i="117" s="1"/>
  <c r="GA7" i="117"/>
  <c r="GA6" i="117" s="1"/>
  <c r="FZ7" i="117"/>
  <c r="FZ6" i="117" s="1"/>
  <c r="FY7" i="117"/>
  <c r="FY6" i="117" s="1"/>
  <c r="FX7" i="117"/>
  <c r="FX6" i="117" s="1"/>
  <c r="FW7" i="117"/>
  <c r="FW6" i="117" s="1"/>
  <c r="FV7" i="117"/>
  <c r="FV6" i="117" s="1"/>
  <c r="FU7" i="117"/>
  <c r="FU6" i="117" s="1"/>
  <c r="FT7" i="117"/>
  <c r="FT6" i="117" s="1"/>
  <c r="FS7" i="117"/>
  <c r="FS6" i="117" s="1"/>
  <c r="FR7" i="117"/>
  <c r="FR6" i="117" s="1"/>
  <c r="FQ7" i="117"/>
  <c r="FQ6" i="117" s="1"/>
  <c r="FP7" i="117"/>
  <c r="FP6" i="117" s="1"/>
  <c r="FO7" i="117"/>
  <c r="FO6" i="117" s="1"/>
  <c r="FN7" i="117"/>
  <c r="FN6" i="117" s="1"/>
  <c r="FM7" i="117"/>
  <c r="FM6" i="117" s="1"/>
  <c r="FL7" i="117"/>
  <c r="FL6" i="117" s="1"/>
  <c r="FK7" i="117"/>
  <c r="FK6" i="117" s="1"/>
  <c r="FJ7" i="117"/>
  <c r="FJ6" i="117" s="1"/>
  <c r="FI7" i="117"/>
  <c r="FI6" i="117" s="1"/>
  <c r="FH7" i="117"/>
  <c r="FH6" i="117" s="1"/>
  <c r="FG7" i="117"/>
  <c r="FG6" i="117" s="1"/>
  <c r="FF7" i="117"/>
  <c r="FF6" i="117" s="1"/>
  <c r="FE7" i="117"/>
  <c r="FE6" i="117" s="1"/>
  <c r="FD7" i="117"/>
  <c r="FD6" i="117" s="1"/>
  <c r="FC7" i="117"/>
  <c r="FC6" i="117" s="1"/>
  <c r="FB7" i="117"/>
  <c r="FB6" i="117" s="1"/>
  <c r="FA7" i="117"/>
  <c r="FA6" i="117" s="1"/>
  <c r="EZ7" i="117"/>
  <c r="EZ6" i="117" s="1"/>
  <c r="EY7" i="117"/>
  <c r="EY6" i="117" s="1"/>
  <c r="EX7" i="117"/>
  <c r="EX6" i="117" s="1"/>
  <c r="EW7" i="117"/>
  <c r="EW6" i="117" s="1"/>
  <c r="EV7" i="117"/>
  <c r="EV6" i="117" s="1"/>
  <c r="EU7" i="117"/>
  <c r="EU6" i="117" s="1"/>
  <c r="ET7" i="117"/>
  <c r="ET6" i="117" s="1"/>
  <c r="ES7" i="117"/>
  <c r="ES6" i="117" s="1"/>
  <c r="ER7" i="117"/>
  <c r="ER6" i="117" s="1"/>
  <c r="EQ7" i="117"/>
  <c r="EQ6" i="117" s="1"/>
  <c r="EP7" i="117"/>
  <c r="EP6" i="117" s="1"/>
  <c r="EO7" i="117"/>
  <c r="EO6" i="117" s="1"/>
  <c r="EN7" i="117"/>
  <c r="EN6" i="117" s="1"/>
  <c r="EM7" i="117"/>
  <c r="EM6" i="117" s="1"/>
  <c r="EL7" i="117"/>
  <c r="EL6" i="117" s="1"/>
  <c r="EK7" i="117"/>
  <c r="EK6" i="117" s="1"/>
  <c r="EJ7" i="117"/>
  <c r="EJ6" i="117" s="1"/>
  <c r="EI7" i="117"/>
  <c r="EI6" i="117" s="1"/>
  <c r="EH7" i="117"/>
  <c r="EH6" i="117" s="1"/>
  <c r="EG7" i="117"/>
  <c r="EG6" i="117" s="1"/>
  <c r="EF7" i="117"/>
  <c r="EF6" i="117" s="1"/>
  <c r="EE7" i="117"/>
  <c r="EE6" i="117" s="1"/>
  <c r="ED7" i="117"/>
  <c r="ED6" i="117" s="1"/>
  <c r="EC7" i="117"/>
  <c r="EC6" i="117" s="1"/>
  <c r="EB7" i="117"/>
  <c r="EB6" i="117" s="1"/>
  <c r="EA7" i="117"/>
  <c r="EA6" i="117" s="1"/>
  <c r="DZ7" i="117"/>
  <c r="DZ6" i="117" s="1"/>
  <c r="DY7" i="117"/>
  <c r="DY6" i="117" s="1"/>
  <c r="DX7" i="117"/>
  <c r="DX6" i="117" s="1"/>
  <c r="DW7" i="117"/>
  <c r="DW6" i="117" s="1"/>
  <c r="DV7" i="117"/>
  <c r="DV6" i="117" s="1"/>
  <c r="DU7" i="117"/>
  <c r="DU6" i="117" s="1"/>
  <c r="DT7" i="117"/>
  <c r="DT6" i="117" s="1"/>
  <c r="DS7" i="117"/>
  <c r="DS6" i="117" s="1"/>
  <c r="DR7" i="117"/>
  <c r="DR6" i="117" s="1"/>
  <c r="DQ7" i="117"/>
  <c r="DQ6" i="117" s="1"/>
  <c r="DP7" i="117"/>
  <c r="DP6" i="117" s="1"/>
  <c r="DO7" i="117"/>
  <c r="DO6" i="117" s="1"/>
  <c r="DN7" i="117"/>
  <c r="DN6" i="117" s="1"/>
  <c r="DM7" i="117"/>
  <c r="DM6" i="117" s="1"/>
  <c r="DL7" i="117"/>
  <c r="DL6" i="117" s="1"/>
  <c r="DK7" i="117"/>
  <c r="DK6" i="117" s="1"/>
  <c r="DJ7" i="117"/>
  <c r="DJ6" i="117" s="1"/>
  <c r="DI7" i="117"/>
  <c r="DI6" i="117" s="1"/>
  <c r="DH7" i="117"/>
  <c r="DH6" i="117" s="1"/>
  <c r="DG7" i="117"/>
  <c r="DG6" i="117" s="1"/>
  <c r="DF7" i="117"/>
  <c r="DF6" i="117" s="1"/>
  <c r="DE7" i="117"/>
  <c r="DE6" i="117" s="1"/>
  <c r="DD7" i="117"/>
  <c r="DD6" i="117" s="1"/>
  <c r="DC7" i="117"/>
  <c r="DC6" i="117" s="1"/>
  <c r="DB7" i="117"/>
  <c r="DB6" i="117" s="1"/>
  <c r="DA7" i="117"/>
  <c r="DA6" i="117" s="1"/>
  <c r="CZ7" i="117"/>
  <c r="CZ6" i="117" s="1"/>
  <c r="CY7" i="117"/>
  <c r="CY6" i="117" s="1"/>
  <c r="CX7" i="117"/>
  <c r="CX6" i="117" s="1"/>
  <c r="CW7" i="117"/>
  <c r="CW6" i="117" s="1"/>
  <c r="CV7" i="117"/>
  <c r="CV6" i="117" s="1"/>
  <c r="CU7" i="117"/>
  <c r="CU6" i="117" s="1"/>
  <c r="CT7" i="117"/>
  <c r="CT6" i="117" s="1"/>
  <c r="CS7" i="117"/>
  <c r="CS6" i="117" s="1"/>
  <c r="CR7" i="117"/>
  <c r="CR6" i="117" s="1"/>
  <c r="CQ7" i="117"/>
  <c r="CQ6" i="117" s="1"/>
  <c r="CP7" i="117"/>
  <c r="CP6" i="117" s="1"/>
  <c r="CO7" i="117"/>
  <c r="CO6" i="117" s="1"/>
  <c r="CN7" i="117"/>
  <c r="CN6" i="117" s="1"/>
  <c r="CM7" i="117"/>
  <c r="CM6" i="117" s="1"/>
  <c r="CL7" i="117"/>
  <c r="CL6" i="117" s="1"/>
  <c r="CK7" i="117"/>
  <c r="CK6" i="117" s="1"/>
  <c r="CJ7" i="117"/>
  <c r="CJ6" i="117" s="1"/>
  <c r="CI7" i="117"/>
  <c r="CI6" i="117" s="1"/>
  <c r="CH7" i="117"/>
  <c r="CH6" i="117" s="1"/>
  <c r="CG7" i="117"/>
  <c r="CG6" i="117" s="1"/>
  <c r="CF7" i="117"/>
  <c r="CF6" i="117" s="1"/>
  <c r="CE7" i="117"/>
  <c r="CE6" i="117" s="1"/>
  <c r="CD7" i="117"/>
  <c r="CD6" i="117" s="1"/>
  <c r="CC7" i="117"/>
  <c r="CC6" i="117" s="1"/>
  <c r="CB7" i="117"/>
  <c r="CB6" i="117" s="1"/>
  <c r="CA7" i="117"/>
  <c r="CA6" i="117" s="1"/>
  <c r="BZ7" i="117"/>
  <c r="BZ6" i="117" s="1"/>
  <c r="BY7" i="117"/>
  <c r="BY6" i="117" s="1"/>
  <c r="BX7" i="117"/>
  <c r="BX6" i="117" s="1"/>
  <c r="BW7" i="117"/>
  <c r="BW6" i="117" s="1"/>
  <c r="BV7" i="117"/>
  <c r="BV6" i="117" s="1"/>
  <c r="BU7" i="117"/>
  <c r="BU6" i="117" s="1"/>
  <c r="BT7" i="117"/>
  <c r="BT6" i="117" s="1"/>
  <c r="BS7" i="117"/>
  <c r="BS6" i="117" s="1"/>
  <c r="BR7" i="117"/>
  <c r="BR6" i="117" s="1"/>
  <c r="BQ7" i="117"/>
  <c r="BQ6" i="117" s="1"/>
  <c r="BP7" i="117"/>
  <c r="BP6" i="117" s="1"/>
  <c r="BO7" i="117"/>
  <c r="BO6" i="117" s="1"/>
  <c r="BN7" i="117"/>
  <c r="BN6" i="117" s="1"/>
  <c r="BM7" i="117"/>
  <c r="BM6" i="117" s="1"/>
  <c r="BL7" i="117"/>
  <c r="BL6" i="117" s="1"/>
  <c r="BK7" i="117"/>
  <c r="BK6" i="117" s="1"/>
  <c r="BJ7" i="117"/>
  <c r="BJ6" i="117" s="1"/>
  <c r="BI7" i="117"/>
  <c r="BI6" i="117" s="1"/>
  <c r="BH7" i="117"/>
  <c r="BH6" i="117" s="1"/>
  <c r="BG7" i="117"/>
  <c r="BG6" i="117" s="1"/>
  <c r="BF7" i="117"/>
  <c r="BF6" i="117" s="1"/>
  <c r="BE7" i="117"/>
  <c r="BE6" i="117" s="1"/>
  <c r="BD7" i="117"/>
  <c r="BD6" i="117" s="1"/>
  <c r="BC7" i="117"/>
  <c r="BC6" i="117" s="1"/>
  <c r="BB7" i="117"/>
  <c r="BB6" i="117" s="1"/>
  <c r="BA7" i="117"/>
  <c r="BA6" i="117" s="1"/>
  <c r="AZ7" i="117"/>
  <c r="AZ6" i="117" s="1"/>
  <c r="AY7" i="117"/>
  <c r="AY6" i="117" s="1"/>
  <c r="AX7" i="117"/>
  <c r="AX6" i="117" s="1"/>
  <c r="AW7" i="117"/>
  <c r="AW6" i="117" s="1"/>
  <c r="AV7" i="117"/>
  <c r="AV6" i="117" s="1"/>
  <c r="AU7" i="117"/>
  <c r="AU6" i="117" s="1"/>
  <c r="AT7" i="117"/>
  <c r="AT6" i="117" s="1"/>
  <c r="AS7" i="117"/>
  <c r="AS6" i="117" s="1"/>
  <c r="AR7" i="117"/>
  <c r="AR6" i="117" s="1"/>
  <c r="AQ7" i="117"/>
  <c r="AQ6" i="117" s="1"/>
  <c r="AP7" i="117"/>
  <c r="AP6" i="117" s="1"/>
  <c r="AO7" i="117"/>
  <c r="AO6" i="117" s="1"/>
  <c r="AN7" i="117"/>
  <c r="AN6" i="117" s="1"/>
  <c r="AM7" i="117"/>
  <c r="AM6" i="117" s="1"/>
  <c r="AL7" i="117"/>
  <c r="AL6" i="117" s="1"/>
  <c r="AK7" i="117"/>
  <c r="AK6" i="117" s="1"/>
  <c r="AJ7" i="117"/>
  <c r="AJ6" i="117" s="1"/>
  <c r="AI7" i="117"/>
  <c r="AI6" i="117" s="1"/>
  <c r="AH7" i="117"/>
  <c r="AG7" i="117"/>
  <c r="AF7" i="117"/>
  <c r="AF6" i="117" s="1"/>
  <c r="AE7" i="117"/>
  <c r="AE6" i="117" s="1"/>
  <c r="AD7" i="117"/>
  <c r="AD6" i="117" s="1"/>
  <c r="AC7" i="117"/>
  <c r="AC6" i="117" s="1"/>
  <c r="AB7" i="117"/>
  <c r="AB6" i="117" s="1"/>
  <c r="AA7" i="117"/>
  <c r="AA6" i="117" s="1"/>
  <c r="Z7" i="117"/>
  <c r="Z6" i="117" s="1"/>
  <c r="Y7" i="117"/>
  <c r="Y6" i="117" s="1"/>
  <c r="X7" i="117"/>
  <c r="X6" i="117" s="1"/>
  <c r="W7" i="117"/>
  <c r="W6" i="117" s="1"/>
  <c r="V7" i="117"/>
  <c r="V6" i="117" s="1"/>
  <c r="U7" i="117"/>
  <c r="U6" i="117" s="1"/>
  <c r="T7" i="117"/>
  <c r="T6" i="117" s="1"/>
  <c r="S7" i="117"/>
  <c r="R7" i="117"/>
  <c r="R6" i="117" s="1"/>
  <c r="Q7" i="117"/>
  <c r="P7" i="117"/>
  <c r="P6" i="117" s="1"/>
  <c r="O7" i="117"/>
  <c r="O6" i="117" s="1"/>
  <c r="N7" i="117"/>
  <c r="N6" i="117" s="1"/>
  <c r="M7" i="117"/>
  <c r="M6" i="117" s="1"/>
  <c r="L7" i="117"/>
  <c r="K7" i="117"/>
  <c r="K6" i="117" s="1"/>
  <c r="J7" i="117"/>
  <c r="I7" i="117"/>
  <c r="H7" i="117"/>
  <c r="H6" i="117" s="1"/>
  <c r="G7" i="117"/>
  <c r="E203" i="116"/>
  <c r="C203" i="116" s="1"/>
  <c r="E202" i="116"/>
  <c r="C202" i="116" s="1"/>
  <c r="E201" i="116"/>
  <c r="C201" i="116" s="1"/>
  <c r="E200" i="116"/>
  <c r="C200" i="116" s="1"/>
  <c r="E199" i="116"/>
  <c r="C199" i="116" s="1"/>
  <c r="E198" i="116"/>
  <c r="C198" i="116" s="1"/>
  <c r="E197" i="116"/>
  <c r="C197" i="116" s="1"/>
  <c r="E196" i="116"/>
  <c r="C196" i="116" s="1"/>
  <c r="E195" i="116"/>
  <c r="C195" i="116" s="1"/>
  <c r="E194" i="116"/>
  <c r="C194" i="116" s="1"/>
  <c r="E193" i="116"/>
  <c r="C193" i="116" s="1"/>
  <c r="E192" i="116"/>
  <c r="C192" i="116" s="1"/>
  <c r="E191" i="116"/>
  <c r="C191" i="116" s="1"/>
  <c r="E190" i="116"/>
  <c r="C190" i="116" s="1"/>
  <c r="E189" i="116"/>
  <c r="C189" i="116" s="1"/>
  <c r="E188" i="116"/>
  <c r="C188" i="116" s="1"/>
  <c r="E187" i="116"/>
  <c r="C187" i="116" s="1"/>
  <c r="E186" i="116"/>
  <c r="C186" i="116" s="1"/>
  <c r="E185" i="116"/>
  <c r="C185" i="116" s="1"/>
  <c r="E184" i="116"/>
  <c r="C184" i="116" s="1"/>
  <c r="E183" i="116"/>
  <c r="C183" i="116" s="1"/>
  <c r="E182" i="116"/>
  <c r="C182" i="116" s="1"/>
  <c r="E181" i="116"/>
  <c r="C181" i="116" s="1"/>
  <c r="E180" i="116"/>
  <c r="C180" i="116" s="1"/>
  <c r="E179" i="116"/>
  <c r="C179" i="116" s="1"/>
  <c r="C175" i="116"/>
  <c r="C174" i="116"/>
  <c r="C173" i="116"/>
  <c r="C172" i="116"/>
  <c r="C171" i="116"/>
  <c r="C170" i="116"/>
  <c r="C169" i="116"/>
  <c r="C168" i="116"/>
  <c r="C167" i="116"/>
  <c r="C166" i="116"/>
  <c r="C165" i="116"/>
  <c r="C164" i="116"/>
  <c r="C163" i="116"/>
  <c r="C162" i="116"/>
  <c r="C161" i="116"/>
  <c r="E160" i="116"/>
  <c r="C160" i="116" s="1"/>
  <c r="E159" i="116"/>
  <c r="C159" i="116" s="1"/>
  <c r="E158" i="116"/>
  <c r="C158" i="116" s="1"/>
  <c r="E157" i="116"/>
  <c r="C157" i="116" s="1"/>
  <c r="E156" i="116"/>
  <c r="C156" i="116" s="1"/>
  <c r="E155" i="116"/>
  <c r="C155" i="116" s="1"/>
  <c r="E154" i="116"/>
  <c r="C154" i="116" s="1"/>
  <c r="E153" i="116"/>
  <c r="C153" i="116" s="1"/>
  <c r="E152" i="116"/>
  <c r="C152" i="116" s="1"/>
  <c r="E151" i="116"/>
  <c r="C151" i="116" s="1"/>
  <c r="E150" i="116"/>
  <c r="C150" i="116" s="1"/>
  <c r="E149" i="116"/>
  <c r="C149" i="116" s="1"/>
  <c r="E148" i="116"/>
  <c r="C148" i="116" s="1"/>
  <c r="E147" i="116"/>
  <c r="C147" i="116" s="1"/>
  <c r="E146" i="116"/>
  <c r="C146" i="116" s="1"/>
  <c r="E145" i="116"/>
  <c r="C145" i="116" s="1"/>
  <c r="E144" i="116"/>
  <c r="C144" i="116" s="1"/>
  <c r="E143" i="116"/>
  <c r="C143" i="116" s="1"/>
  <c r="E142" i="116"/>
  <c r="C142" i="116" s="1"/>
  <c r="E141" i="116"/>
  <c r="C141" i="116" s="1"/>
  <c r="E140" i="116"/>
  <c r="C140" i="116" s="1"/>
  <c r="E139" i="116"/>
  <c r="C139" i="116" s="1"/>
  <c r="E138" i="116"/>
  <c r="C138" i="116" s="1"/>
  <c r="E137" i="116"/>
  <c r="C137" i="116" s="1"/>
  <c r="E136" i="116"/>
  <c r="C136" i="116" s="1"/>
  <c r="E135" i="116"/>
  <c r="C135" i="116" s="1"/>
  <c r="E134" i="116"/>
  <c r="C134" i="116" s="1"/>
  <c r="E133" i="116"/>
  <c r="C133" i="116" s="1"/>
  <c r="E132" i="116"/>
  <c r="C132" i="116" s="1"/>
  <c r="E131" i="116"/>
  <c r="C131" i="116" s="1"/>
  <c r="E130" i="116"/>
  <c r="C130" i="116" s="1"/>
  <c r="E129" i="116"/>
  <c r="C129" i="116" s="1"/>
  <c r="E128" i="116"/>
  <c r="C128" i="116" s="1"/>
  <c r="E127" i="116"/>
  <c r="C127" i="116" s="1"/>
  <c r="E126" i="116"/>
  <c r="C126" i="116" s="1"/>
  <c r="E125" i="116"/>
  <c r="C125" i="116" s="1"/>
  <c r="E124" i="116"/>
  <c r="C124" i="116" s="1"/>
  <c r="E123" i="116"/>
  <c r="C123" i="116" s="1"/>
  <c r="E122" i="116"/>
  <c r="C122" i="116" s="1"/>
  <c r="E121" i="116"/>
  <c r="C121" i="116" s="1"/>
  <c r="E120" i="116"/>
  <c r="C120" i="116" s="1"/>
  <c r="E119" i="116"/>
  <c r="C119" i="116" s="1"/>
  <c r="E118" i="116"/>
  <c r="C118" i="116" s="1"/>
  <c r="E117" i="116"/>
  <c r="C117" i="116" s="1"/>
  <c r="E116" i="116"/>
  <c r="C116" i="116" s="1"/>
  <c r="E115" i="116"/>
  <c r="C115" i="116" s="1"/>
  <c r="E114" i="116"/>
  <c r="C114" i="116" s="1"/>
  <c r="E113" i="116"/>
  <c r="C113" i="116" s="1"/>
  <c r="E112" i="116"/>
  <c r="C112" i="116" s="1"/>
  <c r="E111" i="116"/>
  <c r="C111" i="116" s="1"/>
  <c r="E110" i="116"/>
  <c r="C110" i="116" s="1"/>
  <c r="E109" i="116"/>
  <c r="C109" i="116" s="1"/>
  <c r="E108" i="116"/>
  <c r="C108" i="116" s="1"/>
  <c r="E107" i="116"/>
  <c r="C107" i="116" s="1"/>
  <c r="E106" i="116"/>
  <c r="C106" i="116" s="1"/>
  <c r="E105" i="116"/>
  <c r="C105" i="116" s="1"/>
  <c r="E104" i="116"/>
  <c r="C104" i="116" s="1"/>
  <c r="E103" i="116"/>
  <c r="C103" i="116" s="1"/>
  <c r="E102" i="116"/>
  <c r="C102" i="116" s="1"/>
  <c r="E101" i="116"/>
  <c r="C101" i="116" s="1"/>
  <c r="E100" i="116"/>
  <c r="C100" i="116" s="1"/>
  <c r="E99" i="116"/>
  <c r="C99" i="116" s="1"/>
  <c r="E98" i="116"/>
  <c r="C98" i="116" s="1"/>
  <c r="E97" i="116"/>
  <c r="C97" i="116" s="1"/>
  <c r="E96" i="116"/>
  <c r="C96" i="116" s="1"/>
  <c r="E95" i="116"/>
  <c r="C95" i="116" s="1"/>
  <c r="E94" i="116"/>
  <c r="C94" i="116" s="1"/>
  <c r="E93" i="116"/>
  <c r="C93" i="116" s="1"/>
  <c r="E92" i="116"/>
  <c r="C92" i="116" s="1"/>
  <c r="E91" i="116"/>
  <c r="C91" i="116" s="1"/>
  <c r="E90" i="116"/>
  <c r="C90" i="116" s="1"/>
  <c r="E89" i="116"/>
  <c r="C89" i="116" s="1"/>
  <c r="E88" i="116"/>
  <c r="C88" i="116" s="1"/>
  <c r="E87" i="116"/>
  <c r="C87" i="116" s="1"/>
  <c r="E86" i="116"/>
  <c r="C86" i="116" s="1"/>
  <c r="E85" i="116"/>
  <c r="C85" i="116" s="1"/>
  <c r="E84" i="116"/>
  <c r="C84" i="116" s="1"/>
  <c r="E83" i="116"/>
  <c r="C83" i="116" s="1"/>
  <c r="E82" i="116"/>
  <c r="C82" i="116" s="1"/>
  <c r="E81" i="116"/>
  <c r="C81" i="116" s="1"/>
  <c r="E80" i="116"/>
  <c r="C80" i="116" s="1"/>
  <c r="E79" i="116"/>
  <c r="C79" i="116" s="1"/>
  <c r="E78" i="116"/>
  <c r="C78" i="116" s="1"/>
  <c r="E77" i="116"/>
  <c r="C77" i="116" s="1"/>
  <c r="E76" i="116"/>
  <c r="C76" i="116" s="1"/>
  <c r="E75" i="116"/>
  <c r="C75" i="116" s="1"/>
  <c r="E74" i="116"/>
  <c r="C74" i="116" s="1"/>
  <c r="E73" i="116"/>
  <c r="C73" i="116" s="1"/>
  <c r="E72" i="116"/>
  <c r="C72" i="116" s="1"/>
  <c r="E71" i="116"/>
  <c r="C71" i="116" s="1"/>
  <c r="E70" i="116"/>
  <c r="C70" i="116" s="1"/>
  <c r="E69" i="116"/>
  <c r="C69" i="116" s="1"/>
  <c r="E68" i="116"/>
  <c r="C68" i="116" s="1"/>
  <c r="E67" i="116"/>
  <c r="C67" i="116" s="1"/>
  <c r="E66" i="116"/>
  <c r="C66" i="116" s="1"/>
  <c r="E65" i="116"/>
  <c r="C65" i="116" s="1"/>
  <c r="E64" i="116"/>
  <c r="C64" i="116" s="1"/>
  <c r="E63" i="116"/>
  <c r="C63" i="116" s="1"/>
  <c r="E62" i="116"/>
  <c r="C62" i="116" s="1"/>
  <c r="E61" i="116"/>
  <c r="C61" i="116" s="1"/>
  <c r="E60" i="116"/>
  <c r="C60" i="116" s="1"/>
  <c r="E59" i="116"/>
  <c r="C59" i="116" s="1"/>
  <c r="E58" i="116"/>
  <c r="C58" i="116" s="1"/>
  <c r="E57" i="116"/>
  <c r="C57" i="116" s="1"/>
  <c r="E56" i="116"/>
  <c r="C56" i="116" s="1"/>
  <c r="E55" i="116"/>
  <c r="C55" i="116" s="1"/>
  <c r="E54" i="116"/>
  <c r="C54" i="116" s="1"/>
  <c r="E53" i="116"/>
  <c r="C53" i="116" s="1"/>
  <c r="E52" i="116"/>
  <c r="C52" i="116" s="1"/>
  <c r="E51" i="116"/>
  <c r="C51" i="116" s="1"/>
  <c r="E50" i="116"/>
  <c r="C50" i="116" s="1"/>
  <c r="E49" i="116"/>
  <c r="C49" i="116" s="1"/>
  <c r="E48" i="116"/>
  <c r="C48" i="116" s="1"/>
  <c r="E47" i="116"/>
  <c r="C47" i="116" s="1"/>
  <c r="E46" i="116"/>
  <c r="C46" i="116" s="1"/>
  <c r="E45" i="116"/>
  <c r="C45" i="116" s="1"/>
  <c r="E44" i="116"/>
  <c r="C44" i="116" s="1"/>
  <c r="E43" i="116"/>
  <c r="C43" i="116" s="1"/>
  <c r="E42" i="116"/>
  <c r="C42" i="116" s="1"/>
  <c r="E41" i="116"/>
  <c r="C41" i="116" s="1"/>
  <c r="E40" i="116"/>
  <c r="C40" i="116" s="1"/>
  <c r="E39" i="116"/>
  <c r="C39" i="116" s="1"/>
  <c r="E38" i="116"/>
  <c r="C38" i="116" s="1"/>
  <c r="E37" i="116"/>
  <c r="C37" i="116" s="1"/>
  <c r="E36" i="116"/>
  <c r="C36" i="116" s="1"/>
  <c r="E35" i="116"/>
  <c r="C35" i="116" s="1"/>
  <c r="E34" i="116"/>
  <c r="C34" i="116" s="1"/>
  <c r="E33" i="116"/>
  <c r="C33" i="116" s="1"/>
  <c r="E32" i="116"/>
  <c r="C32" i="116" s="1"/>
  <c r="E31" i="116"/>
  <c r="C31" i="116" s="1"/>
  <c r="E30" i="116"/>
  <c r="C30" i="116" s="1"/>
  <c r="E29" i="116"/>
  <c r="C29" i="116" s="1"/>
  <c r="E28" i="116"/>
  <c r="C28" i="116" s="1"/>
  <c r="E27" i="116"/>
  <c r="C27" i="116" s="1"/>
  <c r="E26" i="116"/>
  <c r="C26" i="116" s="1"/>
  <c r="E25" i="116"/>
  <c r="C25" i="116" s="1"/>
  <c r="E24" i="116"/>
  <c r="C24" i="116" s="1"/>
  <c r="E23" i="116"/>
  <c r="C23" i="116" s="1"/>
  <c r="E22" i="116"/>
  <c r="C22" i="116" s="1"/>
  <c r="E21" i="116"/>
  <c r="C21" i="116" s="1"/>
  <c r="E20" i="116"/>
  <c r="C20" i="116" s="1"/>
  <c r="E19" i="116"/>
  <c r="C19" i="116" s="1"/>
  <c r="E18" i="116"/>
  <c r="C18" i="116" s="1"/>
  <c r="E17" i="116"/>
  <c r="C17" i="116" s="1"/>
  <c r="E16" i="116"/>
  <c r="C16" i="116" s="1"/>
  <c r="E15" i="116"/>
  <c r="C15" i="116" s="1"/>
  <c r="E14" i="116"/>
  <c r="C14" i="116" s="1"/>
  <c r="E13" i="116"/>
  <c r="C13" i="116" s="1"/>
  <c r="E12" i="116"/>
  <c r="C12" i="116" s="1"/>
  <c r="E11" i="116"/>
  <c r="C11" i="116" s="1"/>
  <c r="E10" i="116"/>
  <c r="GA7" i="116"/>
  <c r="GA6" i="116" s="1"/>
  <c r="FZ7" i="116"/>
  <c r="FZ6" i="116" s="1"/>
  <c r="FY7" i="116"/>
  <c r="FY6" i="116" s="1"/>
  <c r="FX7" i="116"/>
  <c r="FX6" i="116" s="1"/>
  <c r="FW7" i="116"/>
  <c r="FW6" i="116" s="1"/>
  <c r="FV7" i="116"/>
  <c r="FV6" i="116" s="1"/>
  <c r="FU7" i="116"/>
  <c r="FU6" i="116" s="1"/>
  <c r="FT7" i="116"/>
  <c r="FT6" i="116" s="1"/>
  <c r="FS7" i="116"/>
  <c r="FS6" i="116" s="1"/>
  <c r="FR7" i="116"/>
  <c r="FR6" i="116" s="1"/>
  <c r="FQ7" i="116"/>
  <c r="FQ6" i="116" s="1"/>
  <c r="FP7" i="116"/>
  <c r="FP6" i="116" s="1"/>
  <c r="FO7" i="116"/>
  <c r="FO6" i="116" s="1"/>
  <c r="FN7" i="116"/>
  <c r="FN6" i="116" s="1"/>
  <c r="FM7" i="116"/>
  <c r="FM6" i="116" s="1"/>
  <c r="FL7" i="116"/>
  <c r="FL6" i="116" s="1"/>
  <c r="FK7" i="116"/>
  <c r="FK6" i="116" s="1"/>
  <c r="FJ7" i="116"/>
  <c r="FJ6" i="116" s="1"/>
  <c r="FI7" i="116"/>
  <c r="FI6" i="116" s="1"/>
  <c r="FH7" i="116"/>
  <c r="FH6" i="116" s="1"/>
  <c r="FG7" i="116"/>
  <c r="FG6" i="116" s="1"/>
  <c r="FF7" i="116"/>
  <c r="FF6" i="116" s="1"/>
  <c r="FE7" i="116"/>
  <c r="FE6" i="116" s="1"/>
  <c r="FD7" i="116"/>
  <c r="FD6" i="116" s="1"/>
  <c r="FC7" i="116"/>
  <c r="FC6" i="116" s="1"/>
  <c r="FB7" i="116"/>
  <c r="FB6" i="116" s="1"/>
  <c r="FA7" i="116"/>
  <c r="FA6" i="116" s="1"/>
  <c r="EZ7" i="116"/>
  <c r="EZ6" i="116" s="1"/>
  <c r="EY7" i="116"/>
  <c r="EY6" i="116" s="1"/>
  <c r="EX7" i="116"/>
  <c r="EX6" i="116" s="1"/>
  <c r="EW7" i="116"/>
  <c r="EW6" i="116" s="1"/>
  <c r="EV7" i="116"/>
  <c r="EV6" i="116" s="1"/>
  <c r="EU7" i="116"/>
  <c r="EU6" i="116" s="1"/>
  <c r="ET7" i="116"/>
  <c r="ET6" i="116" s="1"/>
  <c r="ES7" i="116"/>
  <c r="ES6" i="116" s="1"/>
  <c r="ER7" i="116"/>
  <c r="ER6" i="116" s="1"/>
  <c r="EQ7" i="116"/>
  <c r="EQ6" i="116" s="1"/>
  <c r="EP7" i="116"/>
  <c r="EP6" i="116" s="1"/>
  <c r="EO7" i="116"/>
  <c r="EO6" i="116" s="1"/>
  <c r="EN7" i="116"/>
  <c r="EN6" i="116" s="1"/>
  <c r="EM7" i="116"/>
  <c r="EM6" i="116" s="1"/>
  <c r="EL7" i="116"/>
  <c r="EL6" i="116" s="1"/>
  <c r="EK7" i="116"/>
  <c r="EK6" i="116" s="1"/>
  <c r="EJ7" i="116"/>
  <c r="EJ6" i="116" s="1"/>
  <c r="EI7" i="116"/>
  <c r="EI6" i="116" s="1"/>
  <c r="EH7" i="116"/>
  <c r="EH6" i="116" s="1"/>
  <c r="EG7" i="116"/>
  <c r="EG6" i="116" s="1"/>
  <c r="EF7" i="116"/>
  <c r="EF6" i="116" s="1"/>
  <c r="EE7" i="116"/>
  <c r="EE6" i="116" s="1"/>
  <c r="ED7" i="116"/>
  <c r="ED6" i="116" s="1"/>
  <c r="EC7" i="116"/>
  <c r="EC6" i="116" s="1"/>
  <c r="EB7" i="116"/>
  <c r="EB6" i="116" s="1"/>
  <c r="EA7" i="116"/>
  <c r="EA6" i="116" s="1"/>
  <c r="DZ7" i="116"/>
  <c r="DZ6" i="116" s="1"/>
  <c r="DY7" i="116"/>
  <c r="DY6" i="116" s="1"/>
  <c r="DX7" i="116"/>
  <c r="DX6" i="116" s="1"/>
  <c r="DW7" i="116"/>
  <c r="DW6" i="116" s="1"/>
  <c r="DV7" i="116"/>
  <c r="DV6" i="116" s="1"/>
  <c r="DU7" i="116"/>
  <c r="DU6" i="116" s="1"/>
  <c r="DT7" i="116"/>
  <c r="DT6" i="116" s="1"/>
  <c r="DS7" i="116"/>
  <c r="DS6" i="116" s="1"/>
  <c r="DR7" i="116"/>
  <c r="DR6" i="116" s="1"/>
  <c r="DQ7" i="116"/>
  <c r="DQ6" i="116" s="1"/>
  <c r="DP7" i="116"/>
  <c r="DP6" i="116" s="1"/>
  <c r="DO7" i="116"/>
  <c r="DO6" i="116" s="1"/>
  <c r="DN7" i="116"/>
  <c r="DN6" i="116" s="1"/>
  <c r="DM7" i="116"/>
  <c r="DM6" i="116" s="1"/>
  <c r="DL7" i="116"/>
  <c r="DL6" i="116" s="1"/>
  <c r="DK7" i="116"/>
  <c r="DK6" i="116" s="1"/>
  <c r="DJ7" i="116"/>
  <c r="DJ6" i="116" s="1"/>
  <c r="DI7" i="116"/>
  <c r="DI6" i="116" s="1"/>
  <c r="DH7" i="116"/>
  <c r="DH6" i="116" s="1"/>
  <c r="DG7" i="116"/>
  <c r="DG6" i="116" s="1"/>
  <c r="DF7" i="116"/>
  <c r="DF6" i="116" s="1"/>
  <c r="DE7" i="116"/>
  <c r="DE6" i="116" s="1"/>
  <c r="DD7" i="116"/>
  <c r="DD6" i="116" s="1"/>
  <c r="DC7" i="116"/>
  <c r="DC6" i="116" s="1"/>
  <c r="DB7" i="116"/>
  <c r="DB6" i="116" s="1"/>
  <c r="DA7" i="116"/>
  <c r="DA6" i="116" s="1"/>
  <c r="CZ7" i="116"/>
  <c r="CZ6" i="116" s="1"/>
  <c r="CY7" i="116"/>
  <c r="CY6" i="116" s="1"/>
  <c r="CX7" i="116"/>
  <c r="CX6" i="116" s="1"/>
  <c r="CW7" i="116"/>
  <c r="CW6" i="116" s="1"/>
  <c r="CV7" i="116"/>
  <c r="CV6" i="116" s="1"/>
  <c r="CU7" i="116"/>
  <c r="CU6" i="116" s="1"/>
  <c r="CT7" i="116"/>
  <c r="CT6" i="116" s="1"/>
  <c r="CS7" i="116"/>
  <c r="CS6" i="116" s="1"/>
  <c r="CR7" i="116"/>
  <c r="CR6" i="116" s="1"/>
  <c r="CQ7" i="116"/>
  <c r="CQ6" i="116" s="1"/>
  <c r="CP7" i="116"/>
  <c r="CP6" i="116" s="1"/>
  <c r="CO7" i="116"/>
  <c r="CO6" i="116" s="1"/>
  <c r="CN7" i="116"/>
  <c r="CN6" i="116" s="1"/>
  <c r="CM7" i="116"/>
  <c r="CM6" i="116" s="1"/>
  <c r="CL7" i="116"/>
  <c r="CL6" i="116" s="1"/>
  <c r="CK7" i="116"/>
  <c r="CK6" i="116" s="1"/>
  <c r="CJ7" i="116"/>
  <c r="CJ6" i="116" s="1"/>
  <c r="CI7" i="116"/>
  <c r="CI6" i="116" s="1"/>
  <c r="CH7" i="116"/>
  <c r="CH6" i="116" s="1"/>
  <c r="CG7" i="116"/>
  <c r="CG6" i="116" s="1"/>
  <c r="CF7" i="116"/>
  <c r="CF6" i="116" s="1"/>
  <c r="CE7" i="116"/>
  <c r="CE6" i="116" s="1"/>
  <c r="CD7" i="116"/>
  <c r="CD6" i="116" s="1"/>
  <c r="CC7" i="116"/>
  <c r="CC6" i="116" s="1"/>
  <c r="CB7" i="116"/>
  <c r="CB6" i="116" s="1"/>
  <c r="CA7" i="116"/>
  <c r="CA6" i="116" s="1"/>
  <c r="BZ7" i="116"/>
  <c r="BZ6" i="116" s="1"/>
  <c r="BY7" i="116"/>
  <c r="BY6" i="116" s="1"/>
  <c r="BX7" i="116"/>
  <c r="BX6" i="116" s="1"/>
  <c r="BW7" i="116"/>
  <c r="BW6" i="116" s="1"/>
  <c r="BV7" i="116"/>
  <c r="BV6" i="116" s="1"/>
  <c r="BU7" i="116"/>
  <c r="BU6" i="116" s="1"/>
  <c r="BT7" i="116"/>
  <c r="BT6" i="116" s="1"/>
  <c r="BS7" i="116"/>
  <c r="BS6" i="116" s="1"/>
  <c r="BR7" i="116"/>
  <c r="BR6" i="116" s="1"/>
  <c r="BQ7" i="116"/>
  <c r="BQ6" i="116" s="1"/>
  <c r="BP7" i="116"/>
  <c r="BP6" i="116" s="1"/>
  <c r="BO7" i="116"/>
  <c r="BO6" i="116" s="1"/>
  <c r="BN7" i="116"/>
  <c r="BN6" i="116" s="1"/>
  <c r="BM7" i="116"/>
  <c r="BM6" i="116" s="1"/>
  <c r="BL7" i="116"/>
  <c r="BL6" i="116" s="1"/>
  <c r="BK7" i="116"/>
  <c r="BK6" i="116" s="1"/>
  <c r="BJ7" i="116"/>
  <c r="BJ6" i="116" s="1"/>
  <c r="BI7" i="116"/>
  <c r="BI6" i="116" s="1"/>
  <c r="BH7" i="116"/>
  <c r="BH6" i="116" s="1"/>
  <c r="BG7" i="116"/>
  <c r="BG6" i="116" s="1"/>
  <c r="BF7" i="116"/>
  <c r="BF6" i="116" s="1"/>
  <c r="BE7" i="116"/>
  <c r="BE6" i="116" s="1"/>
  <c r="BD7" i="116"/>
  <c r="BD6" i="116" s="1"/>
  <c r="BC7" i="116"/>
  <c r="BC6" i="116" s="1"/>
  <c r="BB7" i="116"/>
  <c r="BB6" i="116" s="1"/>
  <c r="BA7" i="116"/>
  <c r="BA6" i="116" s="1"/>
  <c r="AZ7" i="116"/>
  <c r="AZ6" i="116" s="1"/>
  <c r="AY7" i="116"/>
  <c r="AY6" i="116" s="1"/>
  <c r="AX7" i="116"/>
  <c r="AX6" i="116" s="1"/>
  <c r="AW7" i="116"/>
  <c r="AW6" i="116" s="1"/>
  <c r="AV7" i="116"/>
  <c r="AV6" i="116" s="1"/>
  <c r="AU7" i="116"/>
  <c r="AU6" i="116" s="1"/>
  <c r="AT7" i="116"/>
  <c r="AT6" i="116" s="1"/>
  <c r="AS7" i="116"/>
  <c r="AS6" i="116" s="1"/>
  <c r="AR7" i="116"/>
  <c r="AR6" i="116" s="1"/>
  <c r="AQ7" i="116"/>
  <c r="AQ6" i="116" s="1"/>
  <c r="AP7" i="116"/>
  <c r="AP6" i="116" s="1"/>
  <c r="AO7" i="116"/>
  <c r="AO6" i="116" s="1"/>
  <c r="AN7" i="116"/>
  <c r="AN6" i="116" s="1"/>
  <c r="AM7" i="116"/>
  <c r="AM6" i="116" s="1"/>
  <c r="AL7" i="116"/>
  <c r="AL6" i="116" s="1"/>
  <c r="AK7" i="116"/>
  <c r="AK6" i="116" s="1"/>
  <c r="AJ7" i="116"/>
  <c r="AJ6" i="116" s="1"/>
  <c r="AI7" i="116"/>
  <c r="AI6" i="116" s="1"/>
  <c r="AH7" i="116"/>
  <c r="AG7" i="116"/>
  <c r="AF7" i="116"/>
  <c r="AF6" i="116" s="1"/>
  <c r="AE7" i="116"/>
  <c r="AE6" i="116" s="1"/>
  <c r="AD7" i="116"/>
  <c r="AD6" i="116" s="1"/>
  <c r="AC7" i="116"/>
  <c r="AC6" i="116" s="1"/>
  <c r="AB7" i="116"/>
  <c r="AB6" i="116" s="1"/>
  <c r="AA7" i="116"/>
  <c r="AA6" i="116" s="1"/>
  <c r="Z7" i="116"/>
  <c r="Z6" i="116" s="1"/>
  <c r="Y7" i="116"/>
  <c r="Y6" i="116" s="1"/>
  <c r="X7" i="116"/>
  <c r="X6" i="116" s="1"/>
  <c r="W7" i="116"/>
  <c r="W6" i="116" s="1"/>
  <c r="V7" i="116"/>
  <c r="V6" i="116" s="1"/>
  <c r="U7" i="116"/>
  <c r="U6" i="116" s="1"/>
  <c r="T7" i="116"/>
  <c r="T6" i="116" s="1"/>
  <c r="S7" i="116"/>
  <c r="R7" i="116"/>
  <c r="R6" i="116" s="1"/>
  <c r="Q7" i="116"/>
  <c r="P7" i="116"/>
  <c r="P6" i="116" s="1"/>
  <c r="O7" i="116"/>
  <c r="O6" i="116" s="1"/>
  <c r="N7" i="116"/>
  <c r="N6" i="116" s="1"/>
  <c r="M7" i="116"/>
  <c r="M6" i="116" s="1"/>
  <c r="L7" i="116"/>
  <c r="K7" i="116"/>
  <c r="K6" i="116" s="1"/>
  <c r="J7" i="116"/>
  <c r="I7" i="116"/>
  <c r="H7" i="116"/>
  <c r="H6" i="116" s="1"/>
  <c r="G7" i="116"/>
  <c r="E201" i="115"/>
  <c r="C201" i="115" s="1"/>
  <c r="E200" i="115"/>
  <c r="C200" i="115" s="1"/>
  <c r="E199" i="115"/>
  <c r="C199" i="115" s="1"/>
  <c r="E198" i="115"/>
  <c r="C198" i="115" s="1"/>
  <c r="E197" i="115"/>
  <c r="C197" i="115" s="1"/>
  <c r="E196" i="115"/>
  <c r="C196" i="115" s="1"/>
  <c r="E195" i="115"/>
  <c r="C195" i="115" s="1"/>
  <c r="E194" i="115"/>
  <c r="C194" i="115" s="1"/>
  <c r="E193" i="115"/>
  <c r="C193" i="115" s="1"/>
  <c r="E192" i="115"/>
  <c r="C192" i="115" s="1"/>
  <c r="E191" i="115"/>
  <c r="C191" i="115" s="1"/>
  <c r="E190" i="115"/>
  <c r="C190" i="115" s="1"/>
  <c r="E189" i="115"/>
  <c r="C189" i="115" s="1"/>
  <c r="E188" i="115"/>
  <c r="C188" i="115" s="1"/>
  <c r="E187" i="115"/>
  <c r="C187" i="115" s="1"/>
  <c r="E186" i="115"/>
  <c r="C186" i="115" s="1"/>
  <c r="E185" i="115"/>
  <c r="C185" i="115" s="1"/>
  <c r="E184" i="115"/>
  <c r="C184" i="115" s="1"/>
  <c r="E183" i="115"/>
  <c r="C183" i="115" s="1"/>
  <c r="E182" i="115"/>
  <c r="C182" i="115" s="1"/>
  <c r="E181" i="115"/>
  <c r="C181" i="115" s="1"/>
  <c r="E180" i="115"/>
  <c r="C180" i="115" s="1"/>
  <c r="E179" i="115"/>
  <c r="C179" i="115" s="1"/>
  <c r="E178" i="115"/>
  <c r="C178" i="115" s="1"/>
  <c r="E177" i="115"/>
  <c r="C177" i="115" s="1"/>
  <c r="E176" i="115"/>
  <c r="C176" i="115" s="1"/>
  <c r="E175" i="115"/>
  <c r="C175" i="115" s="1"/>
  <c r="E174" i="115"/>
  <c r="C174" i="115" s="1"/>
  <c r="E173" i="115"/>
  <c r="C173" i="115" s="1"/>
  <c r="E172" i="115"/>
  <c r="C172" i="115" s="1"/>
  <c r="E171" i="115"/>
  <c r="C171" i="115" s="1"/>
  <c r="E170" i="115"/>
  <c r="C170" i="115" s="1"/>
  <c r="E169" i="115"/>
  <c r="C169" i="115" s="1"/>
  <c r="E168" i="115"/>
  <c r="C168" i="115" s="1"/>
  <c r="E167" i="115"/>
  <c r="C167" i="115" s="1"/>
  <c r="E166" i="115"/>
  <c r="C166" i="115" s="1"/>
  <c r="E165" i="115"/>
  <c r="C165" i="115" s="1"/>
  <c r="E164" i="115"/>
  <c r="C164" i="115" s="1"/>
  <c r="E163" i="115"/>
  <c r="C163" i="115" s="1"/>
  <c r="E162" i="115"/>
  <c r="C162" i="115" s="1"/>
  <c r="E161" i="115"/>
  <c r="C161" i="115" s="1"/>
  <c r="E160" i="115"/>
  <c r="C160" i="115" s="1"/>
  <c r="E159" i="115"/>
  <c r="C159" i="115" s="1"/>
  <c r="E158" i="115"/>
  <c r="C158" i="115" s="1"/>
  <c r="E157" i="115"/>
  <c r="C157" i="115" s="1"/>
  <c r="E156" i="115"/>
  <c r="C156" i="115" s="1"/>
  <c r="E155" i="115"/>
  <c r="C155" i="115" s="1"/>
  <c r="E154" i="115"/>
  <c r="C154" i="115" s="1"/>
  <c r="E153" i="115"/>
  <c r="C153" i="115" s="1"/>
  <c r="E152" i="115"/>
  <c r="C152" i="115" s="1"/>
  <c r="E151" i="115"/>
  <c r="C151" i="115" s="1"/>
  <c r="E150" i="115"/>
  <c r="C150" i="115" s="1"/>
  <c r="E149" i="115"/>
  <c r="C149" i="115" s="1"/>
  <c r="E148" i="115"/>
  <c r="C148" i="115" s="1"/>
  <c r="E147" i="115"/>
  <c r="C147" i="115" s="1"/>
  <c r="E146" i="115"/>
  <c r="C146" i="115" s="1"/>
  <c r="E145" i="115"/>
  <c r="C145" i="115" s="1"/>
  <c r="E144" i="115"/>
  <c r="C144" i="115" s="1"/>
  <c r="E143" i="115"/>
  <c r="C143" i="115" s="1"/>
  <c r="E142" i="115"/>
  <c r="C142" i="115" s="1"/>
  <c r="E141" i="115"/>
  <c r="C141" i="115" s="1"/>
  <c r="E140" i="115"/>
  <c r="C140" i="115" s="1"/>
  <c r="E139" i="115"/>
  <c r="C139" i="115" s="1"/>
  <c r="E138" i="115"/>
  <c r="C138" i="115" s="1"/>
  <c r="E137" i="115"/>
  <c r="C137" i="115" s="1"/>
  <c r="E136" i="115"/>
  <c r="C136" i="115" s="1"/>
  <c r="E135" i="115"/>
  <c r="C135" i="115" s="1"/>
  <c r="E134" i="115"/>
  <c r="C134" i="115" s="1"/>
  <c r="E133" i="115"/>
  <c r="C133" i="115" s="1"/>
  <c r="E132" i="115"/>
  <c r="C132" i="115" s="1"/>
  <c r="E131" i="115"/>
  <c r="C131" i="115" s="1"/>
  <c r="E130" i="115"/>
  <c r="C130" i="115" s="1"/>
  <c r="E129" i="115"/>
  <c r="C129" i="115" s="1"/>
  <c r="E128" i="115"/>
  <c r="C128" i="115" s="1"/>
  <c r="E127" i="115"/>
  <c r="C127" i="115" s="1"/>
  <c r="E126" i="115"/>
  <c r="C126" i="115" s="1"/>
  <c r="E125" i="115"/>
  <c r="C125" i="115" s="1"/>
  <c r="E124" i="115"/>
  <c r="C124" i="115" s="1"/>
  <c r="E123" i="115"/>
  <c r="C123" i="115" s="1"/>
  <c r="E122" i="115"/>
  <c r="C122" i="115" s="1"/>
  <c r="E121" i="115"/>
  <c r="C121" i="115" s="1"/>
  <c r="E120" i="115"/>
  <c r="C120" i="115" s="1"/>
  <c r="E119" i="115"/>
  <c r="C119" i="115" s="1"/>
  <c r="E118" i="115"/>
  <c r="C118" i="115" s="1"/>
  <c r="E117" i="115"/>
  <c r="C117" i="115" s="1"/>
  <c r="E116" i="115"/>
  <c r="C116" i="115" s="1"/>
  <c r="E115" i="115"/>
  <c r="C115" i="115" s="1"/>
  <c r="E114" i="115"/>
  <c r="C114" i="115" s="1"/>
  <c r="E113" i="115"/>
  <c r="C113" i="115" s="1"/>
  <c r="E112" i="115"/>
  <c r="C112" i="115" s="1"/>
  <c r="E111" i="115"/>
  <c r="C111" i="115" s="1"/>
  <c r="E110" i="115"/>
  <c r="C110" i="115" s="1"/>
  <c r="E109" i="115"/>
  <c r="C109" i="115" s="1"/>
  <c r="E108" i="115"/>
  <c r="C108" i="115" s="1"/>
  <c r="E107" i="115"/>
  <c r="C107" i="115" s="1"/>
  <c r="E106" i="115"/>
  <c r="C106" i="115" s="1"/>
  <c r="E105" i="115"/>
  <c r="C105" i="115" s="1"/>
  <c r="E104" i="115"/>
  <c r="C104" i="115" s="1"/>
  <c r="E103" i="115"/>
  <c r="C103" i="115" s="1"/>
  <c r="E102" i="115"/>
  <c r="C102" i="115" s="1"/>
  <c r="E101" i="115"/>
  <c r="C101" i="115" s="1"/>
  <c r="E100" i="115"/>
  <c r="C100" i="115" s="1"/>
  <c r="E99" i="115"/>
  <c r="C99" i="115" s="1"/>
  <c r="E98" i="115"/>
  <c r="C98" i="115" s="1"/>
  <c r="E97" i="115"/>
  <c r="C97" i="115" s="1"/>
  <c r="E96" i="115"/>
  <c r="C96" i="115" s="1"/>
  <c r="E95" i="115"/>
  <c r="C95" i="115" s="1"/>
  <c r="E94" i="115"/>
  <c r="C94" i="115" s="1"/>
  <c r="E93" i="115"/>
  <c r="C93" i="115" s="1"/>
  <c r="E92" i="115"/>
  <c r="C92" i="115" s="1"/>
  <c r="E91" i="115"/>
  <c r="C91" i="115" s="1"/>
  <c r="E90" i="115"/>
  <c r="C90" i="115" s="1"/>
  <c r="E89" i="115"/>
  <c r="C89" i="115" s="1"/>
  <c r="E88" i="115"/>
  <c r="C88" i="115" s="1"/>
  <c r="E87" i="115"/>
  <c r="C87" i="115" s="1"/>
  <c r="E86" i="115"/>
  <c r="C86" i="115" s="1"/>
  <c r="E85" i="115"/>
  <c r="C85" i="115" s="1"/>
  <c r="E84" i="115"/>
  <c r="C84" i="115" s="1"/>
  <c r="E83" i="115"/>
  <c r="C83" i="115" s="1"/>
  <c r="E82" i="115"/>
  <c r="C82" i="115" s="1"/>
  <c r="E81" i="115"/>
  <c r="C81" i="115" s="1"/>
  <c r="E80" i="115"/>
  <c r="C80" i="115" s="1"/>
  <c r="E79" i="115"/>
  <c r="C79" i="115" s="1"/>
  <c r="E78" i="115"/>
  <c r="C78" i="115" s="1"/>
  <c r="E77" i="115"/>
  <c r="C77" i="115" s="1"/>
  <c r="E76" i="115"/>
  <c r="C76" i="115" s="1"/>
  <c r="E75" i="115"/>
  <c r="C75" i="115" s="1"/>
  <c r="E74" i="115"/>
  <c r="C74" i="115" s="1"/>
  <c r="E73" i="115"/>
  <c r="C73" i="115" s="1"/>
  <c r="E72" i="115"/>
  <c r="C72" i="115" s="1"/>
  <c r="E71" i="115"/>
  <c r="C71" i="115" s="1"/>
  <c r="E70" i="115"/>
  <c r="C70" i="115" s="1"/>
  <c r="E69" i="115"/>
  <c r="C69" i="115" s="1"/>
  <c r="E68" i="115"/>
  <c r="C68" i="115" s="1"/>
  <c r="E67" i="115"/>
  <c r="C67" i="115" s="1"/>
  <c r="E66" i="115"/>
  <c r="C66" i="115" s="1"/>
  <c r="E65" i="115"/>
  <c r="C65" i="115" s="1"/>
  <c r="E64" i="115"/>
  <c r="C64" i="115" s="1"/>
  <c r="E63" i="115"/>
  <c r="C63" i="115" s="1"/>
  <c r="E62" i="115"/>
  <c r="C62" i="115" s="1"/>
  <c r="E61" i="115"/>
  <c r="C61" i="115" s="1"/>
  <c r="E60" i="115"/>
  <c r="C60" i="115" s="1"/>
  <c r="E59" i="115"/>
  <c r="C59" i="115" s="1"/>
  <c r="E58" i="115"/>
  <c r="C58" i="115" s="1"/>
  <c r="E57" i="115"/>
  <c r="C57" i="115" s="1"/>
  <c r="E56" i="115"/>
  <c r="C56" i="115" s="1"/>
  <c r="E55" i="115"/>
  <c r="C55" i="115" s="1"/>
  <c r="E54" i="115"/>
  <c r="C54" i="115" s="1"/>
  <c r="E53" i="115"/>
  <c r="C53" i="115" s="1"/>
  <c r="E52" i="115"/>
  <c r="C52" i="115" s="1"/>
  <c r="E51" i="115"/>
  <c r="C51" i="115" s="1"/>
  <c r="E50" i="115"/>
  <c r="C50" i="115" s="1"/>
  <c r="E49" i="115"/>
  <c r="C49" i="115" s="1"/>
  <c r="E48" i="115"/>
  <c r="C48" i="115" s="1"/>
  <c r="E47" i="115"/>
  <c r="C47" i="115" s="1"/>
  <c r="E46" i="115"/>
  <c r="C46" i="115" s="1"/>
  <c r="E45" i="115"/>
  <c r="C45" i="115" s="1"/>
  <c r="E44" i="115"/>
  <c r="C44" i="115" s="1"/>
  <c r="E43" i="115"/>
  <c r="C43" i="115" s="1"/>
  <c r="E42" i="115"/>
  <c r="C42" i="115" s="1"/>
  <c r="E41" i="115"/>
  <c r="C41" i="115" s="1"/>
  <c r="E40" i="115"/>
  <c r="C40" i="115" s="1"/>
  <c r="E39" i="115"/>
  <c r="C39" i="115" s="1"/>
  <c r="E38" i="115"/>
  <c r="C38" i="115" s="1"/>
  <c r="E37" i="115"/>
  <c r="C37" i="115" s="1"/>
  <c r="E36" i="115"/>
  <c r="C36" i="115" s="1"/>
  <c r="E35" i="115"/>
  <c r="C35" i="115" s="1"/>
  <c r="E34" i="115"/>
  <c r="C34" i="115" s="1"/>
  <c r="E33" i="115"/>
  <c r="C33" i="115" s="1"/>
  <c r="E32" i="115"/>
  <c r="C32" i="115" s="1"/>
  <c r="E31" i="115"/>
  <c r="C31" i="115" s="1"/>
  <c r="E30" i="115"/>
  <c r="C30" i="115" s="1"/>
  <c r="E29" i="115"/>
  <c r="C29" i="115" s="1"/>
  <c r="E28" i="115"/>
  <c r="C28" i="115" s="1"/>
  <c r="E27" i="115"/>
  <c r="C27" i="115" s="1"/>
  <c r="E26" i="115"/>
  <c r="C26" i="115" s="1"/>
  <c r="E25" i="115"/>
  <c r="C25" i="115" s="1"/>
  <c r="E24" i="115"/>
  <c r="C24" i="115" s="1"/>
  <c r="E23" i="115"/>
  <c r="C23" i="115" s="1"/>
  <c r="E22" i="115"/>
  <c r="C22" i="115" s="1"/>
  <c r="E21" i="115"/>
  <c r="C21" i="115" s="1"/>
  <c r="E20" i="115"/>
  <c r="C20" i="115" s="1"/>
  <c r="E19" i="115"/>
  <c r="C19" i="115" s="1"/>
  <c r="E18" i="115"/>
  <c r="C18" i="115" s="1"/>
  <c r="E17" i="115"/>
  <c r="C17" i="115" s="1"/>
  <c r="E16" i="115"/>
  <c r="C16" i="115" s="1"/>
  <c r="E15" i="115"/>
  <c r="C15" i="115" s="1"/>
  <c r="E14" i="115"/>
  <c r="C14" i="115" s="1"/>
  <c r="E13" i="115"/>
  <c r="C13" i="115" s="1"/>
  <c r="E12" i="115"/>
  <c r="C12" i="115" s="1"/>
  <c r="E11" i="115"/>
  <c r="C11" i="115" s="1"/>
  <c r="E10" i="115"/>
  <c r="C10" i="115" s="1"/>
  <c r="FZ7" i="115"/>
  <c r="FY7" i="115"/>
  <c r="FY6" i="115" s="1"/>
  <c r="FX7" i="115"/>
  <c r="FX6" i="115" s="1"/>
  <c r="FW7" i="115"/>
  <c r="FW6" i="115" s="1"/>
  <c r="FV7" i="115"/>
  <c r="FV6" i="115" s="1"/>
  <c r="FU7" i="115"/>
  <c r="FU6" i="115" s="1"/>
  <c r="FT7" i="115"/>
  <c r="FT6" i="115" s="1"/>
  <c r="FS7" i="115"/>
  <c r="FS6" i="115" s="1"/>
  <c r="FR7" i="115"/>
  <c r="FR6" i="115" s="1"/>
  <c r="FQ7" i="115"/>
  <c r="FQ6" i="115" s="1"/>
  <c r="FP7" i="115"/>
  <c r="FP6" i="115" s="1"/>
  <c r="FO7" i="115"/>
  <c r="FO6" i="115" s="1"/>
  <c r="FN7" i="115"/>
  <c r="FN6" i="115" s="1"/>
  <c r="FM7" i="115"/>
  <c r="FM6" i="115" s="1"/>
  <c r="FL7" i="115"/>
  <c r="FL6" i="115" s="1"/>
  <c r="FK7" i="115"/>
  <c r="FK6" i="115" s="1"/>
  <c r="FJ7" i="115"/>
  <c r="FJ6" i="115" s="1"/>
  <c r="FI7" i="115"/>
  <c r="FI6" i="115" s="1"/>
  <c r="FH7" i="115"/>
  <c r="FH6" i="115" s="1"/>
  <c r="FG7" i="115"/>
  <c r="FG6" i="115" s="1"/>
  <c r="FF7" i="115"/>
  <c r="FF6" i="115" s="1"/>
  <c r="FE7" i="115"/>
  <c r="FE6" i="115" s="1"/>
  <c r="FD7" i="115"/>
  <c r="FD6" i="115" s="1"/>
  <c r="FC7" i="115"/>
  <c r="FC6" i="115" s="1"/>
  <c r="FB7" i="115"/>
  <c r="FB6" i="115" s="1"/>
  <c r="FA7" i="115"/>
  <c r="FA6" i="115" s="1"/>
  <c r="EZ7" i="115"/>
  <c r="EZ6" i="115" s="1"/>
  <c r="EY7" i="115"/>
  <c r="EY6" i="115" s="1"/>
  <c r="EX7" i="115"/>
  <c r="EX6" i="115" s="1"/>
  <c r="EW7" i="115"/>
  <c r="EW6" i="115" s="1"/>
  <c r="EV7" i="115"/>
  <c r="EV6" i="115" s="1"/>
  <c r="EU7" i="115"/>
  <c r="EU6" i="115" s="1"/>
  <c r="ET7" i="115"/>
  <c r="ET6" i="115" s="1"/>
  <c r="ES7" i="115"/>
  <c r="ES6" i="115" s="1"/>
  <c r="ER7" i="115"/>
  <c r="ER6" i="115" s="1"/>
  <c r="EQ7" i="115"/>
  <c r="EQ6" i="115" s="1"/>
  <c r="EP7" i="115"/>
  <c r="EP6" i="115" s="1"/>
  <c r="EO7" i="115"/>
  <c r="EO6" i="115" s="1"/>
  <c r="EN7" i="115"/>
  <c r="EN6" i="115" s="1"/>
  <c r="EM7" i="115"/>
  <c r="EM6" i="115" s="1"/>
  <c r="EL7" i="115"/>
  <c r="EL6" i="115" s="1"/>
  <c r="EK7" i="115"/>
  <c r="EK6" i="115" s="1"/>
  <c r="EJ7" i="115"/>
  <c r="EJ6" i="115" s="1"/>
  <c r="EI7" i="115"/>
  <c r="EI6" i="115" s="1"/>
  <c r="EH7" i="115"/>
  <c r="EH6" i="115" s="1"/>
  <c r="EG7" i="115"/>
  <c r="EG6" i="115" s="1"/>
  <c r="EF7" i="115"/>
  <c r="EF6" i="115" s="1"/>
  <c r="EE7" i="115"/>
  <c r="EE6" i="115" s="1"/>
  <c r="ED7" i="115"/>
  <c r="ED6" i="115" s="1"/>
  <c r="EC7" i="115"/>
  <c r="EC6" i="115" s="1"/>
  <c r="EB7" i="115"/>
  <c r="EB6" i="115" s="1"/>
  <c r="EA7" i="115"/>
  <c r="EA6" i="115" s="1"/>
  <c r="DZ7" i="115"/>
  <c r="DZ6" i="115" s="1"/>
  <c r="DY7" i="115"/>
  <c r="DY6" i="115" s="1"/>
  <c r="DX7" i="115"/>
  <c r="DX6" i="115" s="1"/>
  <c r="DW7" i="115"/>
  <c r="DW6" i="115" s="1"/>
  <c r="DV7" i="115"/>
  <c r="DV6" i="115" s="1"/>
  <c r="DU7" i="115"/>
  <c r="DU6" i="115" s="1"/>
  <c r="DT7" i="115"/>
  <c r="DT6" i="115" s="1"/>
  <c r="DS7" i="115"/>
  <c r="DS6" i="115" s="1"/>
  <c r="DR7" i="115"/>
  <c r="DR6" i="115" s="1"/>
  <c r="DQ7" i="115"/>
  <c r="DQ6" i="115" s="1"/>
  <c r="DP7" i="115"/>
  <c r="DP6" i="115" s="1"/>
  <c r="DO7" i="115"/>
  <c r="DO6" i="115" s="1"/>
  <c r="DN7" i="115"/>
  <c r="DN6" i="115" s="1"/>
  <c r="DM7" i="115"/>
  <c r="DM6" i="115" s="1"/>
  <c r="DL7" i="115"/>
  <c r="DL6" i="115" s="1"/>
  <c r="DK7" i="115"/>
  <c r="DK6" i="115" s="1"/>
  <c r="DJ7" i="115"/>
  <c r="DJ6" i="115" s="1"/>
  <c r="DI7" i="115"/>
  <c r="DI6" i="115" s="1"/>
  <c r="DH7" i="115"/>
  <c r="DH6" i="115" s="1"/>
  <c r="DG7" i="115"/>
  <c r="DG6" i="115" s="1"/>
  <c r="DF7" i="115"/>
  <c r="DF6" i="115" s="1"/>
  <c r="DE7" i="115"/>
  <c r="DE6" i="115" s="1"/>
  <c r="DD7" i="115"/>
  <c r="DD6" i="115" s="1"/>
  <c r="DC7" i="115"/>
  <c r="DC6" i="115" s="1"/>
  <c r="DB7" i="115"/>
  <c r="DB6" i="115" s="1"/>
  <c r="DA7" i="115"/>
  <c r="DA6" i="115" s="1"/>
  <c r="CZ7" i="115"/>
  <c r="CZ6" i="115" s="1"/>
  <c r="CY7" i="115"/>
  <c r="CY6" i="115" s="1"/>
  <c r="CX7" i="115"/>
  <c r="CX6" i="115" s="1"/>
  <c r="CW7" i="115"/>
  <c r="CW6" i="115" s="1"/>
  <c r="CV7" i="115"/>
  <c r="CV6" i="115" s="1"/>
  <c r="CU7" i="115"/>
  <c r="CU6" i="115" s="1"/>
  <c r="CT7" i="115"/>
  <c r="CT6" i="115" s="1"/>
  <c r="CS7" i="115"/>
  <c r="CS6" i="115" s="1"/>
  <c r="CR7" i="115"/>
  <c r="CR6" i="115" s="1"/>
  <c r="CQ7" i="115"/>
  <c r="CQ6" i="115" s="1"/>
  <c r="CP7" i="115"/>
  <c r="CP6" i="115" s="1"/>
  <c r="CO7" i="115"/>
  <c r="CO6" i="115" s="1"/>
  <c r="CN7" i="115"/>
  <c r="CN6" i="115" s="1"/>
  <c r="CM7" i="115"/>
  <c r="CM6" i="115" s="1"/>
  <c r="CL7" i="115"/>
  <c r="CL6" i="115" s="1"/>
  <c r="CK7" i="115"/>
  <c r="CK6" i="115" s="1"/>
  <c r="CJ7" i="115"/>
  <c r="CJ6" i="115" s="1"/>
  <c r="CI7" i="115"/>
  <c r="CI6" i="115" s="1"/>
  <c r="CH7" i="115"/>
  <c r="CH6" i="115" s="1"/>
  <c r="CG7" i="115"/>
  <c r="CG6" i="115" s="1"/>
  <c r="CF7" i="115"/>
  <c r="CF6" i="115" s="1"/>
  <c r="CE7" i="115"/>
  <c r="CE6" i="115" s="1"/>
  <c r="CD7" i="115"/>
  <c r="CD6" i="115" s="1"/>
  <c r="CC7" i="115"/>
  <c r="CC6" i="115" s="1"/>
  <c r="CB7" i="115"/>
  <c r="CB6" i="115" s="1"/>
  <c r="CA7" i="115"/>
  <c r="CA6" i="115" s="1"/>
  <c r="BZ7" i="115"/>
  <c r="BZ6" i="115" s="1"/>
  <c r="BY7" i="115"/>
  <c r="BY6" i="115" s="1"/>
  <c r="BX7" i="115"/>
  <c r="BX6" i="115" s="1"/>
  <c r="BW7" i="115"/>
  <c r="BW6" i="115" s="1"/>
  <c r="BV7" i="115"/>
  <c r="BV6" i="115" s="1"/>
  <c r="BU7" i="115"/>
  <c r="BU6" i="115" s="1"/>
  <c r="BT7" i="115"/>
  <c r="BT6" i="115" s="1"/>
  <c r="BS7" i="115"/>
  <c r="BS6" i="115" s="1"/>
  <c r="BR7" i="115"/>
  <c r="BR6" i="115" s="1"/>
  <c r="BQ7" i="115"/>
  <c r="BQ6" i="115" s="1"/>
  <c r="BP7" i="115"/>
  <c r="BP6" i="115" s="1"/>
  <c r="BO7" i="115"/>
  <c r="BO6" i="115" s="1"/>
  <c r="BN7" i="115"/>
  <c r="BN6" i="115" s="1"/>
  <c r="BM7" i="115"/>
  <c r="BM6" i="115" s="1"/>
  <c r="BL7" i="115"/>
  <c r="BL6" i="115" s="1"/>
  <c r="BK7" i="115"/>
  <c r="BK6" i="115" s="1"/>
  <c r="BJ7" i="115"/>
  <c r="BJ6" i="115" s="1"/>
  <c r="BI7" i="115"/>
  <c r="BI6" i="115" s="1"/>
  <c r="BH7" i="115"/>
  <c r="BH6" i="115" s="1"/>
  <c r="BG7" i="115"/>
  <c r="BG6" i="115" s="1"/>
  <c r="BF7" i="115"/>
  <c r="BF6" i="115" s="1"/>
  <c r="BE7" i="115"/>
  <c r="BE6" i="115" s="1"/>
  <c r="BD7" i="115"/>
  <c r="BD6" i="115" s="1"/>
  <c r="BC7" i="115"/>
  <c r="BC6" i="115" s="1"/>
  <c r="BB7" i="115"/>
  <c r="BB6" i="115" s="1"/>
  <c r="BA7" i="115"/>
  <c r="BA6" i="115" s="1"/>
  <c r="AZ7" i="115"/>
  <c r="AZ6" i="115" s="1"/>
  <c r="AY7" i="115"/>
  <c r="AY6" i="115" s="1"/>
  <c r="AX7" i="115"/>
  <c r="AX6" i="115" s="1"/>
  <c r="AW7" i="115"/>
  <c r="AW6" i="115" s="1"/>
  <c r="AV7" i="115"/>
  <c r="AV6" i="115" s="1"/>
  <c r="AU7" i="115"/>
  <c r="AU6" i="115" s="1"/>
  <c r="AT7" i="115"/>
  <c r="AT6" i="115" s="1"/>
  <c r="AS7" i="115"/>
  <c r="AS6" i="115" s="1"/>
  <c r="AR7" i="115"/>
  <c r="AR6" i="115" s="1"/>
  <c r="AQ7" i="115"/>
  <c r="AQ6" i="115" s="1"/>
  <c r="AP7" i="115"/>
  <c r="AP6" i="115" s="1"/>
  <c r="AO7" i="115"/>
  <c r="AO6" i="115" s="1"/>
  <c r="AN7" i="115"/>
  <c r="AN6" i="115" s="1"/>
  <c r="AM7" i="115"/>
  <c r="AM6" i="115" s="1"/>
  <c r="AL7" i="115"/>
  <c r="AL6" i="115" s="1"/>
  <c r="AK7" i="115"/>
  <c r="AK6" i="115" s="1"/>
  <c r="AJ7" i="115"/>
  <c r="AJ6" i="115" s="1"/>
  <c r="AI7" i="115"/>
  <c r="AI6" i="115" s="1"/>
  <c r="AH7" i="115"/>
  <c r="AG7" i="115"/>
  <c r="AF7" i="115"/>
  <c r="AF6" i="115" s="1"/>
  <c r="AE7" i="115"/>
  <c r="AE6" i="115" s="1"/>
  <c r="AD7" i="115"/>
  <c r="AD6" i="115" s="1"/>
  <c r="AC7" i="115"/>
  <c r="AC6" i="115" s="1"/>
  <c r="AB7" i="115"/>
  <c r="AB6" i="115" s="1"/>
  <c r="AA7" i="115"/>
  <c r="AA6" i="115" s="1"/>
  <c r="Z7" i="115"/>
  <c r="Z6" i="115" s="1"/>
  <c r="Y7" i="115"/>
  <c r="Y6" i="115" s="1"/>
  <c r="X7" i="115"/>
  <c r="X6" i="115" s="1"/>
  <c r="W7" i="115"/>
  <c r="W6" i="115" s="1"/>
  <c r="V7" i="115"/>
  <c r="V6" i="115" s="1"/>
  <c r="U7" i="115"/>
  <c r="U6" i="115" s="1"/>
  <c r="T7" i="115"/>
  <c r="T6" i="115" s="1"/>
  <c r="S7" i="115"/>
  <c r="R7" i="115"/>
  <c r="R6" i="115" s="1"/>
  <c r="Q7" i="115"/>
  <c r="P7" i="115"/>
  <c r="P6" i="115" s="1"/>
  <c r="O7" i="115"/>
  <c r="O6" i="115" s="1"/>
  <c r="N7" i="115"/>
  <c r="N6" i="115" s="1"/>
  <c r="M7" i="115"/>
  <c r="M6" i="115" s="1"/>
  <c r="L7" i="115"/>
  <c r="K7" i="115"/>
  <c r="K6" i="115" s="1"/>
  <c r="J7" i="115"/>
  <c r="I7" i="115"/>
  <c r="H7" i="115"/>
  <c r="H6" i="115" s="1"/>
  <c r="G7" i="115"/>
  <c r="FZ6" i="115"/>
  <c r="E204" i="114"/>
  <c r="C204" i="114" s="1"/>
  <c r="E203" i="114"/>
  <c r="C203" i="114" s="1"/>
  <c r="E202" i="114"/>
  <c r="C202" i="114" s="1"/>
  <c r="E201" i="114"/>
  <c r="C201" i="114" s="1"/>
  <c r="E200" i="114"/>
  <c r="C200" i="114" s="1"/>
  <c r="E199" i="114"/>
  <c r="C199" i="114" s="1"/>
  <c r="E198" i="114"/>
  <c r="C198" i="114" s="1"/>
  <c r="E197" i="114"/>
  <c r="C197" i="114" s="1"/>
  <c r="E196" i="114"/>
  <c r="C196" i="114" s="1"/>
  <c r="E195" i="114"/>
  <c r="C195" i="114" s="1"/>
  <c r="E194" i="114"/>
  <c r="C194" i="114" s="1"/>
  <c r="E193" i="114"/>
  <c r="C193" i="114" s="1"/>
  <c r="E192" i="114"/>
  <c r="C192" i="114" s="1"/>
  <c r="E191" i="114"/>
  <c r="C191" i="114" s="1"/>
  <c r="E190" i="114"/>
  <c r="C190" i="114" s="1"/>
  <c r="E189" i="114"/>
  <c r="C189" i="114" s="1"/>
  <c r="E188" i="114"/>
  <c r="C188" i="114" s="1"/>
  <c r="E187" i="114"/>
  <c r="C187" i="114" s="1"/>
  <c r="E186" i="114"/>
  <c r="C186" i="114" s="1"/>
  <c r="E185" i="114"/>
  <c r="C185" i="114" s="1"/>
  <c r="E184" i="114"/>
  <c r="C184" i="114" s="1"/>
  <c r="E183" i="114"/>
  <c r="C183" i="114" s="1"/>
  <c r="E182" i="114"/>
  <c r="C182" i="114" s="1"/>
  <c r="E181" i="114"/>
  <c r="C181" i="114" s="1"/>
  <c r="E180" i="114"/>
  <c r="C180" i="114" s="1"/>
  <c r="E179" i="114"/>
  <c r="C179" i="114" s="1"/>
  <c r="E178" i="114"/>
  <c r="C178" i="114" s="1"/>
  <c r="E177" i="114"/>
  <c r="C177" i="114" s="1"/>
  <c r="E176" i="114"/>
  <c r="C176" i="114" s="1"/>
  <c r="E175" i="114"/>
  <c r="C175" i="114" s="1"/>
  <c r="E174" i="114"/>
  <c r="C174" i="114" s="1"/>
  <c r="E173" i="114"/>
  <c r="C173" i="114" s="1"/>
  <c r="E172" i="114"/>
  <c r="C172" i="114" s="1"/>
  <c r="E171" i="114"/>
  <c r="C171" i="114" s="1"/>
  <c r="E170" i="114"/>
  <c r="C170" i="114" s="1"/>
  <c r="E169" i="114"/>
  <c r="C169" i="114" s="1"/>
  <c r="E168" i="114"/>
  <c r="C168" i="114" s="1"/>
  <c r="E167" i="114"/>
  <c r="C167" i="114" s="1"/>
  <c r="E166" i="114"/>
  <c r="C166" i="114" s="1"/>
  <c r="E165" i="114"/>
  <c r="C165" i="114" s="1"/>
  <c r="E164" i="114"/>
  <c r="C164" i="114" s="1"/>
  <c r="E163" i="114"/>
  <c r="C163" i="114" s="1"/>
  <c r="E162" i="114"/>
  <c r="C162" i="114" s="1"/>
  <c r="E161" i="114"/>
  <c r="C161" i="114" s="1"/>
  <c r="E160" i="114"/>
  <c r="C160" i="114" s="1"/>
  <c r="E159" i="114"/>
  <c r="C159" i="114" s="1"/>
  <c r="E158" i="114"/>
  <c r="C158" i="114" s="1"/>
  <c r="E157" i="114"/>
  <c r="C157" i="114" s="1"/>
  <c r="E156" i="114"/>
  <c r="C156" i="114" s="1"/>
  <c r="E155" i="114"/>
  <c r="C155" i="114" s="1"/>
  <c r="E154" i="114"/>
  <c r="C154" i="114" s="1"/>
  <c r="E153" i="114"/>
  <c r="C153" i="114" s="1"/>
  <c r="E152" i="114"/>
  <c r="C152" i="114" s="1"/>
  <c r="E151" i="114"/>
  <c r="C151" i="114" s="1"/>
  <c r="E150" i="114"/>
  <c r="C150" i="114" s="1"/>
  <c r="E149" i="114"/>
  <c r="C149" i="114" s="1"/>
  <c r="E148" i="114"/>
  <c r="C148" i="114" s="1"/>
  <c r="E147" i="114"/>
  <c r="C147" i="114" s="1"/>
  <c r="E146" i="114"/>
  <c r="C146" i="114" s="1"/>
  <c r="E145" i="114"/>
  <c r="C145" i="114" s="1"/>
  <c r="E144" i="114"/>
  <c r="C144" i="114" s="1"/>
  <c r="E143" i="114"/>
  <c r="C143" i="114" s="1"/>
  <c r="E142" i="114"/>
  <c r="C142" i="114" s="1"/>
  <c r="E141" i="114"/>
  <c r="C141" i="114" s="1"/>
  <c r="E140" i="114"/>
  <c r="C140" i="114" s="1"/>
  <c r="E139" i="114"/>
  <c r="C139" i="114" s="1"/>
  <c r="E138" i="114"/>
  <c r="C138" i="114" s="1"/>
  <c r="E137" i="114"/>
  <c r="C137" i="114" s="1"/>
  <c r="E136" i="114"/>
  <c r="C136" i="114" s="1"/>
  <c r="E135" i="114"/>
  <c r="C135" i="114" s="1"/>
  <c r="E134" i="114"/>
  <c r="C134" i="114" s="1"/>
  <c r="E133" i="114"/>
  <c r="C133" i="114" s="1"/>
  <c r="E132" i="114"/>
  <c r="C132" i="114" s="1"/>
  <c r="E131" i="114"/>
  <c r="C131" i="114" s="1"/>
  <c r="E130" i="114"/>
  <c r="C130" i="114" s="1"/>
  <c r="E129" i="114"/>
  <c r="C129" i="114" s="1"/>
  <c r="E128" i="114"/>
  <c r="C128" i="114" s="1"/>
  <c r="E127" i="114"/>
  <c r="C127" i="114" s="1"/>
  <c r="E126" i="114"/>
  <c r="C126" i="114" s="1"/>
  <c r="E125" i="114"/>
  <c r="C125" i="114" s="1"/>
  <c r="E124" i="114"/>
  <c r="C124" i="114" s="1"/>
  <c r="E123" i="114"/>
  <c r="C123" i="114" s="1"/>
  <c r="E122" i="114"/>
  <c r="C122" i="114" s="1"/>
  <c r="E121" i="114"/>
  <c r="C121" i="114" s="1"/>
  <c r="E120" i="114"/>
  <c r="C120" i="114" s="1"/>
  <c r="E119" i="114"/>
  <c r="C119" i="114" s="1"/>
  <c r="E117" i="114"/>
  <c r="C117" i="114" s="1"/>
  <c r="E116" i="114"/>
  <c r="C116" i="114" s="1"/>
  <c r="EQ112" i="114"/>
  <c r="EW113" i="114" s="1"/>
  <c r="E111" i="114"/>
  <c r="C111" i="114" s="1"/>
  <c r="E110" i="114"/>
  <c r="C110" i="114" s="1"/>
  <c r="E109" i="114"/>
  <c r="C109" i="114" s="1"/>
  <c r="E108" i="114"/>
  <c r="C108" i="114" s="1"/>
  <c r="E107" i="114"/>
  <c r="C107" i="114" s="1"/>
  <c r="E106" i="114"/>
  <c r="C106" i="114" s="1"/>
  <c r="E105" i="114"/>
  <c r="C105" i="114" s="1"/>
  <c r="E104" i="114"/>
  <c r="C104" i="114" s="1"/>
  <c r="E103" i="114"/>
  <c r="C103" i="114" s="1"/>
  <c r="EA102" i="114"/>
  <c r="E102" i="114" s="1"/>
  <c r="C102" i="114" s="1"/>
  <c r="EA101" i="114"/>
  <c r="E101" i="114" s="1"/>
  <c r="C101" i="114" s="1"/>
  <c r="DZ100" i="114"/>
  <c r="E100" i="114" s="1"/>
  <c r="C100" i="114" s="1"/>
  <c r="EA99" i="114"/>
  <c r="DR99" i="114"/>
  <c r="DZ98" i="114"/>
  <c r="DR98" i="114"/>
  <c r="EQ97" i="114"/>
  <c r="E97" i="114" s="1"/>
  <c r="C97" i="114" s="1"/>
  <c r="EQ96" i="114"/>
  <c r="E96" i="114" s="1"/>
  <c r="C96" i="114" s="1"/>
  <c r="E95" i="114"/>
  <c r="C95" i="114" s="1"/>
  <c r="E94" i="114"/>
  <c r="C94" i="114" s="1"/>
  <c r="DL93" i="114"/>
  <c r="E93" i="114" s="1"/>
  <c r="C93" i="114" s="1"/>
  <c r="E92" i="114"/>
  <c r="C92" i="114" s="1"/>
  <c r="DR91" i="114"/>
  <c r="E91" i="114" s="1"/>
  <c r="C91" i="114" s="1"/>
  <c r="DH90" i="114"/>
  <c r="E90" i="114" s="1"/>
  <c r="C90" i="114" s="1"/>
  <c r="DH89" i="114"/>
  <c r="E89" i="114" s="1"/>
  <c r="C89" i="114" s="1"/>
  <c r="DH88" i="114"/>
  <c r="DH87" i="114"/>
  <c r="E87" i="114" s="1"/>
  <c r="C87" i="114" s="1"/>
  <c r="E86" i="114"/>
  <c r="C86" i="114" s="1"/>
  <c r="E85" i="114"/>
  <c r="C85" i="114" s="1"/>
  <c r="E84" i="114"/>
  <c r="C84" i="114" s="1"/>
  <c r="E83" i="114"/>
  <c r="C83" i="114" s="1"/>
  <c r="DL82" i="114"/>
  <c r="E82" i="114" s="1"/>
  <c r="C82" i="114" s="1"/>
  <c r="E81" i="114"/>
  <c r="C81" i="114" s="1"/>
  <c r="DW80" i="114"/>
  <c r="E80" i="114" s="1"/>
  <c r="C80" i="114" s="1"/>
  <c r="CT77" i="114"/>
  <c r="DA77" i="114" s="1"/>
  <c r="CQ76" i="114"/>
  <c r="E76" i="114" s="1"/>
  <c r="C76" i="114" s="1"/>
  <c r="CP75" i="114"/>
  <c r="DU79" i="114" s="1"/>
  <c r="DE74" i="114"/>
  <c r="E74" i="114" s="1"/>
  <c r="C74" i="114" s="1"/>
  <c r="CT73" i="114"/>
  <c r="CM73" i="114"/>
  <c r="CQ72" i="114"/>
  <c r="CM72" i="114"/>
  <c r="CP71" i="114"/>
  <c r="CM71" i="114"/>
  <c r="DW70" i="114"/>
  <c r="CM70" i="114"/>
  <c r="CM69" i="114"/>
  <c r="E69" i="114" s="1"/>
  <c r="C69" i="114" s="1"/>
  <c r="CP68" i="114"/>
  <c r="CM68" i="114"/>
  <c r="E67" i="114"/>
  <c r="C67" i="114" s="1"/>
  <c r="E66" i="114"/>
  <c r="C66" i="114" s="1"/>
  <c r="CM65" i="114"/>
  <c r="E65" i="114" s="1"/>
  <c r="C65" i="114" s="1"/>
  <c r="E64" i="114"/>
  <c r="C64" i="114" s="1"/>
  <c r="E63" i="114"/>
  <c r="C63" i="114" s="1"/>
  <c r="E62" i="114"/>
  <c r="C62" i="114" s="1"/>
  <c r="E61" i="114"/>
  <c r="C61" i="114" s="1"/>
  <c r="E60" i="114"/>
  <c r="C60" i="114" s="1"/>
  <c r="E59" i="114"/>
  <c r="C59" i="114" s="1"/>
  <c r="E58" i="114"/>
  <c r="C58" i="114" s="1"/>
  <c r="E57" i="114"/>
  <c r="C57" i="114" s="1"/>
  <c r="E56" i="114"/>
  <c r="C56" i="114" s="1"/>
  <c r="E55" i="114"/>
  <c r="C55" i="114" s="1"/>
  <c r="V54" i="114"/>
  <c r="E51" i="114"/>
  <c r="C51" i="114" s="1"/>
  <c r="V50" i="114"/>
  <c r="E50" i="114" s="1"/>
  <c r="C50" i="114" s="1"/>
  <c r="EC49" i="114"/>
  <c r="E49" i="114" s="1"/>
  <c r="C49" i="114" s="1"/>
  <c r="E48" i="114"/>
  <c r="C48" i="114" s="1"/>
  <c r="DE47" i="114"/>
  <c r="E47" i="114" s="1"/>
  <c r="C47" i="114" s="1"/>
  <c r="E46" i="114"/>
  <c r="C46" i="114" s="1"/>
  <c r="EC45" i="114"/>
  <c r="E45" i="114" s="1"/>
  <c r="C45" i="114" s="1"/>
  <c r="EC44" i="114"/>
  <c r="E44" i="114" s="1"/>
  <c r="C44" i="114" s="1"/>
  <c r="EC43" i="114"/>
  <c r="E43" i="114" s="1"/>
  <c r="C43" i="114" s="1"/>
  <c r="E42" i="114"/>
  <c r="C42" i="114" s="1"/>
  <c r="E41" i="114"/>
  <c r="C41" i="114" s="1"/>
  <c r="E40" i="114"/>
  <c r="C40" i="114" s="1"/>
  <c r="E39" i="114"/>
  <c r="C39" i="114" s="1"/>
  <c r="EC38" i="114"/>
  <c r="CG38" i="114"/>
  <c r="CG7" i="114" s="1"/>
  <c r="CG6" i="114" s="1"/>
  <c r="BD38" i="114"/>
  <c r="BD7" i="114" s="1"/>
  <c r="BD6" i="114" s="1"/>
  <c r="E37" i="114"/>
  <c r="C37" i="114" s="1"/>
  <c r="E36" i="114"/>
  <c r="C36" i="114" s="1"/>
  <c r="E35" i="114"/>
  <c r="C35" i="114" s="1"/>
  <c r="E34" i="114"/>
  <c r="C34" i="114" s="1"/>
  <c r="E33" i="114"/>
  <c r="C33" i="114" s="1"/>
  <c r="E32" i="114"/>
  <c r="C32" i="114" s="1"/>
  <c r="E31" i="114"/>
  <c r="C31" i="114" s="1"/>
  <c r="E30" i="114"/>
  <c r="C30" i="114" s="1"/>
  <c r="E29" i="114"/>
  <c r="C29" i="114" s="1"/>
  <c r="E28" i="114"/>
  <c r="C28" i="114" s="1"/>
  <c r="E27" i="114"/>
  <c r="C27" i="114" s="1"/>
  <c r="E26" i="114"/>
  <c r="C26" i="114" s="1"/>
  <c r="ED25" i="114"/>
  <c r="E25" i="114" s="1"/>
  <c r="C25" i="114" s="1"/>
  <c r="E24" i="114"/>
  <c r="C24" i="114" s="1"/>
  <c r="E23" i="114"/>
  <c r="C23" i="114" s="1"/>
  <c r="AS22" i="114"/>
  <c r="AS7" i="114" s="1"/>
  <c r="AS6" i="114" s="1"/>
  <c r="E21" i="114"/>
  <c r="C21" i="114" s="1"/>
  <c r="DX20" i="114"/>
  <c r="DX52" i="114" s="1"/>
  <c r="E52" i="114" s="1"/>
  <c r="C52" i="114" s="1"/>
  <c r="E19" i="114"/>
  <c r="C19" i="114" s="1"/>
  <c r="E18" i="114"/>
  <c r="C18" i="114" s="1"/>
  <c r="E17" i="114"/>
  <c r="C17" i="114" s="1"/>
  <c r="DH16" i="114"/>
  <c r="E16" i="114" s="1"/>
  <c r="C16" i="114" s="1"/>
  <c r="E15" i="114"/>
  <c r="C15" i="114" s="1"/>
  <c r="E14" i="114"/>
  <c r="C14" i="114" s="1"/>
  <c r="E13" i="114"/>
  <c r="C13" i="114" s="1"/>
  <c r="E12" i="114"/>
  <c r="C12" i="114" s="1"/>
  <c r="E11" i="114"/>
  <c r="C11" i="114" s="1"/>
  <c r="E10" i="114"/>
  <c r="C10" i="114" s="1"/>
  <c r="GA7" i="114"/>
  <c r="GA6" i="114" s="1"/>
  <c r="FZ7" i="114"/>
  <c r="FZ6" i="114" s="1"/>
  <c r="FY7" i="114"/>
  <c r="FY6" i="114" s="1"/>
  <c r="FX7" i="114"/>
  <c r="FX6" i="114" s="1"/>
  <c r="FW7" i="114"/>
  <c r="FW6" i="114" s="1"/>
  <c r="FV7" i="114"/>
  <c r="FV6" i="114" s="1"/>
  <c r="FU7" i="114"/>
  <c r="FU6" i="114" s="1"/>
  <c r="FT7" i="114"/>
  <c r="FT6" i="114" s="1"/>
  <c r="FS7" i="114"/>
  <c r="FS6" i="114" s="1"/>
  <c r="FR7" i="114"/>
  <c r="FR6" i="114" s="1"/>
  <c r="FQ7" i="114"/>
  <c r="FQ6" i="114" s="1"/>
  <c r="FP7" i="114"/>
  <c r="FP6" i="114" s="1"/>
  <c r="FO7" i="114"/>
  <c r="FO6" i="114" s="1"/>
  <c r="FN7" i="114"/>
  <c r="FN6" i="114" s="1"/>
  <c r="FM7" i="114"/>
  <c r="FM6" i="114" s="1"/>
  <c r="FL7" i="114"/>
  <c r="FL6" i="114" s="1"/>
  <c r="FK7" i="114"/>
  <c r="FK6" i="114" s="1"/>
  <c r="FJ7" i="114"/>
  <c r="FJ6" i="114" s="1"/>
  <c r="FI7" i="114"/>
  <c r="FI6" i="114" s="1"/>
  <c r="FH7" i="114"/>
  <c r="FH6" i="114" s="1"/>
  <c r="FG7" i="114"/>
  <c r="FG6" i="114" s="1"/>
  <c r="FF7" i="114"/>
  <c r="FF6" i="114" s="1"/>
  <c r="FE7" i="114"/>
  <c r="FE6" i="114" s="1"/>
  <c r="FD7" i="114"/>
  <c r="FD6" i="114" s="1"/>
  <c r="FC7" i="114"/>
  <c r="FC6" i="114" s="1"/>
  <c r="FB7" i="114"/>
  <c r="FB6" i="114" s="1"/>
  <c r="FA7" i="114"/>
  <c r="FA6" i="114" s="1"/>
  <c r="EY7" i="114"/>
  <c r="EY6" i="114" s="1"/>
  <c r="EV7" i="114"/>
  <c r="EV6" i="114" s="1"/>
  <c r="EU7" i="114"/>
  <c r="EU6" i="114" s="1"/>
  <c r="ET7" i="114"/>
  <c r="ET6" i="114" s="1"/>
  <c r="ES7" i="114"/>
  <c r="ES6" i="114" s="1"/>
  <c r="ER7" i="114"/>
  <c r="ER6" i="114" s="1"/>
  <c r="EP7" i="114"/>
  <c r="EP6" i="114" s="1"/>
  <c r="EO7" i="114"/>
  <c r="EO6" i="114" s="1"/>
  <c r="EN7" i="114"/>
  <c r="EN6" i="114" s="1"/>
  <c r="EM7" i="114"/>
  <c r="EM6" i="114" s="1"/>
  <c r="EL7" i="114"/>
  <c r="EL6" i="114" s="1"/>
  <c r="EK7" i="114"/>
  <c r="EK6" i="114" s="1"/>
  <c r="EJ7" i="114"/>
  <c r="EJ6" i="114" s="1"/>
  <c r="EI7" i="114"/>
  <c r="EI6" i="114" s="1"/>
  <c r="EH7" i="114"/>
  <c r="EH6" i="114" s="1"/>
  <c r="EG7" i="114"/>
  <c r="EG6" i="114" s="1"/>
  <c r="EF7" i="114"/>
  <c r="EF6" i="114" s="1"/>
  <c r="EE7" i="114"/>
  <c r="EE6" i="114" s="1"/>
  <c r="EB7" i="114"/>
  <c r="EB6" i="114" s="1"/>
  <c r="DY7" i="114"/>
  <c r="DY6" i="114" s="1"/>
  <c r="DV7" i="114"/>
  <c r="DV6" i="114" s="1"/>
  <c r="DT7" i="114"/>
  <c r="DT6" i="114" s="1"/>
  <c r="DS7" i="114"/>
  <c r="DS6" i="114" s="1"/>
  <c r="DQ7" i="114"/>
  <c r="DQ6" i="114" s="1"/>
  <c r="DP7" i="114"/>
  <c r="DP6" i="114" s="1"/>
  <c r="DO7" i="114"/>
  <c r="DO6" i="114" s="1"/>
  <c r="DN7" i="114"/>
  <c r="DN6" i="114" s="1"/>
  <c r="DM7" i="114"/>
  <c r="DM6" i="114" s="1"/>
  <c r="DK7" i="114"/>
  <c r="DK6" i="114" s="1"/>
  <c r="DJ7" i="114"/>
  <c r="DJ6" i="114" s="1"/>
  <c r="DI7" i="114"/>
  <c r="DI6" i="114" s="1"/>
  <c r="DG7" i="114"/>
  <c r="DG6" i="114" s="1"/>
  <c r="DF7" i="114"/>
  <c r="DF6" i="114" s="1"/>
  <c r="DD7" i="114"/>
  <c r="DD6" i="114" s="1"/>
  <c r="DC7" i="114"/>
  <c r="DC6" i="114" s="1"/>
  <c r="DB7" i="114"/>
  <c r="DB6" i="114" s="1"/>
  <c r="CZ7" i="114"/>
  <c r="CZ6" i="114" s="1"/>
  <c r="CY7" i="114"/>
  <c r="CY6" i="114" s="1"/>
  <c r="CX7" i="114"/>
  <c r="CX6" i="114" s="1"/>
  <c r="CW7" i="114"/>
  <c r="CW6" i="114" s="1"/>
  <c r="CV7" i="114"/>
  <c r="CV6" i="114" s="1"/>
  <c r="CU7" i="114"/>
  <c r="CU6" i="114" s="1"/>
  <c r="CS7" i="114"/>
  <c r="CS6" i="114" s="1"/>
  <c r="CR7" i="114"/>
  <c r="CR6" i="114" s="1"/>
  <c r="CO7" i="114"/>
  <c r="CO6" i="114" s="1"/>
  <c r="CN7" i="114"/>
  <c r="CN6" i="114" s="1"/>
  <c r="CL7" i="114"/>
  <c r="CL6" i="114" s="1"/>
  <c r="CK7" i="114"/>
  <c r="CK6" i="114" s="1"/>
  <c r="CJ7" i="114"/>
  <c r="CJ6" i="114" s="1"/>
  <c r="CI7" i="114"/>
  <c r="CI6" i="114" s="1"/>
  <c r="CH7" i="114"/>
  <c r="CH6" i="114" s="1"/>
  <c r="CF7" i="114"/>
  <c r="CF6" i="114" s="1"/>
  <c r="CE7" i="114"/>
  <c r="CE6" i="114" s="1"/>
  <c r="CD7" i="114"/>
  <c r="CD6" i="114" s="1"/>
  <c r="CC7" i="114"/>
  <c r="CC6" i="114" s="1"/>
  <c r="CB7" i="114"/>
  <c r="CB6" i="114" s="1"/>
  <c r="CA7" i="114"/>
  <c r="CA6" i="114" s="1"/>
  <c r="BZ7" i="114"/>
  <c r="BZ6" i="114" s="1"/>
  <c r="BY7" i="114"/>
  <c r="BY6" i="114" s="1"/>
  <c r="BX7" i="114"/>
  <c r="BX6" i="114" s="1"/>
  <c r="BW7" i="114"/>
  <c r="BW6" i="114" s="1"/>
  <c r="BV7" i="114"/>
  <c r="BV6" i="114" s="1"/>
  <c r="BU7" i="114"/>
  <c r="BU6" i="114" s="1"/>
  <c r="BT7" i="114"/>
  <c r="BT6" i="114" s="1"/>
  <c r="BS7" i="114"/>
  <c r="BS6" i="114" s="1"/>
  <c r="BR7" i="114"/>
  <c r="BR6" i="114" s="1"/>
  <c r="BQ7" i="114"/>
  <c r="BQ6" i="114" s="1"/>
  <c r="BP7" i="114"/>
  <c r="BP6" i="114" s="1"/>
  <c r="BO7" i="114"/>
  <c r="BO6" i="114" s="1"/>
  <c r="BN7" i="114"/>
  <c r="BN6" i="114" s="1"/>
  <c r="BM7" i="114"/>
  <c r="BM6" i="114" s="1"/>
  <c r="BL7" i="114"/>
  <c r="BL6" i="114" s="1"/>
  <c r="BK7" i="114"/>
  <c r="BK6" i="114" s="1"/>
  <c r="BJ7" i="114"/>
  <c r="BJ6" i="114" s="1"/>
  <c r="BI7" i="114"/>
  <c r="BI6" i="114" s="1"/>
  <c r="BH7" i="114"/>
  <c r="BH6" i="114" s="1"/>
  <c r="BG7" i="114"/>
  <c r="BG6" i="114" s="1"/>
  <c r="BF7" i="114"/>
  <c r="BF6" i="114" s="1"/>
  <c r="BE7" i="114"/>
  <c r="BE6" i="114" s="1"/>
  <c r="BC7" i="114"/>
  <c r="BC6" i="114" s="1"/>
  <c r="BB7" i="114"/>
  <c r="BB6" i="114" s="1"/>
  <c r="BA7" i="114"/>
  <c r="BA6" i="114" s="1"/>
  <c r="AZ7" i="114"/>
  <c r="AZ6" i="114" s="1"/>
  <c r="AY7" i="114"/>
  <c r="AY6" i="114" s="1"/>
  <c r="AX7" i="114"/>
  <c r="AX6" i="114" s="1"/>
  <c r="AW7" i="114"/>
  <c r="AW6" i="114" s="1"/>
  <c r="AV7" i="114"/>
  <c r="AV6" i="114" s="1"/>
  <c r="AU7" i="114"/>
  <c r="AU6" i="114" s="1"/>
  <c r="AT7" i="114"/>
  <c r="AT6" i="114" s="1"/>
  <c r="AR7" i="114"/>
  <c r="AR6" i="114" s="1"/>
  <c r="AQ7" i="114"/>
  <c r="AQ6" i="114" s="1"/>
  <c r="AP7" i="114"/>
  <c r="AP6" i="114" s="1"/>
  <c r="AO7" i="114"/>
  <c r="AO6" i="114" s="1"/>
  <c r="AN7" i="114"/>
  <c r="AN6" i="114" s="1"/>
  <c r="AM7" i="114"/>
  <c r="AM6" i="114" s="1"/>
  <c r="AL7" i="114"/>
  <c r="AL6" i="114" s="1"/>
  <c r="AK7" i="114"/>
  <c r="AK6" i="114" s="1"/>
  <c r="AJ7" i="114"/>
  <c r="AJ6" i="114" s="1"/>
  <c r="AI7" i="114"/>
  <c r="AI6" i="114" s="1"/>
  <c r="AH7" i="114"/>
  <c r="AH6" i="114" s="1"/>
  <c r="AG7" i="114"/>
  <c r="AG6" i="114" s="1"/>
  <c r="AF7" i="114"/>
  <c r="AF6" i="114" s="1"/>
  <c r="AE7" i="114"/>
  <c r="AE6" i="114" s="1"/>
  <c r="AD7" i="114"/>
  <c r="AD6" i="114" s="1"/>
  <c r="AC7" i="114"/>
  <c r="AC6" i="114" s="1"/>
  <c r="AB7" i="114"/>
  <c r="AB6" i="114" s="1"/>
  <c r="AA7" i="114"/>
  <c r="AA6" i="114" s="1"/>
  <c r="Z7" i="114"/>
  <c r="Z6" i="114" s="1"/>
  <c r="Y7" i="114"/>
  <c r="Y6" i="114" s="1"/>
  <c r="X7" i="114"/>
  <c r="X6" i="114" s="1"/>
  <c r="W7" i="114"/>
  <c r="W6" i="114" s="1"/>
  <c r="U7" i="114"/>
  <c r="U6" i="114" s="1"/>
  <c r="T7" i="114"/>
  <c r="T6" i="114" s="1"/>
  <c r="S7" i="114"/>
  <c r="S6" i="114" s="1"/>
  <c r="R7" i="114"/>
  <c r="R6" i="114" s="1"/>
  <c r="Q7" i="114"/>
  <c r="Q6" i="114" s="1"/>
  <c r="P7" i="114"/>
  <c r="P6" i="114" s="1"/>
  <c r="O7" i="114"/>
  <c r="O6" i="114" s="1"/>
  <c r="N7" i="114"/>
  <c r="N6" i="114" s="1"/>
  <c r="M7" i="114"/>
  <c r="M6" i="114" s="1"/>
  <c r="L7" i="114"/>
  <c r="L6" i="114" s="1"/>
  <c r="K7" i="114"/>
  <c r="K6" i="114" s="1"/>
  <c r="J7" i="114"/>
  <c r="J6" i="114" s="1"/>
  <c r="I7" i="114"/>
  <c r="I6" i="114" s="1"/>
  <c r="H7" i="114"/>
  <c r="H6" i="114" s="1"/>
  <c r="G7" i="114"/>
  <c r="K562" i="112"/>
  <c r="K561" i="112"/>
  <c r="K560" i="112"/>
  <c r="K559" i="112"/>
  <c r="K558" i="112"/>
  <c r="K557" i="112"/>
  <c r="K556" i="112"/>
  <c r="K555" i="112"/>
  <c r="K554" i="112"/>
  <c r="K553" i="112"/>
  <c r="K551" i="112"/>
  <c r="K550" i="112"/>
  <c r="K549" i="112"/>
  <c r="K548" i="112"/>
  <c r="K547" i="112"/>
  <c r="K546" i="112"/>
  <c r="K545" i="112"/>
  <c r="K544" i="112"/>
  <c r="K542" i="112"/>
  <c r="K541" i="112"/>
  <c r="K540" i="112"/>
  <c r="K539" i="112"/>
  <c r="K538" i="112"/>
  <c r="K537" i="112"/>
  <c r="K536" i="112"/>
  <c r="K535" i="112"/>
  <c r="K534" i="112"/>
  <c r="K533" i="112"/>
  <c r="K532" i="112"/>
  <c r="K531" i="112"/>
  <c r="K530" i="112"/>
  <c r="K529" i="112"/>
  <c r="K528" i="112"/>
  <c r="K527" i="112"/>
  <c r="K526" i="112"/>
  <c r="K525" i="112"/>
  <c r="K524" i="112"/>
  <c r="K523" i="112"/>
  <c r="K522" i="112"/>
  <c r="K521" i="112"/>
  <c r="K520" i="112"/>
  <c r="K519" i="112"/>
  <c r="K518" i="112"/>
  <c r="K517" i="112"/>
  <c r="K516" i="112"/>
  <c r="K515" i="112"/>
  <c r="K514" i="112"/>
  <c r="K513" i="112"/>
  <c r="K512" i="112"/>
  <c r="K511" i="112"/>
  <c r="K510" i="112"/>
  <c r="K509" i="112"/>
  <c r="K508" i="112"/>
  <c r="K507" i="112"/>
  <c r="K506" i="112"/>
  <c r="K505" i="112"/>
  <c r="K504" i="112"/>
  <c r="K503" i="112"/>
  <c r="K502" i="112"/>
  <c r="K501" i="112"/>
  <c r="K500" i="112"/>
  <c r="K499" i="112"/>
  <c r="K498" i="112"/>
  <c r="K497" i="112"/>
  <c r="K496" i="112"/>
  <c r="K495" i="112"/>
  <c r="K494" i="112"/>
  <c r="K493" i="112"/>
  <c r="K492" i="112"/>
  <c r="K491" i="112"/>
  <c r="K490" i="112"/>
  <c r="K489" i="112"/>
  <c r="K488" i="112"/>
  <c r="K487" i="112"/>
  <c r="K486" i="112"/>
  <c r="K485" i="112"/>
  <c r="K484" i="112"/>
  <c r="K483" i="112"/>
  <c r="K482" i="112"/>
  <c r="K481" i="112"/>
  <c r="K480" i="112"/>
  <c r="K479" i="112"/>
  <c r="K478" i="112"/>
  <c r="K477" i="112"/>
  <c r="K476" i="112"/>
  <c r="K475" i="112"/>
  <c r="K474" i="112"/>
  <c r="K473" i="112"/>
  <c r="K472" i="112"/>
  <c r="K471" i="112"/>
  <c r="K470" i="112"/>
  <c r="K469" i="112"/>
  <c r="K468" i="112"/>
  <c r="K467" i="112"/>
  <c r="K466" i="112"/>
  <c r="K465" i="112"/>
  <c r="K464" i="112"/>
  <c r="K463" i="112"/>
  <c r="K462" i="112"/>
  <c r="K461" i="112"/>
  <c r="K460" i="112"/>
  <c r="K459" i="112"/>
  <c r="K458" i="112"/>
  <c r="K457" i="112"/>
  <c r="K456" i="112"/>
  <c r="K455" i="112"/>
  <c r="K454" i="112"/>
  <c r="K453" i="112"/>
  <c r="K452" i="112"/>
  <c r="K451" i="112"/>
  <c r="K450" i="112"/>
  <c r="K449" i="112"/>
  <c r="K448" i="112"/>
  <c r="K447" i="112"/>
  <c r="K446" i="112"/>
  <c r="K445" i="112"/>
  <c r="K444" i="112"/>
  <c r="K443" i="112"/>
  <c r="K442" i="112"/>
  <c r="K441" i="112"/>
  <c r="K440" i="112"/>
  <c r="K439" i="112"/>
  <c r="K438" i="112"/>
  <c r="K437" i="112"/>
  <c r="K436" i="112"/>
  <c r="K435" i="112"/>
  <c r="K434" i="112"/>
  <c r="K433" i="112"/>
  <c r="K432" i="112"/>
  <c r="K431" i="112"/>
  <c r="K430" i="112"/>
  <c r="K429" i="112"/>
  <c r="K428" i="112"/>
  <c r="K427" i="112"/>
  <c r="K426" i="112"/>
  <c r="K425" i="112"/>
  <c r="K424" i="112"/>
  <c r="K423" i="112"/>
  <c r="K422" i="112"/>
  <c r="K421" i="112"/>
  <c r="K420" i="112"/>
  <c r="K419" i="112"/>
  <c r="K418" i="112"/>
  <c r="K417" i="112"/>
  <c r="K416" i="112"/>
  <c r="K415" i="112"/>
  <c r="K414" i="112"/>
  <c r="K413" i="112"/>
  <c r="K412" i="112"/>
  <c r="K411" i="112"/>
  <c r="K410" i="112"/>
  <c r="K409" i="112"/>
  <c r="K408" i="112"/>
  <c r="K407" i="112"/>
  <c r="K406" i="112"/>
  <c r="K405" i="112"/>
  <c r="K404" i="112"/>
  <c r="K403" i="112"/>
  <c r="K402" i="112"/>
  <c r="K401" i="112"/>
  <c r="K400" i="112"/>
  <c r="K399" i="112"/>
  <c r="K398" i="112"/>
  <c r="K397" i="112"/>
  <c r="K396" i="112"/>
  <c r="K394" i="112"/>
  <c r="K393" i="112"/>
  <c r="K392" i="112"/>
  <c r="K391" i="112"/>
  <c r="K390" i="112"/>
  <c r="K389" i="112"/>
  <c r="K388" i="112"/>
  <c r="K387" i="112"/>
  <c r="K386" i="112"/>
  <c r="K385" i="112"/>
  <c r="K384" i="112"/>
  <c r="K383" i="112"/>
  <c r="K382" i="112"/>
  <c r="K381" i="112"/>
  <c r="K380" i="112"/>
  <c r="K379" i="112"/>
  <c r="K378" i="112"/>
  <c r="K377" i="112"/>
  <c r="K376" i="112"/>
  <c r="K375" i="112"/>
  <c r="K374" i="112"/>
  <c r="K373" i="112"/>
  <c r="K372" i="112"/>
  <c r="K371" i="112"/>
  <c r="K370" i="112"/>
  <c r="K369" i="112"/>
  <c r="K368" i="112"/>
  <c r="K367" i="112"/>
  <c r="K366" i="112"/>
  <c r="K365" i="112"/>
  <c r="K364" i="112"/>
  <c r="K363" i="112"/>
  <c r="K362" i="112"/>
  <c r="K361" i="112"/>
  <c r="K360" i="112"/>
  <c r="K359" i="112"/>
  <c r="K358" i="112"/>
  <c r="K357" i="112"/>
  <c r="K356" i="112"/>
  <c r="K355" i="112"/>
  <c r="K354" i="112"/>
  <c r="K353" i="112"/>
  <c r="K352" i="112"/>
  <c r="K351" i="112"/>
  <c r="K350" i="112"/>
  <c r="K349" i="112"/>
  <c r="K348" i="112"/>
  <c r="K347" i="112"/>
  <c r="K346" i="112"/>
  <c r="K345" i="112"/>
  <c r="K344" i="112"/>
  <c r="K343" i="112"/>
  <c r="K342" i="112"/>
  <c r="K341" i="112"/>
  <c r="K340" i="112"/>
  <c r="K339" i="112"/>
  <c r="K338" i="112"/>
  <c r="K337" i="112"/>
  <c r="K336" i="112"/>
  <c r="K335" i="112"/>
  <c r="K334" i="112"/>
  <c r="K333" i="112"/>
  <c r="K332" i="112"/>
  <c r="K331" i="112"/>
  <c r="K330" i="112"/>
  <c r="K329" i="112"/>
  <c r="K328" i="112"/>
  <c r="K327" i="112"/>
  <c r="K326" i="112"/>
  <c r="K325" i="112"/>
  <c r="K324" i="112"/>
  <c r="K323" i="112"/>
  <c r="K322" i="112"/>
  <c r="K321" i="112"/>
  <c r="K320" i="112"/>
  <c r="K319" i="112"/>
  <c r="K318" i="112"/>
  <c r="K317" i="112"/>
  <c r="K316" i="112"/>
  <c r="K315" i="112"/>
  <c r="K314" i="112"/>
  <c r="K313" i="112"/>
  <c r="K312" i="112"/>
  <c r="K311" i="112"/>
  <c r="K310" i="112"/>
  <c r="K309" i="112"/>
  <c r="K308" i="112"/>
  <c r="K307" i="112"/>
  <c r="K306" i="112"/>
  <c r="K305" i="112"/>
  <c r="K304" i="112"/>
  <c r="K303" i="112"/>
  <c r="K302" i="112"/>
  <c r="K301" i="112"/>
  <c r="K300" i="112"/>
  <c r="K299" i="112"/>
  <c r="K298" i="112"/>
  <c r="K297" i="112"/>
  <c r="K296" i="112"/>
  <c r="K295" i="112"/>
  <c r="K294" i="112"/>
  <c r="K293" i="112"/>
  <c r="K292" i="112"/>
  <c r="K291" i="112"/>
  <c r="K290" i="112"/>
  <c r="K289" i="112"/>
  <c r="K288" i="112"/>
  <c r="K287" i="112"/>
  <c r="K286" i="112"/>
  <c r="K285" i="112"/>
  <c r="K284" i="112"/>
  <c r="K283" i="112"/>
  <c r="K282" i="112"/>
  <c r="K281" i="112"/>
  <c r="K280" i="112"/>
  <c r="K279" i="112"/>
  <c r="K278" i="112"/>
  <c r="K277" i="112"/>
  <c r="K276" i="112"/>
  <c r="K275" i="112"/>
  <c r="K274" i="112"/>
  <c r="K273" i="112"/>
  <c r="K272" i="112"/>
  <c r="K271" i="112"/>
  <c r="K270" i="112"/>
  <c r="K269" i="112"/>
  <c r="K268" i="112"/>
  <c r="K267" i="112"/>
  <c r="K266" i="112"/>
  <c r="K265" i="112"/>
  <c r="K264" i="112"/>
  <c r="K263" i="112"/>
  <c r="K262" i="112"/>
  <c r="K261" i="112"/>
  <c r="K260" i="112"/>
  <c r="K259" i="112"/>
  <c r="K258" i="112"/>
  <c r="K257" i="112"/>
  <c r="K256" i="112"/>
  <c r="K255" i="112"/>
  <c r="K254" i="112"/>
  <c r="K253" i="112"/>
  <c r="K252" i="112"/>
  <c r="K251" i="112"/>
  <c r="K250" i="112"/>
  <c r="K249" i="112"/>
  <c r="K248" i="112"/>
  <c r="K247" i="112"/>
  <c r="K246" i="112"/>
  <c r="K245" i="112"/>
  <c r="K244" i="112"/>
  <c r="K243" i="112"/>
  <c r="K242" i="112"/>
  <c r="K241" i="112"/>
  <c r="K240" i="112"/>
  <c r="K239" i="112"/>
  <c r="K238" i="112"/>
  <c r="K237" i="112"/>
  <c r="K236" i="112"/>
  <c r="K235" i="112"/>
  <c r="K234" i="112"/>
  <c r="K233" i="112"/>
  <c r="K232" i="112"/>
  <c r="K231" i="112"/>
  <c r="K230" i="112"/>
  <c r="K229" i="112"/>
  <c r="K228" i="112"/>
  <c r="K227" i="112"/>
  <c r="K226" i="112"/>
  <c r="K225" i="112"/>
  <c r="K224" i="112"/>
  <c r="K223" i="112"/>
  <c r="K222" i="112"/>
  <c r="K221" i="112"/>
  <c r="K220" i="112"/>
  <c r="K219" i="112"/>
  <c r="K218" i="112"/>
  <c r="K217" i="112"/>
  <c r="K216" i="112"/>
  <c r="K215" i="112"/>
  <c r="K214" i="112"/>
  <c r="K213" i="112"/>
  <c r="K212" i="112"/>
  <c r="K211" i="112"/>
  <c r="K210" i="112"/>
  <c r="K209" i="112"/>
  <c r="K208" i="112"/>
  <c r="K207" i="112"/>
  <c r="K206" i="112"/>
  <c r="K205" i="112"/>
  <c r="K204" i="112"/>
  <c r="K203" i="112"/>
  <c r="K202" i="112"/>
  <c r="K201" i="112"/>
  <c r="K200" i="112"/>
  <c r="K199" i="112"/>
  <c r="K198" i="112"/>
  <c r="K197" i="112"/>
  <c r="K196" i="112"/>
  <c r="K195" i="112"/>
  <c r="K194" i="112"/>
  <c r="K193" i="112"/>
  <c r="K192" i="112"/>
  <c r="K191" i="112"/>
  <c r="K190" i="112"/>
  <c r="K189" i="112"/>
  <c r="K188" i="112"/>
  <c r="K187" i="112"/>
  <c r="K186" i="112"/>
  <c r="K185" i="112"/>
  <c r="K184" i="112"/>
  <c r="K183" i="112"/>
  <c r="K182" i="112"/>
  <c r="K181" i="112"/>
  <c r="K180" i="112"/>
  <c r="K179" i="112"/>
  <c r="K178" i="112"/>
  <c r="K177" i="112"/>
  <c r="K176" i="112"/>
  <c r="K175" i="112"/>
  <c r="K174" i="112"/>
  <c r="K173" i="112"/>
  <c r="K172" i="112"/>
  <c r="K171" i="112"/>
  <c r="K170" i="112"/>
  <c r="K169" i="112"/>
  <c r="K168" i="112"/>
  <c r="K167" i="112"/>
  <c r="K166" i="112"/>
  <c r="K165" i="112"/>
  <c r="K164" i="112"/>
  <c r="K163" i="112"/>
  <c r="K162" i="112"/>
  <c r="K161" i="112"/>
  <c r="K160" i="112"/>
  <c r="K159" i="112"/>
  <c r="K158" i="112"/>
  <c r="K157" i="112"/>
  <c r="K156" i="112"/>
  <c r="K155" i="112"/>
  <c r="K154" i="112"/>
  <c r="K153" i="112"/>
  <c r="K152" i="112"/>
  <c r="K151" i="112"/>
  <c r="K150" i="112"/>
  <c r="K149" i="112"/>
  <c r="K148" i="112"/>
  <c r="K147" i="112"/>
  <c r="K146" i="112"/>
  <c r="K145" i="112"/>
  <c r="K144" i="112"/>
  <c r="K143" i="112"/>
  <c r="K142" i="112"/>
  <c r="K141" i="112"/>
  <c r="K140" i="112"/>
  <c r="K139" i="112"/>
  <c r="K138" i="112"/>
  <c r="K137" i="112"/>
  <c r="K136" i="112"/>
  <c r="K135" i="112"/>
  <c r="K134" i="112"/>
  <c r="K133" i="112"/>
  <c r="K132" i="112"/>
  <c r="K131" i="112"/>
  <c r="K130" i="112"/>
  <c r="K129" i="112"/>
  <c r="K128" i="112"/>
  <c r="K127" i="112"/>
  <c r="K126" i="112"/>
  <c r="K125" i="112"/>
  <c r="K123" i="112"/>
  <c r="K122" i="112"/>
  <c r="K121" i="112"/>
  <c r="K120" i="112"/>
  <c r="K119" i="112"/>
  <c r="K118" i="112"/>
  <c r="K117" i="112"/>
  <c r="K116" i="112"/>
  <c r="K115" i="112"/>
  <c r="K114" i="112"/>
  <c r="K113" i="112"/>
  <c r="K112" i="112"/>
  <c r="K111" i="112"/>
  <c r="K110" i="112"/>
  <c r="K109" i="112"/>
  <c r="K108" i="112"/>
  <c r="K107" i="112"/>
  <c r="K106" i="112"/>
  <c r="K105" i="112"/>
  <c r="K104" i="112"/>
  <c r="K103" i="112"/>
  <c r="K102" i="112"/>
  <c r="K101" i="112"/>
  <c r="K100" i="112"/>
  <c r="K99" i="112"/>
  <c r="K98" i="112"/>
  <c r="K97" i="112"/>
  <c r="K96" i="112"/>
  <c r="K94" i="112"/>
  <c r="K93" i="112"/>
  <c r="K92" i="112"/>
  <c r="K91" i="112"/>
  <c r="K90" i="112"/>
  <c r="K89" i="112"/>
  <c r="K88" i="112"/>
  <c r="K87" i="112"/>
  <c r="K86" i="112"/>
  <c r="K85" i="112"/>
  <c r="K84" i="112"/>
  <c r="K83" i="112"/>
  <c r="K82" i="112"/>
  <c r="K81" i="112"/>
  <c r="K80" i="112"/>
  <c r="K79" i="112"/>
  <c r="K78" i="112"/>
  <c r="K77" i="112"/>
  <c r="K76" i="112"/>
  <c r="K75" i="112"/>
  <c r="K74" i="112"/>
  <c r="K73" i="112"/>
  <c r="K72" i="112"/>
  <c r="K71" i="112"/>
  <c r="K70" i="112"/>
  <c r="K69" i="112"/>
  <c r="K68" i="112"/>
  <c r="K67" i="112"/>
  <c r="K66" i="112"/>
  <c r="K65" i="112"/>
  <c r="K64" i="112"/>
  <c r="K63" i="112"/>
  <c r="K62" i="112"/>
  <c r="K61" i="112"/>
  <c r="K60" i="112"/>
  <c r="K59" i="112"/>
  <c r="K58" i="112"/>
  <c r="K57" i="112"/>
  <c r="K56" i="112"/>
  <c r="K55" i="112"/>
  <c r="K54" i="112"/>
  <c r="K53" i="112"/>
  <c r="K52" i="112"/>
  <c r="K51" i="112"/>
  <c r="K50" i="112"/>
  <c r="K49" i="112"/>
  <c r="K48" i="112"/>
  <c r="K47" i="112"/>
  <c r="K46" i="112"/>
  <c r="K45" i="112"/>
  <c r="K44" i="112"/>
  <c r="K43" i="112"/>
  <c r="K42" i="112"/>
  <c r="K41" i="112"/>
  <c r="K40" i="112"/>
  <c r="K39" i="112"/>
  <c r="K38" i="112"/>
  <c r="K37" i="112"/>
  <c r="K36" i="112"/>
  <c r="K35" i="112"/>
  <c r="K34" i="112"/>
  <c r="K33" i="112"/>
  <c r="K32" i="112"/>
  <c r="K31" i="112"/>
  <c r="K30" i="112"/>
  <c r="K29" i="112"/>
  <c r="K28" i="112"/>
  <c r="K27" i="112"/>
  <c r="K26" i="112"/>
  <c r="K25" i="112"/>
  <c r="K24" i="112"/>
  <c r="K23" i="112"/>
  <c r="K22" i="112"/>
  <c r="K21" i="112"/>
  <c r="K20" i="112"/>
  <c r="K19" i="112"/>
  <c r="K18" i="112"/>
  <c r="K17" i="112"/>
  <c r="K16" i="112"/>
  <c r="K15" i="112"/>
  <c r="K14" i="112"/>
  <c r="K13" i="112"/>
  <c r="K12" i="112"/>
  <c r="K11" i="112"/>
  <c r="K10" i="112"/>
  <c r="K9" i="112"/>
  <c r="K8" i="112"/>
  <c r="K7" i="112"/>
  <c r="K6" i="112"/>
  <c r="K5" i="112"/>
  <c r="K4" i="112"/>
  <c r="K3" i="112"/>
  <c r="K2" i="112"/>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E13" i="27"/>
  <c r="E12" i="27"/>
  <c r="E11" i="27"/>
  <c r="E10" i="27"/>
  <c r="I7" i="36"/>
  <c r="E5" i="124" l="1"/>
  <c r="E6" i="122"/>
  <c r="E6" i="121"/>
  <c r="E6" i="120"/>
  <c r="E6" i="119"/>
  <c r="E6" i="118"/>
  <c r="E6" i="117"/>
  <c r="E6" i="116"/>
  <c r="C10" i="116"/>
  <c r="E99" i="114"/>
  <c r="C99" i="114" s="1"/>
  <c r="V7" i="114"/>
  <c r="V6" i="114" s="1"/>
  <c r="CT7" i="114"/>
  <c r="CT6" i="114" s="1"/>
  <c r="E68" i="114"/>
  <c r="C68" i="114" s="1"/>
  <c r="E70" i="114"/>
  <c r="C70" i="114" s="1"/>
  <c r="E6" i="115"/>
  <c r="DL7" i="114"/>
  <c r="DL6" i="114" s="1"/>
  <c r="E72" i="114"/>
  <c r="C72" i="114" s="1"/>
  <c r="DU75" i="114"/>
  <c r="E75" i="114" s="1"/>
  <c r="C75" i="114" s="1"/>
  <c r="CM7" i="114"/>
  <c r="CM6" i="114" s="1"/>
  <c r="E98" i="114"/>
  <c r="C98" i="114" s="1"/>
  <c r="DZ7" i="114"/>
  <c r="DZ6" i="114" s="1"/>
  <c r="E54" i="114"/>
  <c r="C54" i="114" s="1"/>
  <c r="EQ7" i="114"/>
  <c r="EQ6" i="114" s="1"/>
  <c r="DR7" i="114"/>
  <c r="DR6" i="114" s="1"/>
  <c r="DW7" i="114"/>
  <c r="DW6" i="114" s="1"/>
  <c r="E22" i="114"/>
  <c r="C22" i="114" s="1"/>
  <c r="E38" i="114"/>
  <c r="C38" i="114" s="1"/>
  <c r="DA78" i="114"/>
  <c r="E78" i="114" s="1"/>
  <c r="C78" i="114" s="1"/>
  <c r="E79" i="114"/>
  <c r="C79" i="114" s="1"/>
  <c r="DE7" i="114"/>
  <c r="DE6" i="114" s="1"/>
  <c r="DH7" i="114"/>
  <c r="DH6" i="114" s="1"/>
  <c r="E73" i="114"/>
  <c r="C73" i="114" s="1"/>
  <c r="EA7" i="114"/>
  <c r="EA6" i="114" s="1"/>
  <c r="E71" i="114"/>
  <c r="C71" i="114" s="1"/>
  <c r="CQ7" i="114"/>
  <c r="CQ6" i="114" s="1"/>
  <c r="CP7" i="114"/>
  <c r="CP6" i="114" s="1"/>
  <c r="EX113" i="114"/>
  <c r="E113" i="114" s="1"/>
  <c r="C113" i="114" s="1"/>
  <c r="EC7" i="114"/>
  <c r="EC6" i="114" s="1"/>
  <c r="ED7" i="114"/>
  <c r="ED6" i="114" s="1"/>
  <c r="E20" i="114"/>
  <c r="C20" i="114" s="1"/>
  <c r="DX53" i="114"/>
  <c r="E53" i="114" s="1"/>
  <c r="C53" i="114" s="1"/>
  <c r="EZ88" i="114"/>
  <c r="EZ118" i="114"/>
  <c r="E118" i="114" s="1"/>
  <c r="C118" i="114" s="1"/>
  <c r="EW112" i="114"/>
  <c r="E77" i="114"/>
  <c r="C77" i="114" s="1"/>
  <c r="E205" i="36"/>
  <c r="C205" i="36" s="1"/>
  <c r="DU7" i="114" l="1"/>
  <c r="DU6" i="114" s="1"/>
  <c r="DA7" i="114"/>
  <c r="DA6" i="114" s="1"/>
  <c r="DX7" i="114"/>
  <c r="DX6" i="114" s="1"/>
  <c r="EW7" i="114"/>
  <c r="EW6" i="114" s="1"/>
  <c r="E112" i="114"/>
  <c r="C112" i="114" s="1"/>
  <c r="E88" i="114"/>
  <c r="C88" i="114" s="1"/>
  <c r="EZ7" i="114"/>
  <c r="EZ6" i="114" s="1"/>
  <c r="EX114" i="114"/>
  <c r="E114" i="114" s="1"/>
  <c r="C114" i="114" s="1"/>
  <c r="EX115" i="114"/>
  <c r="E115" i="114" s="1"/>
  <c r="C115" i="114" s="1"/>
  <c r="EX7" i="114" l="1"/>
  <c r="EX6" i="114" s="1"/>
  <c r="E6" i="114"/>
  <c r="P2197" i="53" l="1"/>
  <c r="O2197" i="53"/>
  <c r="P2196" i="53"/>
  <c r="O2196" i="53"/>
  <c r="P2195" i="53"/>
  <c r="R2195" i="53" s="1"/>
  <c r="O2195" i="53"/>
  <c r="K2195" i="53"/>
  <c r="P2194" i="53"/>
  <c r="R2194" i="53" s="1"/>
  <c r="O2194" i="53"/>
  <c r="K2194" i="53"/>
  <c r="P2193" i="53"/>
  <c r="Q2193" i="53" s="1"/>
  <c r="O2193" i="53"/>
  <c r="K2193" i="53"/>
  <c r="P2192" i="53"/>
  <c r="R2192" i="53" s="1"/>
  <c r="O2192" i="53"/>
  <c r="S2192" i="53" s="1"/>
  <c r="K2192" i="53"/>
  <c r="P2191" i="53"/>
  <c r="Q2191" i="53" s="1"/>
  <c r="O2191" i="53"/>
  <c r="S2191" i="53" s="1"/>
  <c r="K2191" i="53"/>
  <c r="P2190" i="53"/>
  <c r="Q2190" i="53" s="1"/>
  <c r="O2190" i="53"/>
  <c r="S2190" i="53" s="1"/>
  <c r="K2190" i="53"/>
  <c r="P2189" i="53"/>
  <c r="Q2189" i="53" s="1"/>
  <c r="O2189" i="53"/>
  <c r="K2189" i="53"/>
  <c r="P2188" i="53"/>
  <c r="O2188" i="53"/>
  <c r="S2188" i="53" s="1"/>
  <c r="K2188" i="53"/>
  <c r="P2187" i="53"/>
  <c r="Q2187" i="53" s="1"/>
  <c r="O2187" i="53"/>
  <c r="S2187" i="53" s="1"/>
  <c r="K2187" i="53"/>
  <c r="P2186" i="53"/>
  <c r="R2186" i="53" s="1"/>
  <c r="O2186" i="53"/>
  <c r="K2186" i="53"/>
  <c r="P2185" i="53"/>
  <c r="R2185" i="53" s="1"/>
  <c r="O2185" i="53"/>
  <c r="P2184" i="53"/>
  <c r="O2184" i="53"/>
  <c r="K2184" i="53"/>
  <c r="P2183" i="53"/>
  <c r="R2183" i="53" s="1"/>
  <c r="O2183" i="53"/>
  <c r="K2183" i="53"/>
  <c r="P2182" i="53"/>
  <c r="R2182" i="53" s="1"/>
  <c r="O2182" i="53"/>
  <c r="S2182" i="53" s="1"/>
  <c r="K2182" i="53"/>
  <c r="P2181" i="53"/>
  <c r="O2181" i="53"/>
  <c r="S2181" i="53" s="1"/>
  <c r="K2181" i="53"/>
  <c r="O2180" i="53"/>
  <c r="N2180" i="53" s="1"/>
  <c r="K2180" i="53"/>
  <c r="P2179" i="53"/>
  <c r="Q2179" i="53" s="1"/>
  <c r="O2179" i="53"/>
  <c r="S2179" i="53" s="1"/>
  <c r="K2179" i="53"/>
  <c r="P2178" i="53"/>
  <c r="R2178" i="53" s="1"/>
  <c r="O2178" i="53"/>
  <c r="S2178" i="53" s="1"/>
  <c r="K2178" i="53"/>
  <c r="P2177" i="53"/>
  <c r="R2177" i="53" s="1"/>
  <c r="O2177" i="53"/>
  <c r="S2177" i="53" s="1"/>
  <c r="K2177" i="53"/>
  <c r="P2176" i="53"/>
  <c r="O2176" i="53"/>
  <c r="S2176" i="53" s="1"/>
  <c r="P2175" i="53"/>
  <c r="R2175" i="53" s="1"/>
  <c r="O2175" i="53"/>
  <c r="S2175" i="53" s="1"/>
  <c r="K2175" i="53"/>
  <c r="P2174" i="53"/>
  <c r="R2174" i="53" s="1"/>
  <c r="O2174" i="53"/>
  <c r="S2174" i="53" s="1"/>
  <c r="K2174" i="53"/>
  <c r="P2173" i="53"/>
  <c r="O2173" i="53"/>
  <c r="K2173" i="53"/>
  <c r="P2172" i="53"/>
  <c r="R2172" i="53" s="1"/>
  <c r="O2172" i="53"/>
  <c r="S2172" i="53" s="1"/>
  <c r="K2172" i="53"/>
  <c r="P2171" i="53"/>
  <c r="O2171" i="53"/>
  <c r="S2171" i="53" s="1"/>
  <c r="K2171" i="53"/>
  <c r="P2170" i="53"/>
  <c r="R2170" i="53" s="1"/>
  <c r="O2170" i="53"/>
  <c r="S2170" i="53" s="1"/>
  <c r="K2170" i="53"/>
  <c r="P2169" i="53"/>
  <c r="O2169" i="53"/>
  <c r="S2169" i="53" s="1"/>
  <c r="K2169" i="53"/>
  <c r="P2168" i="53"/>
  <c r="Q2168" i="53" s="1"/>
  <c r="O2168" i="53"/>
  <c r="S2168" i="53" s="1"/>
  <c r="K2168" i="53"/>
  <c r="P2167" i="53"/>
  <c r="O2167" i="53"/>
  <c r="S2167" i="53" s="1"/>
  <c r="K2167" i="53"/>
  <c r="P2166" i="53"/>
  <c r="R2166" i="53" s="1"/>
  <c r="O2166" i="53"/>
  <c r="K2166" i="53"/>
  <c r="O2165" i="53"/>
  <c r="N2165" i="53"/>
  <c r="K2165" i="53"/>
  <c r="O2164" i="53"/>
  <c r="N2164" i="53"/>
  <c r="K2164" i="53"/>
  <c r="P2163" i="53"/>
  <c r="O2163" i="53"/>
  <c r="S2163" i="53" s="1"/>
  <c r="K2163" i="53"/>
  <c r="P2162" i="53"/>
  <c r="Q2162" i="53" s="1"/>
  <c r="O2162" i="53"/>
  <c r="S2162" i="53" s="1"/>
  <c r="K2162" i="53"/>
  <c r="P2161" i="53"/>
  <c r="R2161" i="53" s="1"/>
  <c r="O2161" i="53"/>
  <c r="S2161" i="53" s="1"/>
  <c r="K2161" i="53"/>
  <c r="P2160" i="53"/>
  <c r="Q2160" i="53" s="1"/>
  <c r="O2160" i="53"/>
  <c r="K2160" i="53"/>
  <c r="P2159" i="53"/>
  <c r="R2159" i="53" s="1"/>
  <c r="O2159" i="53"/>
  <c r="K2159" i="53"/>
  <c r="P2158" i="53"/>
  <c r="Q2158" i="53" s="1"/>
  <c r="O2158" i="53"/>
  <c r="S2158" i="53" s="1"/>
  <c r="K2158" i="53"/>
  <c r="P2157" i="53"/>
  <c r="O2157" i="53"/>
  <c r="S2157" i="53" s="1"/>
  <c r="K2157" i="53"/>
  <c r="P2156" i="53"/>
  <c r="Q2156" i="53" s="1"/>
  <c r="O2156" i="53"/>
  <c r="S2156" i="53" s="1"/>
  <c r="K2156" i="53"/>
  <c r="P2155" i="53"/>
  <c r="O2155" i="53"/>
  <c r="S2155" i="53" s="1"/>
  <c r="K2155" i="53"/>
  <c r="P2154" i="53"/>
  <c r="Q2154" i="53" s="1"/>
  <c r="O2154" i="53"/>
  <c r="K2154" i="53"/>
  <c r="P2153" i="53"/>
  <c r="Q2153" i="53" s="1"/>
  <c r="O2153" i="53"/>
  <c r="S2153" i="53" s="1"/>
  <c r="K2153" i="53"/>
  <c r="P2152" i="53"/>
  <c r="R2152" i="53" s="1"/>
  <c r="O2152" i="53"/>
  <c r="S2152" i="53" s="1"/>
  <c r="K2152" i="53"/>
  <c r="P2151" i="53"/>
  <c r="Q2151" i="53" s="1"/>
  <c r="O2151" i="53"/>
  <c r="S2151" i="53" s="1"/>
  <c r="K2151" i="53"/>
  <c r="P2150" i="53"/>
  <c r="R2150" i="53" s="1"/>
  <c r="O2150" i="53"/>
  <c r="S2150" i="53" s="1"/>
  <c r="K2150" i="53"/>
  <c r="P2149" i="53"/>
  <c r="O2149" i="53"/>
  <c r="S2149" i="53" s="1"/>
  <c r="K2149" i="53"/>
  <c r="P2148" i="53"/>
  <c r="Q2148" i="53" s="1"/>
  <c r="O2148" i="53"/>
  <c r="S2148" i="53" s="1"/>
  <c r="K2148" i="53"/>
  <c r="P2147" i="53"/>
  <c r="Q2147" i="53" s="1"/>
  <c r="O2147" i="53"/>
  <c r="K2147" i="53"/>
  <c r="P2146" i="53"/>
  <c r="O2146" i="53"/>
  <c r="S2146" i="53" s="1"/>
  <c r="K2146" i="53"/>
  <c r="P2145" i="53"/>
  <c r="Q2145" i="53" s="1"/>
  <c r="O2145" i="53"/>
  <c r="S2145" i="53" s="1"/>
  <c r="K2145" i="53"/>
  <c r="P2144" i="53"/>
  <c r="O2144" i="53"/>
  <c r="S2144" i="53" s="1"/>
  <c r="K2144" i="53"/>
  <c r="O2143" i="53"/>
  <c r="N2143" i="53" s="1"/>
  <c r="K2143" i="53"/>
  <c r="P2142" i="53"/>
  <c r="R2142" i="53" s="1"/>
  <c r="O2142" i="53"/>
  <c r="S2142" i="53" s="1"/>
  <c r="K2142" i="53"/>
  <c r="P2141" i="53"/>
  <c r="Q2141" i="53" s="1"/>
  <c r="O2141" i="53"/>
  <c r="S2141" i="53" s="1"/>
  <c r="K2141" i="53"/>
  <c r="P2140" i="53"/>
  <c r="R2140" i="53" s="1"/>
  <c r="O2140" i="53"/>
  <c r="S2140" i="53" s="1"/>
  <c r="K2140" i="53"/>
  <c r="P2139" i="53"/>
  <c r="Q2139" i="53" s="1"/>
  <c r="O2139" i="53"/>
  <c r="K2139" i="53"/>
  <c r="P2138" i="53"/>
  <c r="O2138" i="53"/>
  <c r="S2138" i="53" s="1"/>
  <c r="K2138" i="53"/>
  <c r="P2137" i="53"/>
  <c r="R2137" i="53" s="1"/>
  <c r="O2137" i="53"/>
  <c r="S2137" i="53" s="1"/>
  <c r="K2137" i="53"/>
  <c r="P2136" i="53"/>
  <c r="O2136" i="53"/>
  <c r="S2136" i="53" s="1"/>
  <c r="K2136" i="53"/>
  <c r="P2135" i="53"/>
  <c r="Q2135" i="53" s="1"/>
  <c r="O2135" i="53"/>
  <c r="S2135" i="53" s="1"/>
  <c r="K2135" i="53"/>
  <c r="P2134" i="53"/>
  <c r="O2134" i="53"/>
  <c r="S2134" i="53" s="1"/>
  <c r="K2134" i="53"/>
  <c r="P2133" i="53"/>
  <c r="Q2133" i="53" s="1"/>
  <c r="O2133" i="53"/>
  <c r="S2133" i="53" s="1"/>
  <c r="K2133" i="53"/>
  <c r="P2132" i="53"/>
  <c r="O2132" i="53"/>
  <c r="S2132" i="53" s="1"/>
  <c r="K2132" i="53"/>
  <c r="P2131" i="53"/>
  <c r="Q2131" i="53" s="1"/>
  <c r="O2131" i="53"/>
  <c r="K2131" i="53"/>
  <c r="P2130" i="53"/>
  <c r="Q2130" i="53" s="1"/>
  <c r="O2130" i="53"/>
  <c r="K2130" i="53"/>
  <c r="P2129" i="53"/>
  <c r="O2129" i="53"/>
  <c r="K2129" i="53"/>
  <c r="P2128" i="53"/>
  <c r="R2128" i="53" s="1"/>
  <c r="O2128" i="53"/>
  <c r="S2128" i="53" s="1"/>
  <c r="K2128" i="53"/>
  <c r="P2127" i="53"/>
  <c r="O2127" i="53"/>
  <c r="S2127" i="53" s="1"/>
  <c r="K2127" i="53"/>
  <c r="P2126" i="53"/>
  <c r="Q2126" i="53" s="1"/>
  <c r="O2126" i="53"/>
  <c r="K2126" i="53"/>
  <c r="P2125" i="53"/>
  <c r="Q2125" i="53" s="1"/>
  <c r="O2125" i="53"/>
  <c r="S2125" i="53" s="1"/>
  <c r="K2125" i="53"/>
  <c r="P2124" i="53"/>
  <c r="Q2124" i="53" s="1"/>
  <c r="O2124" i="53"/>
  <c r="K2124" i="53"/>
  <c r="P2123" i="53"/>
  <c r="Q2123" i="53" s="1"/>
  <c r="O2123" i="53"/>
  <c r="S2123" i="53" s="1"/>
  <c r="K2123" i="53"/>
  <c r="P2122" i="53"/>
  <c r="R2122" i="53" s="1"/>
  <c r="O2122" i="53"/>
  <c r="K2122" i="53"/>
  <c r="P2121" i="53"/>
  <c r="O2121" i="53"/>
  <c r="S2121" i="53" s="1"/>
  <c r="K2121" i="53"/>
  <c r="P2120" i="53"/>
  <c r="R2120" i="53" s="1"/>
  <c r="O2120" i="53"/>
  <c r="K2120" i="53"/>
  <c r="P2119" i="53"/>
  <c r="Q2119" i="53" s="1"/>
  <c r="O2119" i="53"/>
  <c r="S2119" i="53" s="1"/>
  <c r="K2119" i="53"/>
  <c r="P2118" i="53"/>
  <c r="R2118" i="53" s="1"/>
  <c r="O2118" i="53"/>
  <c r="S2118" i="53" s="1"/>
  <c r="K2118" i="53"/>
  <c r="P2117" i="53"/>
  <c r="Q2117" i="53" s="1"/>
  <c r="O2117" i="53"/>
  <c r="K2117" i="53"/>
  <c r="P2116" i="53"/>
  <c r="O2116" i="53"/>
  <c r="K2116" i="53"/>
  <c r="N2115" i="53"/>
  <c r="P2115" i="53" s="1"/>
  <c r="K2115" i="53"/>
  <c r="P2114" i="53"/>
  <c r="Q2114" i="53" s="1"/>
  <c r="O2114" i="53"/>
  <c r="S2114" i="53" s="1"/>
  <c r="K2114" i="53"/>
  <c r="P2113" i="53"/>
  <c r="O2113" i="53"/>
  <c r="S2113" i="53" s="1"/>
  <c r="K2113" i="53"/>
  <c r="P2112" i="53"/>
  <c r="Q2112" i="53" s="1"/>
  <c r="O2112" i="53"/>
  <c r="S2112" i="53" s="1"/>
  <c r="K2112" i="53"/>
  <c r="O2111" i="53"/>
  <c r="N2111" i="53"/>
  <c r="P2111" i="53" s="1"/>
  <c r="K2111" i="53"/>
  <c r="P2110" i="53"/>
  <c r="O2110" i="53"/>
  <c r="S2110" i="53" s="1"/>
  <c r="K2110" i="53"/>
  <c r="O2109" i="53"/>
  <c r="N2109" i="53" s="1"/>
  <c r="K2109" i="53"/>
  <c r="P2108" i="53"/>
  <c r="R2108" i="53" s="1"/>
  <c r="O2108" i="53"/>
  <c r="S2108" i="53" s="1"/>
  <c r="K2108" i="53"/>
  <c r="O2107" i="53"/>
  <c r="N2107" i="53"/>
  <c r="P2107" i="53" s="1"/>
  <c r="Q2107" i="53" s="1"/>
  <c r="K2107" i="53"/>
  <c r="P2106" i="53"/>
  <c r="O2106" i="53"/>
  <c r="K2106" i="53"/>
  <c r="P2105" i="53"/>
  <c r="O2105" i="53"/>
  <c r="K2105" i="53"/>
  <c r="P2104" i="53"/>
  <c r="Q2104" i="53" s="1"/>
  <c r="O2104" i="53"/>
  <c r="S2104" i="53" s="1"/>
  <c r="K2104" i="53"/>
  <c r="P2103" i="53"/>
  <c r="Q2103" i="53" s="1"/>
  <c r="O2103" i="53"/>
  <c r="S2103" i="53" s="1"/>
  <c r="K2103" i="53"/>
  <c r="P2102" i="53"/>
  <c r="O2102" i="53"/>
  <c r="K2102" i="53"/>
  <c r="P2101" i="53"/>
  <c r="Q2101" i="53" s="1"/>
  <c r="O2101" i="53"/>
  <c r="K2101" i="53"/>
  <c r="P2100" i="53"/>
  <c r="O2100" i="53"/>
  <c r="S2100" i="53" s="1"/>
  <c r="K2100" i="53"/>
  <c r="P2099" i="53"/>
  <c r="R2099" i="53" s="1"/>
  <c r="O2099" i="53"/>
  <c r="S2099" i="53" s="1"/>
  <c r="K2099" i="53"/>
  <c r="P2098" i="53"/>
  <c r="O2098" i="53"/>
  <c r="S2098" i="53" s="1"/>
  <c r="K2098" i="53"/>
  <c r="P2097" i="53"/>
  <c r="Q2097" i="53" s="1"/>
  <c r="O2097" i="53"/>
  <c r="S2097" i="53" s="1"/>
  <c r="K2097" i="53"/>
  <c r="P2096" i="53"/>
  <c r="O2096" i="53"/>
  <c r="S2096" i="53" s="1"/>
  <c r="K2096" i="53"/>
  <c r="P2095" i="53"/>
  <c r="Q2095" i="53" s="1"/>
  <c r="O2095" i="53"/>
  <c r="K2095" i="53"/>
  <c r="P2094" i="53"/>
  <c r="O2094" i="53"/>
  <c r="S2094" i="53" s="1"/>
  <c r="K2094" i="53"/>
  <c r="P2093" i="53"/>
  <c r="O2093" i="53"/>
  <c r="S2093" i="53" s="1"/>
  <c r="K2093" i="53"/>
  <c r="P2092" i="53"/>
  <c r="R2092" i="53" s="1"/>
  <c r="O2092" i="53"/>
  <c r="S2092" i="53" s="1"/>
  <c r="K2092" i="53"/>
  <c r="P2091" i="53"/>
  <c r="Q2091" i="53" s="1"/>
  <c r="O2091" i="53"/>
  <c r="K2091" i="53"/>
  <c r="O2090" i="53"/>
  <c r="N2090" i="53"/>
  <c r="P2090" i="53" s="1"/>
  <c r="Q2090" i="53" s="1"/>
  <c r="K2090" i="53"/>
  <c r="O2089" i="53"/>
  <c r="N2089" i="53"/>
  <c r="P2089" i="53" s="1"/>
  <c r="K2089" i="53"/>
  <c r="P2088" i="53"/>
  <c r="O2088" i="53"/>
  <c r="K2088" i="53"/>
  <c r="P2087" i="53"/>
  <c r="O2087" i="53"/>
  <c r="S2087" i="53" s="1"/>
  <c r="K2087" i="53"/>
  <c r="P2086" i="53"/>
  <c r="Q2086" i="53" s="1"/>
  <c r="O2086" i="53"/>
  <c r="S2086" i="53" s="1"/>
  <c r="K2086" i="53"/>
  <c r="O2085" i="53"/>
  <c r="N2085" i="53"/>
  <c r="K2085" i="53"/>
  <c r="P2084" i="53"/>
  <c r="Q2084" i="53" s="1"/>
  <c r="O2084" i="53"/>
  <c r="S2084" i="53" s="1"/>
  <c r="K2084" i="53"/>
  <c r="P2083" i="53"/>
  <c r="O2083" i="53"/>
  <c r="S2083" i="53" s="1"/>
  <c r="K2083" i="53"/>
  <c r="O2082" i="53"/>
  <c r="N2082" i="53"/>
  <c r="P2082" i="53" s="1"/>
  <c r="Q2082" i="53" s="1"/>
  <c r="K2082" i="53"/>
  <c r="O2081" i="53"/>
  <c r="N2081" i="53"/>
  <c r="K2081" i="53"/>
  <c r="O2080" i="53"/>
  <c r="N2080" i="53"/>
  <c r="K2080" i="53"/>
  <c r="P2079" i="53"/>
  <c r="O2079" i="53"/>
  <c r="S2079" i="53" s="1"/>
  <c r="K2079" i="53"/>
  <c r="O2078" i="53"/>
  <c r="N2078" i="53" s="1"/>
  <c r="K2078" i="53"/>
  <c r="P2077" i="53"/>
  <c r="R2077" i="53" s="1"/>
  <c r="O2077" i="53"/>
  <c r="S2077" i="53" s="1"/>
  <c r="K2077" i="53"/>
  <c r="O2076" i="53"/>
  <c r="N2076" i="53"/>
  <c r="K2076" i="53"/>
  <c r="O2075" i="53"/>
  <c r="N2075" i="53"/>
  <c r="P2075" i="53" s="1"/>
  <c r="K2075" i="53"/>
  <c r="P2074" i="53"/>
  <c r="Q2074" i="53" s="1"/>
  <c r="O2074" i="53"/>
  <c r="S2074" i="53" s="1"/>
  <c r="K2074" i="53"/>
  <c r="P2073" i="53"/>
  <c r="R2073" i="53" s="1"/>
  <c r="O2073" i="53"/>
  <c r="S2073" i="53" s="1"/>
  <c r="K2073" i="53"/>
  <c r="P2072" i="53"/>
  <c r="R2072" i="53" s="1"/>
  <c r="O2072" i="53"/>
  <c r="S2072" i="53" s="1"/>
  <c r="K2072" i="53"/>
  <c r="P2071" i="53"/>
  <c r="O2071" i="53"/>
  <c r="S2071" i="53" s="1"/>
  <c r="K2071" i="53"/>
  <c r="P2070" i="53"/>
  <c r="R2070" i="53" s="1"/>
  <c r="O2070" i="53"/>
  <c r="S2070" i="53" s="1"/>
  <c r="K2070" i="53"/>
  <c r="P2069" i="53"/>
  <c r="Q2069" i="53" s="1"/>
  <c r="O2069" i="53"/>
  <c r="K2069" i="53"/>
  <c r="O2068" i="53"/>
  <c r="N2068" i="53" s="1"/>
  <c r="K2068" i="53"/>
  <c r="P2067" i="53"/>
  <c r="Q2067" i="53" s="1"/>
  <c r="O2067" i="53"/>
  <c r="S2067" i="53" s="1"/>
  <c r="K2067" i="53"/>
  <c r="P2066" i="53"/>
  <c r="O2066" i="53"/>
  <c r="S2066" i="53" s="1"/>
  <c r="K2066" i="53"/>
  <c r="P2065" i="53"/>
  <c r="O2065" i="53"/>
  <c r="S2065" i="53" s="1"/>
  <c r="K2065" i="53"/>
  <c r="P2064" i="53"/>
  <c r="O2064" i="53"/>
  <c r="S2064" i="53" s="1"/>
  <c r="K2064" i="53"/>
  <c r="P2063" i="53"/>
  <c r="O2063" i="53"/>
  <c r="S2063" i="53" s="1"/>
  <c r="K2063" i="53"/>
  <c r="P2062" i="53"/>
  <c r="R2062" i="53" s="1"/>
  <c r="O2062" i="53"/>
  <c r="K2062" i="53"/>
  <c r="P2061" i="53"/>
  <c r="Q2061" i="53" s="1"/>
  <c r="O2061" i="53"/>
  <c r="S2061" i="53" s="1"/>
  <c r="K2061" i="53"/>
  <c r="O2060" i="53"/>
  <c r="N2060" i="53"/>
  <c r="K2060" i="53"/>
  <c r="O2059" i="53"/>
  <c r="N2059" i="53"/>
  <c r="P2059" i="53" s="1"/>
  <c r="Q2059" i="53" s="1"/>
  <c r="K2059" i="53"/>
  <c r="O2058" i="53"/>
  <c r="N2058" i="53" s="1"/>
  <c r="P2058" i="53" s="1"/>
  <c r="R2058" i="53" s="1"/>
  <c r="K2058" i="53"/>
  <c r="P2057" i="53"/>
  <c r="Q2057" i="53" s="1"/>
  <c r="O2057" i="53"/>
  <c r="S2057" i="53" s="1"/>
  <c r="K2057" i="53"/>
  <c r="P2056" i="53"/>
  <c r="O2056" i="53"/>
  <c r="S2056" i="53" s="1"/>
  <c r="K2056" i="53"/>
  <c r="P2055" i="53"/>
  <c r="Q2055" i="53" s="1"/>
  <c r="O2055" i="53"/>
  <c r="K2055" i="53"/>
  <c r="P2054" i="53"/>
  <c r="Q2054" i="53" s="1"/>
  <c r="O2054" i="53"/>
  <c r="S2054" i="53" s="1"/>
  <c r="K2054" i="53"/>
  <c r="O2053" i="53"/>
  <c r="N2053" i="53"/>
  <c r="K2053" i="53"/>
  <c r="P2052" i="53"/>
  <c r="Q2052" i="53" s="1"/>
  <c r="O2052" i="53"/>
  <c r="S2052" i="53" s="1"/>
  <c r="K2052" i="53"/>
  <c r="P2051" i="53"/>
  <c r="Q2051" i="53" s="1"/>
  <c r="O2051" i="53"/>
  <c r="K2051" i="53"/>
  <c r="P2050" i="53"/>
  <c r="O2050" i="53"/>
  <c r="S2050" i="53" s="1"/>
  <c r="K2050" i="53"/>
  <c r="P2049" i="53"/>
  <c r="Q2049" i="53" s="1"/>
  <c r="O2049" i="53"/>
  <c r="K2049" i="53"/>
  <c r="P2048" i="53"/>
  <c r="O2048" i="53"/>
  <c r="S2048" i="53" s="1"/>
  <c r="K2048" i="53"/>
  <c r="P2047" i="53"/>
  <c r="Q2047" i="53" s="1"/>
  <c r="O2047" i="53"/>
  <c r="K2047" i="53"/>
  <c r="P2046" i="53"/>
  <c r="O2046" i="53"/>
  <c r="S2046" i="53" s="1"/>
  <c r="K2046" i="53"/>
  <c r="P2045" i="53"/>
  <c r="R2045" i="53" s="1"/>
  <c r="O2045" i="53"/>
  <c r="S2045" i="53" s="1"/>
  <c r="K2045" i="53"/>
  <c r="P2044" i="53"/>
  <c r="O2044" i="53"/>
  <c r="S2044" i="53" s="1"/>
  <c r="K2044" i="53"/>
  <c r="P2043" i="53"/>
  <c r="O2043" i="53"/>
  <c r="S2043" i="53" s="1"/>
  <c r="K2043" i="53"/>
  <c r="P2042" i="53"/>
  <c r="R2042" i="53" s="1"/>
  <c r="O2042" i="53"/>
  <c r="S2042" i="53" s="1"/>
  <c r="K2042" i="53"/>
  <c r="P2041" i="53"/>
  <c r="Q2041" i="53" s="1"/>
  <c r="O2041" i="53"/>
  <c r="S2041" i="53" s="1"/>
  <c r="K2041" i="53"/>
  <c r="P2040" i="53"/>
  <c r="Q2040" i="53" s="1"/>
  <c r="O2040" i="53"/>
  <c r="S2040" i="53" s="1"/>
  <c r="K2040" i="53"/>
  <c r="P2039" i="53"/>
  <c r="O2039" i="53"/>
  <c r="K2039" i="53"/>
  <c r="P2038" i="53"/>
  <c r="O2038" i="53"/>
  <c r="S2038" i="53" s="1"/>
  <c r="K2038" i="53"/>
  <c r="P2037" i="53"/>
  <c r="O2037" i="53"/>
  <c r="S2037" i="53" s="1"/>
  <c r="K2037" i="53"/>
  <c r="P2036" i="53"/>
  <c r="O2036" i="53"/>
  <c r="S2036" i="53" s="1"/>
  <c r="K2036" i="53"/>
  <c r="O2035" i="53"/>
  <c r="N2035" i="53"/>
  <c r="K2035" i="53"/>
  <c r="P2034" i="53"/>
  <c r="O2034" i="53"/>
  <c r="S2034" i="53" s="1"/>
  <c r="K2034" i="53"/>
  <c r="P2033" i="53"/>
  <c r="Q2033" i="53" s="1"/>
  <c r="O2033" i="53"/>
  <c r="S2033" i="53" s="1"/>
  <c r="K2033" i="53"/>
  <c r="P2032" i="53"/>
  <c r="R2032" i="53" s="1"/>
  <c r="O2032" i="53"/>
  <c r="S2032" i="53" s="1"/>
  <c r="K2032" i="53"/>
  <c r="P2031" i="53"/>
  <c r="Q2031" i="53" s="1"/>
  <c r="O2031" i="53"/>
  <c r="S2031" i="53" s="1"/>
  <c r="K2031" i="53"/>
  <c r="P2030" i="53"/>
  <c r="O2030" i="53"/>
  <c r="S2030" i="53" s="1"/>
  <c r="K2030" i="53"/>
  <c r="P2029" i="53"/>
  <c r="Q2029" i="53" s="1"/>
  <c r="O2029" i="53"/>
  <c r="K2029" i="53"/>
  <c r="P2028" i="53"/>
  <c r="R2028" i="53" s="1"/>
  <c r="O2028" i="53"/>
  <c r="S2028" i="53" s="1"/>
  <c r="K2028" i="53"/>
  <c r="P2027" i="53"/>
  <c r="Q2027" i="53" s="1"/>
  <c r="O2027" i="53"/>
  <c r="K2027" i="53"/>
  <c r="P2026" i="53"/>
  <c r="O2026" i="53"/>
  <c r="S2026" i="53" s="1"/>
  <c r="K2026" i="53"/>
  <c r="P2025" i="53"/>
  <c r="O2025" i="53"/>
  <c r="S2025" i="53" s="1"/>
  <c r="K2025" i="53"/>
  <c r="P2024" i="53"/>
  <c r="O2024" i="53"/>
  <c r="S2024" i="53" s="1"/>
  <c r="K2024" i="53"/>
  <c r="P2023" i="53"/>
  <c r="O2023" i="53"/>
  <c r="S2023" i="53" s="1"/>
  <c r="K2023" i="53"/>
  <c r="P2022" i="53"/>
  <c r="Q2022" i="53" s="1"/>
  <c r="O2022" i="53"/>
  <c r="S2022" i="53" s="1"/>
  <c r="K2022" i="53"/>
  <c r="P2021" i="53"/>
  <c r="R2021" i="53" s="1"/>
  <c r="O2021" i="53"/>
  <c r="S2021" i="53" s="1"/>
  <c r="K2021" i="53"/>
  <c r="P2020" i="53"/>
  <c r="O2020" i="53"/>
  <c r="S2020" i="53" s="1"/>
  <c r="K2020" i="53"/>
  <c r="P2019" i="53"/>
  <c r="Q2019" i="53" s="1"/>
  <c r="O2019" i="53"/>
  <c r="S2019" i="53" s="1"/>
  <c r="P2018" i="53"/>
  <c r="Q2018" i="53" s="1"/>
  <c r="O2018" i="53"/>
  <c r="S2018" i="53" s="1"/>
  <c r="K2018" i="53"/>
  <c r="P2017" i="53"/>
  <c r="R2017" i="53" s="1"/>
  <c r="O2017" i="53"/>
  <c r="S2017" i="53" s="1"/>
  <c r="K2017" i="53"/>
  <c r="P2016" i="53"/>
  <c r="Q2016" i="53" s="1"/>
  <c r="O2016" i="53"/>
  <c r="K2016" i="53"/>
  <c r="P2015" i="53"/>
  <c r="R2015" i="53" s="1"/>
  <c r="O2015" i="53"/>
  <c r="S2015" i="53" s="1"/>
  <c r="K2015" i="53"/>
  <c r="P2014" i="53"/>
  <c r="R2014" i="53" s="1"/>
  <c r="O2014" i="53"/>
  <c r="S2014" i="53" s="1"/>
  <c r="K2014" i="53"/>
  <c r="P2013" i="53"/>
  <c r="O2013" i="53"/>
  <c r="K2013" i="53"/>
  <c r="P2012" i="53"/>
  <c r="Q2012" i="53" s="1"/>
  <c r="O2012" i="53"/>
  <c r="S2012" i="53" s="1"/>
  <c r="K2012" i="53"/>
  <c r="P2011" i="53"/>
  <c r="R2011" i="53" s="1"/>
  <c r="O2011" i="53"/>
  <c r="S2011" i="53" s="1"/>
  <c r="K2011" i="53"/>
  <c r="P2010" i="53"/>
  <c r="R2010" i="53" s="1"/>
  <c r="O2010" i="53"/>
  <c r="S2010" i="53" s="1"/>
  <c r="K2010" i="53"/>
  <c r="P2009" i="53"/>
  <c r="O2009" i="53"/>
  <c r="S2009" i="53" s="1"/>
  <c r="K2009" i="53"/>
  <c r="P2008" i="53"/>
  <c r="Q2008" i="53" s="1"/>
  <c r="O2008" i="53"/>
  <c r="S2008" i="53" s="1"/>
  <c r="K2008" i="53"/>
  <c r="P2007" i="53"/>
  <c r="O2007" i="53"/>
  <c r="S2007" i="53" s="1"/>
  <c r="K2007" i="53"/>
  <c r="P2006" i="53"/>
  <c r="R2006" i="53" s="1"/>
  <c r="O2006" i="53"/>
  <c r="S2006" i="53" s="1"/>
  <c r="K2006" i="53"/>
  <c r="P2005" i="53"/>
  <c r="O2005" i="53"/>
  <c r="S2005" i="53" s="1"/>
  <c r="K2005" i="53"/>
  <c r="P2004" i="53"/>
  <c r="O2004" i="53"/>
  <c r="S2004" i="53" s="1"/>
  <c r="K2004" i="53"/>
  <c r="P2003" i="53"/>
  <c r="O2003" i="53"/>
  <c r="S2003" i="53" s="1"/>
  <c r="K2003" i="53"/>
  <c r="P2002" i="53"/>
  <c r="R2002" i="53" s="1"/>
  <c r="O2002" i="53"/>
  <c r="S2002" i="53" s="1"/>
  <c r="K2002" i="53"/>
  <c r="P2001" i="53"/>
  <c r="O2001" i="53"/>
  <c r="S2001" i="53" s="1"/>
  <c r="K2001" i="53"/>
  <c r="O2000" i="53"/>
  <c r="N2000" i="53" s="1"/>
  <c r="K2000" i="53"/>
  <c r="P1999" i="53"/>
  <c r="O1999" i="53"/>
  <c r="S1999" i="53" s="1"/>
  <c r="K1999" i="53"/>
  <c r="P1998" i="53"/>
  <c r="O1998" i="53"/>
  <c r="S1998" i="53" s="1"/>
  <c r="K1998" i="53"/>
  <c r="P1997" i="53"/>
  <c r="O1997" i="53"/>
  <c r="S1997" i="53" s="1"/>
  <c r="K1997" i="53"/>
  <c r="P1996" i="53"/>
  <c r="O1996" i="53"/>
  <c r="S1996" i="53" s="1"/>
  <c r="K1996" i="53"/>
  <c r="P1995" i="53"/>
  <c r="O1995" i="53"/>
  <c r="S1995" i="53" s="1"/>
  <c r="K1995" i="53"/>
  <c r="P1994" i="53"/>
  <c r="R1994" i="53" s="1"/>
  <c r="O1994" i="53"/>
  <c r="S1994" i="53" s="1"/>
  <c r="K1994" i="53"/>
  <c r="P1993" i="53"/>
  <c r="O1993" i="53"/>
  <c r="S1993" i="53" s="1"/>
  <c r="K1993" i="53"/>
  <c r="P1992" i="53"/>
  <c r="Q1992" i="53" s="1"/>
  <c r="O1992" i="53"/>
  <c r="K1992" i="53"/>
  <c r="P1991" i="53"/>
  <c r="O1991" i="53"/>
  <c r="S1991" i="53" s="1"/>
  <c r="K1991" i="53"/>
  <c r="P1990" i="53"/>
  <c r="R1990" i="53" s="1"/>
  <c r="O1990" i="53"/>
  <c r="K1990" i="53"/>
  <c r="P1989" i="53"/>
  <c r="R1989" i="53" s="1"/>
  <c r="O1989" i="53"/>
  <c r="S1989" i="53" s="1"/>
  <c r="K1989" i="53"/>
  <c r="P1988" i="53"/>
  <c r="R1988" i="53" s="1"/>
  <c r="O1988" i="53"/>
  <c r="S1988" i="53" s="1"/>
  <c r="K1988" i="53"/>
  <c r="P1987" i="53"/>
  <c r="Q1987" i="53" s="1"/>
  <c r="O1987" i="53"/>
  <c r="S1987" i="53" s="1"/>
  <c r="K1987" i="53"/>
  <c r="P1986" i="53"/>
  <c r="R1986" i="53" s="1"/>
  <c r="O1986" i="53"/>
  <c r="S1986" i="53" s="1"/>
  <c r="K1986" i="53"/>
  <c r="P1985" i="53"/>
  <c r="R1985" i="53" s="1"/>
  <c r="O1985" i="53"/>
  <c r="S1985" i="53" s="1"/>
  <c r="K1985" i="53"/>
  <c r="P1984" i="53"/>
  <c r="R1984" i="53" s="1"/>
  <c r="O1984" i="53"/>
  <c r="S1984" i="53" s="1"/>
  <c r="K1984" i="53"/>
  <c r="P1983" i="53"/>
  <c r="O1983" i="53"/>
  <c r="S1983" i="53" s="1"/>
  <c r="K1983" i="53"/>
  <c r="P1982" i="53"/>
  <c r="R1982" i="53" s="1"/>
  <c r="O1982" i="53"/>
  <c r="S1982" i="53" s="1"/>
  <c r="K1982" i="53"/>
  <c r="P1981" i="53"/>
  <c r="O1981" i="53"/>
  <c r="S1981" i="53" s="1"/>
  <c r="K1981" i="53"/>
  <c r="P1980" i="53"/>
  <c r="O1980" i="53"/>
  <c r="S1980" i="53" s="1"/>
  <c r="K1980" i="53"/>
  <c r="P1979" i="53"/>
  <c r="R1979" i="53" s="1"/>
  <c r="O1979" i="53"/>
  <c r="S1979" i="53" s="1"/>
  <c r="K1979" i="53"/>
  <c r="P1978" i="53"/>
  <c r="O1978" i="53"/>
  <c r="S1978" i="53" s="1"/>
  <c r="K1978" i="53"/>
  <c r="P1977" i="53"/>
  <c r="R1977" i="53" s="1"/>
  <c r="O1977" i="53"/>
  <c r="S1977" i="53" s="1"/>
  <c r="K1977" i="53"/>
  <c r="P1976" i="53"/>
  <c r="R1976" i="53" s="1"/>
  <c r="O1976" i="53"/>
  <c r="S1976" i="53" s="1"/>
  <c r="K1976" i="53"/>
  <c r="P1975" i="53"/>
  <c r="R1975" i="53" s="1"/>
  <c r="O1975" i="53"/>
  <c r="S1975" i="53" s="1"/>
  <c r="K1975" i="53"/>
  <c r="O1974" i="53"/>
  <c r="N1974" i="53"/>
  <c r="K1974" i="53"/>
  <c r="P1973" i="53"/>
  <c r="O1973" i="53"/>
  <c r="S1973" i="53" s="1"/>
  <c r="K1973" i="53"/>
  <c r="P1972" i="53"/>
  <c r="O1972" i="53"/>
  <c r="S1972" i="53" s="1"/>
  <c r="K1972" i="53"/>
  <c r="P1971" i="53"/>
  <c r="O1971" i="53"/>
  <c r="S1971" i="53" s="1"/>
  <c r="K1971" i="53"/>
  <c r="P1970" i="53"/>
  <c r="R1970" i="53" s="1"/>
  <c r="O1970" i="53"/>
  <c r="S1970" i="53" s="1"/>
  <c r="K1970" i="53"/>
  <c r="P1969" i="53"/>
  <c r="R1969" i="53" s="1"/>
  <c r="O1969" i="53"/>
  <c r="S1969" i="53" s="1"/>
  <c r="K1969" i="53"/>
  <c r="P1968" i="53"/>
  <c r="R1968" i="53" s="1"/>
  <c r="O1968" i="53"/>
  <c r="S1968" i="53" s="1"/>
  <c r="K1968" i="53"/>
  <c r="P1967" i="53"/>
  <c r="O1967" i="53"/>
  <c r="S1967" i="53" s="1"/>
  <c r="K1967" i="53"/>
  <c r="P1966" i="53"/>
  <c r="R1966" i="53" s="1"/>
  <c r="O1966" i="53"/>
  <c r="S1966" i="53" s="1"/>
  <c r="K1966" i="53"/>
  <c r="O1965" i="53"/>
  <c r="N1965" i="53"/>
  <c r="K1965" i="53"/>
  <c r="O1964" i="53"/>
  <c r="N1964" i="53"/>
  <c r="P1964" i="53" s="1"/>
  <c r="K1964" i="53"/>
  <c r="O1963" i="53"/>
  <c r="N1963" i="53"/>
  <c r="P1963" i="53" s="1"/>
  <c r="Q1963" i="53" s="1"/>
  <c r="K1963" i="53"/>
  <c r="O1962" i="53"/>
  <c r="N1962" i="53"/>
  <c r="P1962" i="53" s="1"/>
  <c r="K1962" i="53"/>
  <c r="P1961" i="53"/>
  <c r="O1961" i="53"/>
  <c r="S1961" i="53" s="1"/>
  <c r="K1961" i="53"/>
  <c r="P1960" i="53"/>
  <c r="R1960" i="53" s="1"/>
  <c r="O1960" i="53"/>
  <c r="S1960" i="53" s="1"/>
  <c r="K1960" i="53"/>
  <c r="P1959" i="53"/>
  <c r="Q1959" i="53" s="1"/>
  <c r="O1959" i="53"/>
  <c r="S1959" i="53" s="1"/>
  <c r="K1959" i="53"/>
  <c r="P1958" i="53"/>
  <c r="O1958" i="53"/>
  <c r="S1958" i="53" s="1"/>
  <c r="K1958" i="53"/>
  <c r="P1957" i="53"/>
  <c r="R1957" i="53" s="1"/>
  <c r="O1957" i="53"/>
  <c r="S1957" i="53" s="1"/>
  <c r="K1957" i="53"/>
  <c r="P1956" i="53"/>
  <c r="O1956" i="53"/>
  <c r="S1956" i="53" s="1"/>
  <c r="K1956" i="53"/>
  <c r="P1955" i="53"/>
  <c r="R1955" i="53" s="1"/>
  <c r="O1955" i="53"/>
  <c r="S1955" i="53" s="1"/>
  <c r="K1955" i="53"/>
  <c r="P1954" i="53"/>
  <c r="O1954" i="53"/>
  <c r="S1954" i="53" s="1"/>
  <c r="K1954" i="53"/>
  <c r="P1953" i="53"/>
  <c r="O1953" i="53"/>
  <c r="S1953" i="53" s="1"/>
  <c r="K1953" i="53"/>
  <c r="P1952" i="53"/>
  <c r="O1952" i="53"/>
  <c r="S1952" i="53" s="1"/>
  <c r="K1952" i="53"/>
  <c r="P1951" i="53"/>
  <c r="Q1951" i="53" s="1"/>
  <c r="O1951" i="53"/>
  <c r="S1951" i="53" s="1"/>
  <c r="K1951" i="53"/>
  <c r="P1950" i="53"/>
  <c r="O1950" i="53"/>
  <c r="S1950" i="53" s="1"/>
  <c r="K1950" i="53"/>
  <c r="O1949" i="53"/>
  <c r="N1949" i="53"/>
  <c r="P1949" i="53" s="1"/>
  <c r="K1949" i="53"/>
  <c r="O1948" i="53"/>
  <c r="N1948" i="53"/>
  <c r="K1948" i="53"/>
  <c r="O1947" i="53"/>
  <c r="N1947" i="53" s="1"/>
  <c r="K1947" i="53"/>
  <c r="P1946" i="53"/>
  <c r="O1946" i="53"/>
  <c r="S1946" i="53" s="1"/>
  <c r="K1946" i="53"/>
  <c r="P1945" i="53"/>
  <c r="Q1945" i="53" s="1"/>
  <c r="O1945" i="53"/>
  <c r="S1945" i="53" s="1"/>
  <c r="K1945" i="53"/>
  <c r="P1944" i="53"/>
  <c r="O1944" i="53"/>
  <c r="S1944" i="53" s="1"/>
  <c r="K1944" i="53"/>
  <c r="P1943" i="53"/>
  <c r="O1943" i="53"/>
  <c r="S1943" i="53" s="1"/>
  <c r="K1943" i="53"/>
  <c r="P1942" i="53"/>
  <c r="O1942" i="53"/>
  <c r="S1942" i="53" s="1"/>
  <c r="K1942" i="53"/>
  <c r="P1941" i="53"/>
  <c r="Q1941" i="53" s="1"/>
  <c r="O1941" i="53"/>
  <c r="S1941" i="53" s="1"/>
  <c r="K1941" i="53"/>
  <c r="P1940" i="53"/>
  <c r="O1940" i="53"/>
  <c r="S1940" i="53" s="1"/>
  <c r="K1940" i="53"/>
  <c r="P1939" i="53"/>
  <c r="O1939" i="53"/>
  <c r="S1939" i="53" s="1"/>
  <c r="K1939" i="53"/>
  <c r="P1938" i="53"/>
  <c r="R1938" i="53" s="1"/>
  <c r="O1938" i="53"/>
  <c r="S1938" i="53" s="1"/>
  <c r="K1938" i="53"/>
  <c r="P1937" i="53"/>
  <c r="Q1937" i="53" s="1"/>
  <c r="O1937" i="53"/>
  <c r="S1937" i="53" s="1"/>
  <c r="K1937" i="53"/>
  <c r="P1936" i="53"/>
  <c r="Q1936" i="53" s="1"/>
  <c r="O1936" i="53"/>
  <c r="S1936" i="53" s="1"/>
  <c r="K1936" i="53"/>
  <c r="P1935" i="53"/>
  <c r="O1935" i="53"/>
  <c r="S1935" i="53" s="1"/>
  <c r="K1935" i="53"/>
  <c r="P1934" i="53"/>
  <c r="O1934" i="53"/>
  <c r="S1934" i="53" s="1"/>
  <c r="K1934" i="53"/>
  <c r="P1933" i="53"/>
  <c r="Q1933" i="53" s="1"/>
  <c r="O1933" i="53"/>
  <c r="S1933" i="53" s="1"/>
  <c r="K1933" i="53"/>
  <c r="P1932" i="53"/>
  <c r="O1932" i="53"/>
  <c r="S1932" i="53" s="1"/>
  <c r="K1932" i="53"/>
  <c r="P1931" i="53"/>
  <c r="O1931" i="53"/>
  <c r="S1931" i="53" s="1"/>
  <c r="K1931" i="53"/>
  <c r="P1930" i="53"/>
  <c r="O1930" i="53"/>
  <c r="S1930" i="53" s="1"/>
  <c r="K1930" i="53"/>
  <c r="P1929" i="53"/>
  <c r="Q1929" i="53" s="1"/>
  <c r="O1929" i="53"/>
  <c r="S1929" i="53" s="1"/>
  <c r="K1929" i="53"/>
  <c r="P1928" i="53"/>
  <c r="R1928" i="53" s="1"/>
  <c r="O1928" i="53"/>
  <c r="S1928" i="53" s="1"/>
  <c r="K1928" i="53"/>
  <c r="P1927" i="53"/>
  <c r="O1927" i="53"/>
  <c r="S1927" i="53" s="1"/>
  <c r="K1927" i="53"/>
  <c r="P1926" i="53"/>
  <c r="Q1926" i="53" s="1"/>
  <c r="O1926" i="53"/>
  <c r="K1926" i="53"/>
  <c r="P1925" i="53"/>
  <c r="Q1925" i="53" s="1"/>
  <c r="O1925" i="53"/>
  <c r="S1925" i="53" s="1"/>
  <c r="K1925" i="53"/>
  <c r="P1924" i="53"/>
  <c r="O1924" i="53"/>
  <c r="S1924" i="53" s="1"/>
  <c r="K1924" i="53"/>
  <c r="O1923" i="53"/>
  <c r="N1923" i="53"/>
  <c r="K1923" i="53"/>
  <c r="P1922" i="53"/>
  <c r="Q1922" i="53" s="1"/>
  <c r="O1922" i="53"/>
  <c r="K1922" i="53"/>
  <c r="O1921" i="53"/>
  <c r="N1921" i="53"/>
  <c r="P1921" i="53" s="1"/>
  <c r="K1921" i="53"/>
  <c r="P1920" i="53"/>
  <c r="Q1920" i="53" s="1"/>
  <c r="O1920" i="53"/>
  <c r="S1920" i="53" s="1"/>
  <c r="K1920" i="53"/>
  <c r="O1919" i="53"/>
  <c r="N1919" i="53"/>
  <c r="K1919" i="53"/>
  <c r="P1918" i="53"/>
  <c r="R1918" i="53" s="1"/>
  <c r="O1918" i="53"/>
  <c r="S1918" i="53" s="1"/>
  <c r="K1918" i="53"/>
  <c r="P1917" i="53"/>
  <c r="O1917" i="53"/>
  <c r="S1917" i="53" s="1"/>
  <c r="K1917" i="53"/>
  <c r="P1916" i="53"/>
  <c r="O1916" i="53"/>
  <c r="S1916" i="53" s="1"/>
  <c r="K1916" i="53"/>
  <c r="P1915" i="53"/>
  <c r="O1915" i="53"/>
  <c r="S1915" i="53" s="1"/>
  <c r="K1915" i="53"/>
  <c r="P1914" i="53"/>
  <c r="R1914" i="53" s="1"/>
  <c r="O1914" i="53"/>
  <c r="S1914" i="53" s="1"/>
  <c r="K1914" i="53"/>
  <c r="P1913" i="53"/>
  <c r="Q1913" i="53" s="1"/>
  <c r="O1913" i="53"/>
  <c r="K1913" i="53"/>
  <c r="O1912" i="53"/>
  <c r="N1912" i="53"/>
  <c r="K1912" i="53"/>
  <c r="P1911" i="53"/>
  <c r="O1911" i="53"/>
  <c r="S1911" i="53" s="1"/>
  <c r="K1911" i="53"/>
  <c r="P1910" i="53"/>
  <c r="R1910" i="53" s="1"/>
  <c r="O1910" i="53"/>
  <c r="S1910" i="53" s="1"/>
  <c r="K1910" i="53"/>
  <c r="P1909" i="53"/>
  <c r="O1909" i="53"/>
  <c r="S1909" i="53" s="1"/>
  <c r="K1909" i="53"/>
  <c r="P1908" i="53"/>
  <c r="O1908" i="53"/>
  <c r="S1908" i="53" s="1"/>
  <c r="K1908" i="53"/>
  <c r="P1907" i="53"/>
  <c r="Q1907" i="53" s="1"/>
  <c r="O1907" i="53"/>
  <c r="S1907" i="53" s="1"/>
  <c r="K1907" i="53"/>
  <c r="P1906" i="53"/>
  <c r="O1906" i="53"/>
  <c r="S1906" i="53" s="1"/>
  <c r="K1906" i="53"/>
  <c r="P1905" i="53"/>
  <c r="O1905" i="53"/>
  <c r="S1905" i="53" s="1"/>
  <c r="K1905" i="53"/>
  <c r="P1904" i="53"/>
  <c r="Q1904" i="53" s="1"/>
  <c r="O1904" i="53"/>
  <c r="S1904" i="53" s="1"/>
  <c r="K1904" i="53"/>
  <c r="P1903" i="53"/>
  <c r="O1903" i="53"/>
  <c r="S1903" i="53" s="1"/>
  <c r="K1903" i="53"/>
  <c r="P1902" i="53"/>
  <c r="Q1902" i="53" s="1"/>
  <c r="O1902" i="53"/>
  <c r="S1902" i="53" s="1"/>
  <c r="K1902" i="53"/>
  <c r="P1901" i="53"/>
  <c r="O1901" i="53"/>
  <c r="S1901" i="53" s="1"/>
  <c r="K1901" i="53"/>
  <c r="P1900" i="53"/>
  <c r="Q1900" i="53" s="1"/>
  <c r="O1900" i="53"/>
  <c r="S1900" i="53" s="1"/>
  <c r="K1900" i="53"/>
  <c r="P1899" i="53"/>
  <c r="Q1899" i="53" s="1"/>
  <c r="O1899" i="53"/>
  <c r="S1899" i="53" s="1"/>
  <c r="K1899" i="53"/>
  <c r="P1898" i="53"/>
  <c r="R1898" i="53" s="1"/>
  <c r="O1898" i="53"/>
  <c r="S1898" i="53" s="1"/>
  <c r="K1898" i="53"/>
  <c r="P1897" i="53"/>
  <c r="O1897" i="53"/>
  <c r="S1897" i="53" s="1"/>
  <c r="K1897" i="53"/>
  <c r="P1896" i="53"/>
  <c r="O1896" i="53"/>
  <c r="S1896" i="53" s="1"/>
  <c r="K1896" i="53"/>
  <c r="P1895" i="53"/>
  <c r="R1895" i="53" s="1"/>
  <c r="O1895" i="53"/>
  <c r="S1895" i="53" s="1"/>
  <c r="K1895" i="53"/>
  <c r="P1894" i="53"/>
  <c r="O1894" i="53"/>
  <c r="S1894" i="53" s="1"/>
  <c r="K1894" i="53"/>
  <c r="P1893" i="53"/>
  <c r="O1893" i="53"/>
  <c r="S1893" i="53" s="1"/>
  <c r="K1893" i="53"/>
  <c r="P1892" i="53"/>
  <c r="Q1892" i="53" s="1"/>
  <c r="O1892" i="53"/>
  <c r="S1892" i="53" s="1"/>
  <c r="K1892" i="53"/>
  <c r="P1891" i="53"/>
  <c r="O1891" i="53"/>
  <c r="S1891" i="53" s="1"/>
  <c r="K1891" i="53"/>
  <c r="P1890" i="53"/>
  <c r="R1890" i="53" s="1"/>
  <c r="O1890" i="53"/>
  <c r="S1890" i="53" s="1"/>
  <c r="K1890" i="53"/>
  <c r="P1889" i="53"/>
  <c r="O1889" i="53"/>
  <c r="S1889" i="53" s="1"/>
  <c r="K1889" i="53"/>
  <c r="P1888" i="53"/>
  <c r="O1888" i="53"/>
  <c r="S1888" i="53" s="1"/>
  <c r="K1888" i="53"/>
  <c r="P1887" i="53"/>
  <c r="Q1887" i="53" s="1"/>
  <c r="O1887" i="53"/>
  <c r="S1887" i="53" s="1"/>
  <c r="K1887" i="53"/>
  <c r="P1886" i="53"/>
  <c r="O1886" i="53"/>
  <c r="S1886" i="53" s="1"/>
  <c r="K1886" i="53"/>
  <c r="P1885" i="53"/>
  <c r="O1885" i="53"/>
  <c r="S1885" i="53" s="1"/>
  <c r="K1885" i="53"/>
  <c r="O1884" i="53"/>
  <c r="N1884" i="53"/>
  <c r="P1884" i="53" s="1"/>
  <c r="K1884" i="53"/>
  <c r="P1883" i="53"/>
  <c r="O1883" i="53"/>
  <c r="K1883" i="53"/>
  <c r="P1882" i="53"/>
  <c r="O1882" i="53"/>
  <c r="S1882" i="53" s="1"/>
  <c r="K1882" i="53"/>
  <c r="P1881" i="53"/>
  <c r="Q1881" i="53" s="1"/>
  <c r="O1881" i="53"/>
  <c r="S1881" i="53" s="1"/>
  <c r="K1881" i="53"/>
  <c r="O1880" i="53"/>
  <c r="N1880" i="53"/>
  <c r="P1880" i="53" s="1"/>
  <c r="K1880" i="53"/>
  <c r="O1879" i="53"/>
  <c r="N1879" i="53"/>
  <c r="P1879" i="53" s="1"/>
  <c r="K1879" i="53"/>
  <c r="P1878" i="53"/>
  <c r="R1878" i="53" s="1"/>
  <c r="O1878" i="53"/>
  <c r="S1878" i="53" s="1"/>
  <c r="K1878" i="53"/>
  <c r="P1877" i="53"/>
  <c r="R1877" i="53" s="1"/>
  <c r="O1877" i="53"/>
  <c r="S1877" i="53" s="1"/>
  <c r="K1877" i="53"/>
  <c r="P1876" i="53"/>
  <c r="Q1876" i="53" s="1"/>
  <c r="O1876" i="53"/>
  <c r="S1876" i="53" s="1"/>
  <c r="K1876" i="53"/>
  <c r="P1875" i="53"/>
  <c r="R1875" i="53" s="1"/>
  <c r="O1875" i="53"/>
  <c r="S1875" i="53" s="1"/>
  <c r="K1875" i="53"/>
  <c r="P1874" i="53"/>
  <c r="O1874" i="53"/>
  <c r="S1874" i="53" s="1"/>
  <c r="K1874" i="53"/>
  <c r="P1873" i="53"/>
  <c r="R1873" i="53" s="1"/>
  <c r="O1873" i="53"/>
  <c r="S1873" i="53" s="1"/>
  <c r="K1873" i="53"/>
  <c r="P1872" i="53"/>
  <c r="O1872" i="53"/>
  <c r="S1872" i="53" s="1"/>
  <c r="K1872" i="53"/>
  <c r="P1871" i="53"/>
  <c r="R1871" i="53" s="1"/>
  <c r="O1871" i="53"/>
  <c r="S1871" i="53" s="1"/>
  <c r="K1871" i="53"/>
  <c r="P1870" i="53"/>
  <c r="R1870" i="53" s="1"/>
  <c r="O1870" i="53"/>
  <c r="S1870" i="53" s="1"/>
  <c r="K1870" i="53"/>
  <c r="O1869" i="53"/>
  <c r="N1869" i="53" s="1"/>
  <c r="P1869" i="53" s="1"/>
  <c r="K1869" i="53"/>
  <c r="P1868" i="53"/>
  <c r="Q1868" i="53" s="1"/>
  <c r="O1868" i="53"/>
  <c r="S1868" i="53" s="1"/>
  <c r="K1868" i="53"/>
  <c r="P1867" i="53"/>
  <c r="O1867" i="53"/>
  <c r="S1867" i="53" s="1"/>
  <c r="K1867" i="53"/>
  <c r="P1866" i="53"/>
  <c r="R1866" i="53" s="1"/>
  <c r="O1866" i="53"/>
  <c r="S1866" i="53" s="1"/>
  <c r="K1866" i="53"/>
  <c r="P1865" i="53"/>
  <c r="R1865" i="53" s="1"/>
  <c r="O1865" i="53"/>
  <c r="S1865" i="53" s="1"/>
  <c r="K1865" i="53"/>
  <c r="P1864" i="53"/>
  <c r="Q1864" i="53" s="1"/>
  <c r="O1864" i="53"/>
  <c r="S1864" i="53" s="1"/>
  <c r="K1864" i="53"/>
  <c r="P1863" i="53"/>
  <c r="R1863" i="53" s="1"/>
  <c r="O1863" i="53"/>
  <c r="S1863" i="53" s="1"/>
  <c r="K1863" i="53"/>
  <c r="P1862" i="53"/>
  <c r="R1862" i="53" s="1"/>
  <c r="O1862" i="53"/>
  <c r="S1862" i="53" s="1"/>
  <c r="K1862" i="53"/>
  <c r="P1861" i="53"/>
  <c r="R1861" i="53" s="1"/>
  <c r="O1861" i="53"/>
  <c r="S1861" i="53" s="1"/>
  <c r="K1861" i="53"/>
  <c r="P1860" i="53"/>
  <c r="Q1860" i="53" s="1"/>
  <c r="O1860" i="53"/>
  <c r="S1860" i="53" s="1"/>
  <c r="K1860" i="53"/>
  <c r="P1859" i="53"/>
  <c r="R1859" i="53" s="1"/>
  <c r="O1859" i="53"/>
  <c r="S1859" i="53" s="1"/>
  <c r="K1859" i="53"/>
  <c r="P1858" i="53"/>
  <c r="Q1858" i="53" s="1"/>
  <c r="O1858" i="53"/>
  <c r="S1858" i="53" s="1"/>
  <c r="K1858" i="53"/>
  <c r="P1857" i="53"/>
  <c r="Q1857" i="53" s="1"/>
  <c r="O1857" i="53"/>
  <c r="S1857" i="53" s="1"/>
  <c r="K1857" i="53"/>
  <c r="P1856" i="53"/>
  <c r="Q1856" i="53" s="1"/>
  <c r="O1856" i="53"/>
  <c r="S1856" i="53" s="1"/>
  <c r="K1856" i="53"/>
  <c r="P1855" i="53"/>
  <c r="O1855" i="53"/>
  <c r="S1855" i="53" s="1"/>
  <c r="K1855" i="53"/>
  <c r="P1854" i="53"/>
  <c r="Q1854" i="53" s="1"/>
  <c r="O1854" i="53"/>
  <c r="S1854" i="53" s="1"/>
  <c r="K1854" i="53"/>
  <c r="P1853" i="53"/>
  <c r="O1853" i="53"/>
  <c r="S1853" i="53" s="1"/>
  <c r="K1853" i="53"/>
  <c r="P1852" i="53"/>
  <c r="Q1852" i="53" s="1"/>
  <c r="O1852" i="53"/>
  <c r="S1852" i="53" s="1"/>
  <c r="K1852" i="53"/>
  <c r="P1851" i="53"/>
  <c r="Q1851" i="53" s="1"/>
  <c r="O1851" i="53"/>
  <c r="S1851" i="53" s="1"/>
  <c r="K1851" i="53"/>
  <c r="P1850" i="53"/>
  <c r="R1850" i="53" s="1"/>
  <c r="O1850" i="53"/>
  <c r="S1850" i="53" s="1"/>
  <c r="K1850" i="53"/>
  <c r="P1849" i="53"/>
  <c r="O1849" i="53"/>
  <c r="S1849" i="53" s="1"/>
  <c r="K1849" i="53"/>
  <c r="P1848" i="53"/>
  <c r="O1848" i="53"/>
  <c r="S1848" i="53" s="1"/>
  <c r="K1848" i="53"/>
  <c r="P1847" i="53"/>
  <c r="O1847" i="53"/>
  <c r="S1847" i="53" s="1"/>
  <c r="K1847" i="53"/>
  <c r="P1846" i="53"/>
  <c r="O1846" i="53"/>
  <c r="S1846" i="53" s="1"/>
  <c r="K1846" i="53"/>
  <c r="P1845" i="53"/>
  <c r="O1845" i="53"/>
  <c r="S1845" i="53" s="1"/>
  <c r="K1845" i="53"/>
  <c r="P1844" i="53"/>
  <c r="Q1844" i="53" s="1"/>
  <c r="O1844" i="53"/>
  <c r="S1844" i="53" s="1"/>
  <c r="K1844" i="53"/>
  <c r="P1843" i="53"/>
  <c r="O1843" i="53"/>
  <c r="K1843" i="53"/>
  <c r="P1842" i="53"/>
  <c r="R1842" i="53" s="1"/>
  <c r="O1842" i="53"/>
  <c r="S1842" i="53" s="1"/>
  <c r="K1842" i="53"/>
  <c r="P1841" i="53"/>
  <c r="R1841" i="53" s="1"/>
  <c r="O1841" i="53"/>
  <c r="S1841" i="53" s="1"/>
  <c r="K1841" i="53"/>
  <c r="P1840" i="53"/>
  <c r="R1840" i="53" s="1"/>
  <c r="O1840" i="53"/>
  <c r="S1840" i="53" s="1"/>
  <c r="K1840" i="53"/>
  <c r="P1839" i="53"/>
  <c r="Q1839" i="53" s="1"/>
  <c r="O1839" i="53"/>
  <c r="S1839" i="53" s="1"/>
  <c r="K1839" i="53"/>
  <c r="P1838" i="53"/>
  <c r="O1838" i="53"/>
  <c r="S1838" i="53" s="1"/>
  <c r="K1838" i="53"/>
  <c r="P1837" i="53"/>
  <c r="O1837" i="53"/>
  <c r="S1837" i="53" s="1"/>
  <c r="K1837" i="53"/>
  <c r="O1836" i="53"/>
  <c r="N1836" i="53" s="1"/>
  <c r="K1836" i="53"/>
  <c r="P1835" i="53"/>
  <c r="O1835" i="53"/>
  <c r="S1835" i="53" s="1"/>
  <c r="K1835" i="53"/>
  <c r="O1834" i="53"/>
  <c r="N1834" i="53"/>
  <c r="K1834" i="53"/>
  <c r="P1833" i="53"/>
  <c r="R1833" i="53" s="1"/>
  <c r="O1833" i="53"/>
  <c r="S1833" i="53" s="1"/>
  <c r="K1833" i="53"/>
  <c r="P1832" i="53"/>
  <c r="O1832" i="53"/>
  <c r="S1832" i="53" s="1"/>
  <c r="K1832" i="53"/>
  <c r="P1831" i="53"/>
  <c r="O1831" i="53"/>
  <c r="S1831" i="53" s="1"/>
  <c r="K1831" i="53"/>
  <c r="P1830" i="53"/>
  <c r="Q1830" i="53" s="1"/>
  <c r="O1830" i="53"/>
  <c r="S1830" i="53" s="1"/>
  <c r="K1830" i="53"/>
  <c r="P1829" i="53"/>
  <c r="Q1829" i="53" s="1"/>
  <c r="O1829" i="53"/>
  <c r="S1829" i="53" s="1"/>
  <c r="K1829" i="53"/>
  <c r="P1828" i="53"/>
  <c r="R1828" i="53" s="1"/>
  <c r="O1828" i="53"/>
  <c r="S1828" i="53" s="1"/>
  <c r="K1828" i="53"/>
  <c r="P1827" i="53"/>
  <c r="R1827" i="53" s="1"/>
  <c r="O1827" i="53"/>
  <c r="S1827" i="53" s="1"/>
  <c r="K1827" i="53"/>
  <c r="P1826" i="53"/>
  <c r="O1826" i="53"/>
  <c r="S1826" i="53" s="1"/>
  <c r="K1826" i="53"/>
  <c r="P1825" i="53"/>
  <c r="R1825" i="53" s="1"/>
  <c r="O1825" i="53"/>
  <c r="S1825" i="53" s="1"/>
  <c r="K1825" i="53"/>
  <c r="P1824" i="53"/>
  <c r="R1824" i="53" s="1"/>
  <c r="O1824" i="53"/>
  <c r="S1824" i="53" s="1"/>
  <c r="K1824" i="53"/>
  <c r="P1823" i="53"/>
  <c r="Q1823" i="53" s="1"/>
  <c r="O1823" i="53"/>
  <c r="S1823" i="53" s="1"/>
  <c r="K1823" i="53"/>
  <c r="P1822" i="53"/>
  <c r="O1822" i="53"/>
  <c r="S1822" i="53" s="1"/>
  <c r="K1822" i="53"/>
  <c r="P1821" i="53"/>
  <c r="O1821" i="53"/>
  <c r="K1821" i="53"/>
  <c r="P1820" i="53"/>
  <c r="O1820" i="53"/>
  <c r="S1820" i="53" s="1"/>
  <c r="K1820" i="53"/>
  <c r="P1819" i="53"/>
  <c r="O1819" i="53"/>
  <c r="S1819" i="53" s="1"/>
  <c r="K1819" i="53"/>
  <c r="P1818" i="53"/>
  <c r="R1818" i="53" s="1"/>
  <c r="O1818" i="53"/>
  <c r="S1818" i="53" s="1"/>
  <c r="K1818" i="53"/>
  <c r="P1817" i="53"/>
  <c r="R1817" i="53" s="1"/>
  <c r="O1817" i="53"/>
  <c r="S1817" i="53" s="1"/>
  <c r="K1817" i="53"/>
  <c r="P1816" i="53"/>
  <c r="Q1816" i="53" s="1"/>
  <c r="O1816" i="53"/>
  <c r="S1816" i="53" s="1"/>
  <c r="K1816" i="53"/>
  <c r="P1815" i="53"/>
  <c r="Q1815" i="53" s="1"/>
  <c r="O1815" i="53"/>
  <c r="S1815" i="53" s="1"/>
  <c r="K1815" i="53"/>
  <c r="P1814" i="53"/>
  <c r="O1814" i="53"/>
  <c r="S1814" i="53" s="1"/>
  <c r="K1814" i="53"/>
  <c r="P1813" i="53"/>
  <c r="R1813" i="53" s="1"/>
  <c r="O1813" i="53"/>
  <c r="S1813" i="53" s="1"/>
  <c r="K1813" i="53"/>
  <c r="P1812" i="53"/>
  <c r="O1812" i="53"/>
  <c r="S1812" i="53" s="1"/>
  <c r="K1812" i="53"/>
  <c r="P1811" i="53"/>
  <c r="O1811" i="53"/>
  <c r="S1811" i="53" s="1"/>
  <c r="K1811" i="53"/>
  <c r="P1810" i="53"/>
  <c r="R1810" i="53" s="1"/>
  <c r="O1810" i="53"/>
  <c r="S1810" i="53" s="1"/>
  <c r="K1810" i="53"/>
  <c r="P1809" i="53"/>
  <c r="O1809" i="53"/>
  <c r="S1809" i="53" s="1"/>
  <c r="K1809" i="53"/>
  <c r="P1808" i="53"/>
  <c r="O1808" i="53"/>
  <c r="S1808" i="53" s="1"/>
  <c r="K1808" i="53"/>
  <c r="P1807" i="53"/>
  <c r="O1807" i="53"/>
  <c r="S1807" i="53" s="1"/>
  <c r="P1806" i="53"/>
  <c r="O1806" i="53"/>
  <c r="S1806" i="53" s="1"/>
  <c r="P1805" i="53"/>
  <c r="O1805" i="53"/>
  <c r="S1805" i="53" s="1"/>
  <c r="P1804" i="53"/>
  <c r="O1804" i="53"/>
  <c r="S1804" i="53" s="1"/>
  <c r="K1804" i="53"/>
  <c r="P1803" i="53"/>
  <c r="R1803" i="53" s="1"/>
  <c r="O1803" i="53"/>
  <c r="S1803" i="53" s="1"/>
  <c r="P1802" i="53"/>
  <c r="O1802" i="53"/>
  <c r="S1802" i="53" s="1"/>
  <c r="K1802" i="53"/>
  <c r="P1801" i="53"/>
  <c r="R1801" i="53" s="1"/>
  <c r="O1801" i="53"/>
  <c r="S1801" i="53" s="1"/>
  <c r="K1801" i="53"/>
  <c r="P1800" i="53"/>
  <c r="R1800" i="53" s="1"/>
  <c r="O1800" i="53"/>
  <c r="S1800" i="53" s="1"/>
  <c r="K1800" i="53"/>
  <c r="P1799" i="53"/>
  <c r="R1799" i="53" s="1"/>
  <c r="O1799" i="53"/>
  <c r="S1799" i="53" s="1"/>
  <c r="K1799" i="53"/>
  <c r="P1798" i="53"/>
  <c r="O1798" i="53"/>
  <c r="S1798" i="53" s="1"/>
  <c r="K1798" i="53"/>
  <c r="P1797" i="53"/>
  <c r="R1797" i="53" s="1"/>
  <c r="O1797" i="53"/>
  <c r="S1797" i="53" s="1"/>
  <c r="K1797" i="53"/>
  <c r="P1796" i="53"/>
  <c r="R1796" i="53" s="1"/>
  <c r="O1796" i="53"/>
  <c r="S1796" i="53" s="1"/>
  <c r="K1796" i="53"/>
  <c r="P1795" i="53"/>
  <c r="R1795" i="53" s="1"/>
  <c r="O1795" i="53"/>
  <c r="S1795" i="53" s="1"/>
  <c r="K1795" i="53"/>
  <c r="P1794" i="53"/>
  <c r="O1794" i="53"/>
  <c r="S1794" i="53" s="1"/>
  <c r="K1794" i="53"/>
  <c r="P1793" i="53"/>
  <c r="R1793" i="53" s="1"/>
  <c r="O1793" i="53"/>
  <c r="S1793" i="53" s="1"/>
  <c r="K1793" i="53"/>
  <c r="P1792" i="53"/>
  <c r="R1792" i="53" s="1"/>
  <c r="O1792" i="53"/>
  <c r="S1792" i="53" s="1"/>
  <c r="K1792" i="53"/>
  <c r="P1791" i="53"/>
  <c r="O1791" i="53"/>
  <c r="S1791" i="53" s="1"/>
  <c r="K1791" i="53"/>
  <c r="P1790" i="53"/>
  <c r="R1790" i="53" s="1"/>
  <c r="O1790" i="53"/>
  <c r="S1790" i="53" s="1"/>
  <c r="K1790" i="53"/>
  <c r="P1789" i="53"/>
  <c r="R1789" i="53" s="1"/>
  <c r="O1789" i="53"/>
  <c r="S1789" i="53" s="1"/>
  <c r="K1789" i="53"/>
  <c r="P1788" i="53"/>
  <c r="R1788" i="53" s="1"/>
  <c r="O1788" i="53"/>
  <c r="S1788" i="53" s="1"/>
  <c r="K1788" i="53"/>
  <c r="P1787" i="53"/>
  <c r="R1787" i="53" s="1"/>
  <c r="O1787" i="53"/>
  <c r="S1787" i="53" s="1"/>
  <c r="K1787" i="53"/>
  <c r="P1786" i="53"/>
  <c r="R1786" i="53" s="1"/>
  <c r="O1786" i="53"/>
  <c r="S1786" i="53" s="1"/>
  <c r="K1786" i="53"/>
  <c r="P1785" i="53"/>
  <c r="R1785" i="53" s="1"/>
  <c r="O1785" i="53"/>
  <c r="S1785" i="53" s="1"/>
  <c r="K1785" i="53"/>
  <c r="P1784" i="53"/>
  <c r="R1784" i="53" s="1"/>
  <c r="O1784" i="53"/>
  <c r="S1784" i="53" s="1"/>
  <c r="K1784" i="53"/>
  <c r="P1783" i="53"/>
  <c r="Q1783" i="53" s="1"/>
  <c r="O1783" i="53"/>
  <c r="S1783" i="53" s="1"/>
  <c r="K1783" i="53"/>
  <c r="P1782" i="53"/>
  <c r="R1782" i="53" s="1"/>
  <c r="O1782" i="53"/>
  <c r="S1782" i="53" s="1"/>
  <c r="K1782" i="53"/>
  <c r="P1781" i="53"/>
  <c r="R1781" i="53" s="1"/>
  <c r="O1781" i="53"/>
  <c r="S1781" i="53" s="1"/>
  <c r="K1781" i="53"/>
  <c r="P1780" i="53"/>
  <c r="O1780" i="53"/>
  <c r="S1780" i="53" s="1"/>
  <c r="K1780" i="53"/>
  <c r="P1779" i="53"/>
  <c r="O1779" i="53"/>
  <c r="S1779" i="53" s="1"/>
  <c r="K1779" i="53"/>
  <c r="P1778" i="53"/>
  <c r="O1778" i="53"/>
  <c r="K1778" i="53"/>
  <c r="O1777" i="53"/>
  <c r="N1777" i="53"/>
  <c r="K1777" i="53"/>
  <c r="O1776" i="53"/>
  <c r="N1776" i="53"/>
  <c r="K1776" i="53"/>
  <c r="O1775" i="53"/>
  <c r="N1775" i="53"/>
  <c r="P1775" i="53" s="1"/>
  <c r="Q1775" i="53" s="1"/>
  <c r="K1775" i="53"/>
  <c r="O1774" i="53"/>
  <c r="N1774" i="53"/>
  <c r="P1774" i="53" s="1"/>
  <c r="Q1774" i="53" s="1"/>
  <c r="K1774" i="53"/>
  <c r="O1773" i="53"/>
  <c r="N1773" i="53"/>
  <c r="K1773" i="53"/>
  <c r="O1772" i="53"/>
  <c r="N1772" i="53"/>
  <c r="K1772" i="53"/>
  <c r="P1771" i="53"/>
  <c r="Q1771" i="53" s="1"/>
  <c r="O1771" i="53"/>
  <c r="S1771" i="53" s="1"/>
  <c r="K1771" i="53"/>
  <c r="P1770" i="53"/>
  <c r="R1770" i="53" s="1"/>
  <c r="O1770" i="53"/>
  <c r="K1770" i="53"/>
  <c r="P1769" i="53"/>
  <c r="O1769" i="53"/>
  <c r="S1769" i="53" s="1"/>
  <c r="K1769" i="53"/>
  <c r="O1768" i="53"/>
  <c r="N1768" i="53"/>
  <c r="K1768" i="53"/>
  <c r="O1767" i="53"/>
  <c r="N1767" i="53"/>
  <c r="P1767" i="53" s="1"/>
  <c r="Q1767" i="53" s="1"/>
  <c r="K1767" i="53"/>
  <c r="P1766" i="53"/>
  <c r="O1766" i="53"/>
  <c r="S1766" i="53" s="1"/>
  <c r="K1766" i="53"/>
  <c r="P1765" i="53"/>
  <c r="O1765" i="53"/>
  <c r="S1765" i="53" s="1"/>
  <c r="K1765" i="53"/>
  <c r="P1764" i="53"/>
  <c r="O1764" i="53"/>
  <c r="S1764" i="53" s="1"/>
  <c r="K1764" i="53"/>
  <c r="P1763" i="53"/>
  <c r="O1763" i="53"/>
  <c r="S1763" i="53" s="1"/>
  <c r="K1763" i="53"/>
  <c r="P1762" i="53"/>
  <c r="Q1762" i="53" s="1"/>
  <c r="O1762" i="53"/>
  <c r="S1762" i="53" s="1"/>
  <c r="K1762" i="53"/>
  <c r="P1761" i="53"/>
  <c r="O1761" i="53"/>
  <c r="S1761" i="53" s="1"/>
  <c r="K1761" i="53"/>
  <c r="P1760" i="53"/>
  <c r="Q1760" i="53" s="1"/>
  <c r="O1760" i="53"/>
  <c r="S1760" i="53" s="1"/>
  <c r="K1760" i="53"/>
  <c r="P1759" i="53"/>
  <c r="Q1759" i="53" s="1"/>
  <c r="O1759" i="53"/>
  <c r="S1759" i="53" s="1"/>
  <c r="K1759" i="53"/>
  <c r="P1758" i="53"/>
  <c r="Q1758" i="53" s="1"/>
  <c r="O1758" i="53"/>
  <c r="S1758" i="53" s="1"/>
  <c r="K1758" i="53"/>
  <c r="P1757" i="53"/>
  <c r="O1757" i="53"/>
  <c r="S1757" i="53" s="1"/>
  <c r="K1757" i="53"/>
  <c r="P1756" i="53"/>
  <c r="Q1756" i="53" s="1"/>
  <c r="O1756" i="53"/>
  <c r="S1756" i="53" s="1"/>
  <c r="K1756" i="53"/>
  <c r="O1755" i="53"/>
  <c r="N1755" i="53"/>
  <c r="P1755" i="53" s="1"/>
  <c r="Q1755" i="53" s="1"/>
  <c r="K1755" i="53"/>
  <c r="P1754" i="53"/>
  <c r="Q1754" i="53" s="1"/>
  <c r="O1754" i="53"/>
  <c r="S1754" i="53" s="1"/>
  <c r="K1754" i="53"/>
  <c r="P1753" i="53"/>
  <c r="O1753" i="53"/>
  <c r="S1753" i="53" s="1"/>
  <c r="K1753" i="53"/>
  <c r="P1752" i="53"/>
  <c r="Q1752" i="53" s="1"/>
  <c r="O1752" i="53"/>
  <c r="S1752" i="53" s="1"/>
  <c r="K1752" i="53"/>
  <c r="O1751" i="53"/>
  <c r="N1751" i="53" s="1"/>
  <c r="K1751" i="53"/>
  <c r="P1750" i="53"/>
  <c r="R1750" i="53" s="1"/>
  <c r="O1750" i="53"/>
  <c r="S1750" i="53" s="1"/>
  <c r="K1750" i="53"/>
  <c r="O1749" i="53"/>
  <c r="N1749" i="53"/>
  <c r="K1749" i="53"/>
  <c r="P1748" i="53"/>
  <c r="Q1748" i="53" s="1"/>
  <c r="O1748" i="53"/>
  <c r="K1748" i="53"/>
  <c r="O1747" i="53"/>
  <c r="N1747" i="53"/>
  <c r="P1747" i="53" s="1"/>
  <c r="Q1747" i="53" s="1"/>
  <c r="K1747" i="53"/>
  <c r="O1746" i="53"/>
  <c r="N1746" i="53"/>
  <c r="P1746" i="53" s="1"/>
  <c r="K1746" i="53"/>
  <c r="O1745" i="53"/>
  <c r="N1745" i="53"/>
  <c r="K1745" i="53"/>
  <c r="O1744" i="53"/>
  <c r="N1744" i="53"/>
  <c r="K1744" i="53"/>
  <c r="O1743" i="53"/>
  <c r="N1743" i="53"/>
  <c r="K1743" i="53"/>
  <c r="O1742" i="53"/>
  <c r="N1742" i="53"/>
  <c r="K1742" i="53"/>
  <c r="O1741" i="53"/>
  <c r="N1741" i="53" s="1"/>
  <c r="S1741" i="53" s="1"/>
  <c r="K1741" i="53"/>
  <c r="P1740" i="53"/>
  <c r="O1740" i="53"/>
  <c r="S1740" i="53" s="1"/>
  <c r="K1740" i="53"/>
  <c r="P1739" i="53"/>
  <c r="Q1739" i="53" s="1"/>
  <c r="O1739" i="53"/>
  <c r="K1739" i="53"/>
  <c r="P1738" i="53"/>
  <c r="O1738" i="53"/>
  <c r="S1738" i="53" s="1"/>
  <c r="K1738" i="53"/>
  <c r="P1737" i="53"/>
  <c r="Q1737" i="53" s="1"/>
  <c r="O1737" i="53"/>
  <c r="S1737" i="53" s="1"/>
  <c r="K1737" i="53"/>
  <c r="O1736" i="53"/>
  <c r="N1736" i="53"/>
  <c r="P1736" i="53" s="1"/>
  <c r="Q1736" i="53" s="1"/>
  <c r="K1736" i="53"/>
  <c r="P1735" i="53"/>
  <c r="R1735" i="53" s="1"/>
  <c r="O1735" i="53"/>
  <c r="K1735" i="53"/>
  <c r="P1734" i="53"/>
  <c r="O1734" i="53"/>
  <c r="S1734" i="53" s="1"/>
  <c r="K1734" i="53"/>
  <c r="P1733" i="53"/>
  <c r="O1733" i="53"/>
  <c r="S1733" i="53" s="1"/>
  <c r="K1733" i="53"/>
  <c r="P1732" i="53"/>
  <c r="Q1732" i="53" s="1"/>
  <c r="O1732" i="53"/>
  <c r="K1732" i="53"/>
  <c r="P1731" i="53"/>
  <c r="O1731" i="53"/>
  <c r="S1731" i="53" s="1"/>
  <c r="K1731" i="53"/>
  <c r="O1730" i="53"/>
  <c r="N1730" i="53"/>
  <c r="P1730" i="53" s="1"/>
  <c r="K1730" i="53"/>
  <c r="P1729" i="53"/>
  <c r="O1729" i="53"/>
  <c r="S1729" i="53" s="1"/>
  <c r="K1729" i="53"/>
  <c r="P1728" i="53"/>
  <c r="O1728" i="53"/>
  <c r="S1728" i="53" s="1"/>
  <c r="K1728" i="53"/>
  <c r="P1727" i="53"/>
  <c r="O1727" i="53"/>
  <c r="S1727" i="53" s="1"/>
  <c r="K1727" i="53"/>
  <c r="O1726" i="53"/>
  <c r="N1726" i="53"/>
  <c r="P1726" i="53" s="1"/>
  <c r="Q1726" i="53" s="1"/>
  <c r="K1726" i="53"/>
  <c r="P1725" i="53"/>
  <c r="Q1725" i="53" s="1"/>
  <c r="O1725" i="53"/>
  <c r="S1725" i="53" s="1"/>
  <c r="K1725" i="53"/>
  <c r="P1724" i="53"/>
  <c r="O1724" i="53"/>
  <c r="S1724" i="53" s="1"/>
  <c r="K1724" i="53"/>
  <c r="P1723" i="53"/>
  <c r="Q1723" i="53" s="1"/>
  <c r="O1723" i="53"/>
  <c r="S1723" i="53" s="1"/>
  <c r="K1723" i="53"/>
  <c r="P1722" i="53"/>
  <c r="Q1722" i="53" s="1"/>
  <c r="O1722" i="53"/>
  <c r="K1722" i="53"/>
  <c r="P1721" i="53"/>
  <c r="R1721" i="53" s="1"/>
  <c r="O1721" i="53"/>
  <c r="K1721" i="53"/>
  <c r="P1720" i="53"/>
  <c r="O1720" i="53"/>
  <c r="K1720" i="53"/>
  <c r="O1719" i="53"/>
  <c r="N1719" i="53"/>
  <c r="P1719" i="53" s="1"/>
  <c r="Q1719" i="53" s="1"/>
  <c r="K1719" i="53"/>
  <c r="P1718" i="53"/>
  <c r="Q1718" i="53" s="1"/>
  <c r="O1718" i="53"/>
  <c r="K1718" i="53"/>
  <c r="P1717" i="53"/>
  <c r="O1717" i="53"/>
  <c r="K1717" i="53"/>
  <c r="P1716" i="53"/>
  <c r="Q1716" i="53" s="1"/>
  <c r="O1716" i="53"/>
  <c r="S1716" i="53" s="1"/>
  <c r="K1716" i="53"/>
  <c r="O1715" i="53"/>
  <c r="N1715" i="53"/>
  <c r="P1715" i="53" s="1"/>
  <c r="Q1715" i="53" s="1"/>
  <c r="K1715" i="53"/>
  <c r="O1714" i="53"/>
  <c r="N1714" i="53"/>
  <c r="P1714" i="53" s="1"/>
  <c r="Q1714" i="53" s="1"/>
  <c r="K1714" i="53"/>
  <c r="P1713" i="53"/>
  <c r="Q1713" i="53" s="1"/>
  <c r="O1713" i="53"/>
  <c r="S1713" i="53" s="1"/>
  <c r="K1713" i="53"/>
  <c r="O1712" i="53"/>
  <c r="N1712" i="53"/>
  <c r="P1712" i="53" s="1"/>
  <c r="Q1712" i="53" s="1"/>
  <c r="K1712" i="53"/>
  <c r="O1711" i="53"/>
  <c r="N1711" i="53"/>
  <c r="K1711" i="53"/>
  <c r="O1710" i="53"/>
  <c r="N1710" i="53"/>
  <c r="K1710" i="53"/>
  <c r="O1709" i="53"/>
  <c r="N1709" i="53"/>
  <c r="K1709" i="53"/>
  <c r="O1708" i="53"/>
  <c r="N1708" i="53"/>
  <c r="P1708" i="53" s="1"/>
  <c r="Q1708" i="53" s="1"/>
  <c r="K1708" i="53"/>
  <c r="O1707" i="53"/>
  <c r="N1707" i="53"/>
  <c r="P1707" i="53" s="1"/>
  <c r="K1707" i="53"/>
  <c r="O1706" i="53"/>
  <c r="N1706" i="53"/>
  <c r="P1706" i="53" s="1"/>
  <c r="K1706" i="53"/>
  <c r="O1705" i="53"/>
  <c r="N1705" i="53"/>
  <c r="P1705" i="53" s="1"/>
  <c r="K1705" i="53"/>
  <c r="O1704" i="53"/>
  <c r="N1704" i="53"/>
  <c r="K1704" i="53"/>
  <c r="O1703" i="53"/>
  <c r="N1703" i="53"/>
  <c r="K1703" i="53"/>
  <c r="O1702" i="53"/>
  <c r="N1702" i="53"/>
  <c r="K1702" i="53"/>
  <c r="O1701" i="53"/>
  <c r="N1701" i="53"/>
  <c r="K1701" i="53"/>
  <c r="P1700" i="53"/>
  <c r="O1700" i="53"/>
  <c r="K1700" i="53"/>
  <c r="P1699" i="53"/>
  <c r="Q1699" i="53" s="1"/>
  <c r="O1699" i="53"/>
  <c r="S1699" i="53" s="1"/>
  <c r="K1699" i="53"/>
  <c r="O1698" i="53"/>
  <c r="N1698" i="53"/>
  <c r="K1698" i="53"/>
  <c r="O1697" i="53"/>
  <c r="N1697" i="53"/>
  <c r="K1697" i="53"/>
  <c r="O1696" i="53"/>
  <c r="N1696" i="53"/>
  <c r="K1696" i="53"/>
  <c r="O1695" i="53"/>
  <c r="N1695" i="53"/>
  <c r="P1695" i="53" s="1"/>
  <c r="Q1695" i="53" s="1"/>
  <c r="K1695" i="53"/>
  <c r="O1694" i="53"/>
  <c r="N1694" i="53"/>
  <c r="P1694" i="53" s="1"/>
  <c r="Q1694" i="53" s="1"/>
  <c r="K1694" i="53"/>
  <c r="O1693" i="53"/>
  <c r="N1693" i="53"/>
  <c r="P1693" i="53" s="1"/>
  <c r="K1693" i="53"/>
  <c r="O1692" i="53"/>
  <c r="N1692" i="53"/>
  <c r="K1692" i="53"/>
  <c r="O1691" i="53"/>
  <c r="N1691" i="53"/>
  <c r="P1691" i="53" s="1"/>
  <c r="K1691" i="53"/>
  <c r="O1690" i="53"/>
  <c r="N1690" i="53"/>
  <c r="K1690" i="53"/>
  <c r="O1689" i="53"/>
  <c r="N1689" i="53"/>
  <c r="K1689" i="53"/>
  <c r="O1688" i="53"/>
  <c r="N1688" i="53"/>
  <c r="P1688" i="53" s="1"/>
  <c r="Q1688" i="53" s="1"/>
  <c r="K1688" i="53"/>
  <c r="O1687" i="53"/>
  <c r="N1687" i="53"/>
  <c r="P1687" i="53" s="1"/>
  <c r="K1687" i="53"/>
  <c r="O1686" i="53"/>
  <c r="N1686" i="53"/>
  <c r="K1686" i="53"/>
  <c r="O1685" i="53"/>
  <c r="N1685" i="53"/>
  <c r="P1685" i="53" s="1"/>
  <c r="K1685" i="53"/>
  <c r="O1684" i="53"/>
  <c r="N1684" i="53" s="1"/>
  <c r="P1684" i="53" s="1"/>
  <c r="K1684" i="53"/>
  <c r="P1683" i="53"/>
  <c r="O1683" i="53"/>
  <c r="K1683" i="53"/>
  <c r="P1682" i="53"/>
  <c r="R1682" i="53" s="1"/>
  <c r="O1682" i="53"/>
  <c r="K1682" i="53"/>
  <c r="O1681" i="53"/>
  <c r="N1681" i="53" s="1"/>
  <c r="K1681" i="53"/>
  <c r="P1680" i="53"/>
  <c r="O1680" i="53"/>
  <c r="S1680" i="53" s="1"/>
  <c r="K1680" i="53"/>
  <c r="P1679" i="53"/>
  <c r="O1679" i="53"/>
  <c r="S1679" i="53" s="1"/>
  <c r="K1679" i="53"/>
  <c r="O1678" i="53"/>
  <c r="N1678" i="53"/>
  <c r="P1678" i="53" s="1"/>
  <c r="Q1678" i="53" s="1"/>
  <c r="K1678" i="53"/>
  <c r="O1677" i="53"/>
  <c r="N1677" i="53"/>
  <c r="P1677" i="53" s="1"/>
  <c r="K1677" i="53"/>
  <c r="O1676" i="53"/>
  <c r="N1676" i="53"/>
  <c r="K1676" i="53"/>
  <c r="O1675" i="53"/>
  <c r="N1675" i="53"/>
  <c r="K1675" i="53"/>
  <c r="O1674" i="53"/>
  <c r="N1674" i="53"/>
  <c r="P1674" i="53" s="1"/>
  <c r="K1674" i="53"/>
  <c r="P1673" i="53"/>
  <c r="O1673" i="53"/>
  <c r="S1673" i="53" s="1"/>
  <c r="K1673" i="53"/>
  <c r="O1672" i="53"/>
  <c r="N1672" i="53"/>
  <c r="P1672" i="53" s="1"/>
  <c r="K1672" i="53"/>
  <c r="P1671" i="53"/>
  <c r="O1671" i="53"/>
  <c r="K1671" i="53"/>
  <c r="O1670" i="53"/>
  <c r="N1670" i="53"/>
  <c r="P1670" i="53" s="1"/>
  <c r="Q1670" i="53" s="1"/>
  <c r="K1670" i="53"/>
  <c r="O1669" i="53"/>
  <c r="N1669" i="53"/>
  <c r="K1669" i="53"/>
  <c r="O1668" i="53"/>
  <c r="N1668" i="53"/>
  <c r="K1668" i="53"/>
  <c r="O1667" i="53"/>
  <c r="N1667" i="53"/>
  <c r="K1667" i="53"/>
  <c r="P1666" i="53"/>
  <c r="Q1666" i="53" s="1"/>
  <c r="O1666" i="53"/>
  <c r="K1666" i="53"/>
  <c r="O1665" i="53"/>
  <c r="N1665" i="53"/>
  <c r="K1665" i="53"/>
  <c r="O1664" i="53"/>
  <c r="N1664" i="53"/>
  <c r="P1664" i="53" s="1"/>
  <c r="Q1664" i="53" s="1"/>
  <c r="K1664" i="53"/>
  <c r="O1663" i="53"/>
  <c r="N1663" i="53"/>
  <c r="P1663" i="53" s="1"/>
  <c r="K1663" i="53"/>
  <c r="O1662" i="53"/>
  <c r="N1662" i="53"/>
  <c r="K1662" i="53"/>
  <c r="P1661" i="53"/>
  <c r="O1661" i="53"/>
  <c r="S1661" i="53" s="1"/>
  <c r="K1661" i="53"/>
  <c r="O1660" i="53"/>
  <c r="N1660" i="53"/>
  <c r="P1660" i="53" s="1"/>
  <c r="K1660" i="53"/>
  <c r="O1659" i="53"/>
  <c r="N1659" i="53"/>
  <c r="K1659" i="53"/>
  <c r="O1658" i="53"/>
  <c r="N1658" i="53"/>
  <c r="K1658" i="53"/>
  <c r="P1657" i="53"/>
  <c r="Q1657" i="53" s="1"/>
  <c r="O1657" i="53"/>
  <c r="S1657" i="53" s="1"/>
  <c r="K1657" i="53"/>
  <c r="P1656" i="53"/>
  <c r="O1656" i="53"/>
  <c r="S1656" i="53" s="1"/>
  <c r="K1656" i="53"/>
  <c r="O1655" i="53"/>
  <c r="N1655" i="53"/>
  <c r="K1655" i="53"/>
  <c r="P1654" i="53"/>
  <c r="O1654" i="53"/>
  <c r="S1654" i="53" s="1"/>
  <c r="K1654" i="53"/>
  <c r="P1653" i="53"/>
  <c r="O1653" i="53"/>
  <c r="S1653" i="53" s="1"/>
  <c r="K1653" i="53"/>
  <c r="P1652" i="53"/>
  <c r="Q1652" i="53" s="1"/>
  <c r="O1652" i="53"/>
  <c r="K1652" i="53"/>
  <c r="O1651" i="53"/>
  <c r="N1651" i="53"/>
  <c r="K1651" i="53"/>
  <c r="O1650" i="53"/>
  <c r="N1650" i="53"/>
  <c r="P1650" i="53" s="1"/>
  <c r="K1650" i="53"/>
  <c r="O1649" i="53"/>
  <c r="N1649" i="53"/>
  <c r="K1649" i="53"/>
  <c r="P1648" i="53"/>
  <c r="Q1648" i="53" s="1"/>
  <c r="O1648" i="53"/>
  <c r="K1648" i="53"/>
  <c r="O1647" i="53"/>
  <c r="N1647" i="53"/>
  <c r="K1647" i="53"/>
  <c r="O1646" i="53"/>
  <c r="N1646" i="53"/>
  <c r="K1646" i="53"/>
  <c r="O1645" i="53"/>
  <c r="N1645" i="53"/>
  <c r="K1645" i="53"/>
  <c r="O1644" i="53"/>
  <c r="N1644" i="53"/>
  <c r="P1644" i="53" s="1"/>
  <c r="K1644" i="53"/>
  <c r="O1643" i="53"/>
  <c r="N1643" i="53"/>
  <c r="K1643" i="53"/>
  <c r="P1642" i="53"/>
  <c r="O1642" i="53"/>
  <c r="S1642" i="53" s="1"/>
  <c r="K1642" i="53"/>
  <c r="P1641" i="53"/>
  <c r="R1641" i="53" s="1"/>
  <c r="O1641" i="53"/>
  <c r="S1641" i="53" s="1"/>
  <c r="K1641" i="53"/>
  <c r="O1640" i="53"/>
  <c r="N1640" i="53"/>
  <c r="K1640" i="53"/>
  <c r="P1639" i="53"/>
  <c r="O1639" i="53"/>
  <c r="O1638" i="53"/>
  <c r="N1638" i="53"/>
  <c r="K1638" i="53"/>
  <c r="O1637" i="53"/>
  <c r="N1637" i="53"/>
  <c r="K1637" i="53"/>
  <c r="O1636" i="53"/>
  <c r="N1636" i="53"/>
  <c r="P1636" i="53" s="1"/>
  <c r="K1636" i="53"/>
  <c r="O1635" i="53"/>
  <c r="N1635" i="53" s="1"/>
  <c r="K1635" i="53"/>
  <c r="P1634" i="53"/>
  <c r="R1634" i="53" s="1"/>
  <c r="O1634" i="53"/>
  <c r="K1634" i="53"/>
  <c r="P1633" i="53"/>
  <c r="O1633" i="53"/>
  <c r="K1633" i="53"/>
  <c r="O1632" i="53"/>
  <c r="N1632" i="53" s="1"/>
  <c r="P1632" i="53" s="1"/>
  <c r="K1632" i="53"/>
  <c r="P1631" i="53"/>
  <c r="Q1631" i="53" s="1"/>
  <c r="O1631" i="53"/>
  <c r="S1631" i="53" s="1"/>
  <c r="K1631" i="53"/>
  <c r="O1630" i="53"/>
  <c r="N1630" i="53"/>
  <c r="K1630" i="53"/>
  <c r="O1629" i="53"/>
  <c r="N1629" i="53" s="1"/>
  <c r="S1629" i="53" s="1"/>
  <c r="K1629" i="53"/>
  <c r="O1628" i="53"/>
  <c r="N1628" i="53" s="1"/>
  <c r="K1628" i="53"/>
  <c r="O1627" i="53"/>
  <c r="N1627" i="53"/>
  <c r="K1627" i="53"/>
  <c r="O1626" i="53"/>
  <c r="N1626" i="53"/>
  <c r="P1626" i="53" s="1"/>
  <c r="Q1626" i="53" s="1"/>
  <c r="K1626" i="53"/>
  <c r="O1625" i="53"/>
  <c r="N1625" i="53" s="1"/>
  <c r="P1625" i="53" s="1"/>
  <c r="K1625" i="53"/>
  <c r="P1624" i="53"/>
  <c r="Q1624" i="53" s="1"/>
  <c r="O1624" i="53"/>
  <c r="S1624" i="53" s="1"/>
  <c r="K1624" i="53"/>
  <c r="P1623" i="53"/>
  <c r="O1623" i="53"/>
  <c r="S1623" i="53" s="1"/>
  <c r="K1623" i="53"/>
  <c r="P1622" i="53"/>
  <c r="Q1622" i="53" s="1"/>
  <c r="O1622" i="53"/>
  <c r="S1622" i="53" s="1"/>
  <c r="K1622" i="53"/>
  <c r="P1621" i="53"/>
  <c r="O1621" i="53"/>
  <c r="S1621" i="53" s="1"/>
  <c r="K1621" i="53"/>
  <c r="O1620" i="53"/>
  <c r="N1620" i="53"/>
  <c r="P1620" i="53" s="1"/>
  <c r="K1620" i="53"/>
  <c r="P1619" i="53"/>
  <c r="O1619" i="53"/>
  <c r="S1619" i="53" s="1"/>
  <c r="K1619" i="53"/>
  <c r="O1618" i="53"/>
  <c r="N1618" i="53" s="1"/>
  <c r="S1618" i="53" s="1"/>
  <c r="K1618" i="53"/>
  <c r="P1617" i="53"/>
  <c r="O1617" i="53"/>
  <c r="S1617" i="53" s="1"/>
  <c r="K1617" i="53"/>
  <c r="O1616" i="53"/>
  <c r="N1616" i="53"/>
  <c r="P1616" i="53" s="1"/>
  <c r="Q1616" i="53" s="1"/>
  <c r="K1616" i="53"/>
  <c r="O1615" i="53"/>
  <c r="N1615" i="53"/>
  <c r="P1615" i="53" s="1"/>
  <c r="K1615" i="53"/>
  <c r="O1614" i="53"/>
  <c r="N1614" i="53"/>
  <c r="K1614" i="53"/>
  <c r="O1613" i="53"/>
  <c r="N1613" i="53"/>
  <c r="K1613" i="53"/>
  <c r="O1612" i="53"/>
  <c r="N1612" i="53"/>
  <c r="K1612" i="53"/>
  <c r="O1611" i="53"/>
  <c r="N1611" i="53"/>
  <c r="P1611" i="53" s="1"/>
  <c r="K1611" i="53"/>
  <c r="O1610" i="53"/>
  <c r="N1610" i="53"/>
  <c r="K1610" i="53"/>
  <c r="O1609" i="53"/>
  <c r="N1609" i="53"/>
  <c r="K1609" i="53"/>
  <c r="P1608" i="53"/>
  <c r="O1608" i="53"/>
  <c r="S1608" i="53" s="1"/>
  <c r="K1608" i="53"/>
  <c r="P1607" i="53"/>
  <c r="O1607" i="53"/>
  <c r="S1607" i="53" s="1"/>
  <c r="K1607" i="53"/>
  <c r="O1606" i="53"/>
  <c r="N1606" i="53"/>
  <c r="P1606" i="53" s="1"/>
  <c r="K1606" i="53"/>
  <c r="O1605" i="53"/>
  <c r="N1605" i="53"/>
  <c r="P1605" i="53" s="1"/>
  <c r="K1605" i="53"/>
  <c r="O1604" i="53"/>
  <c r="N1604" i="53"/>
  <c r="K1604" i="53"/>
  <c r="O1603" i="53"/>
  <c r="N1603" i="53"/>
  <c r="K1603" i="53"/>
  <c r="P1602" i="53"/>
  <c r="R1602" i="53" s="1"/>
  <c r="O1602" i="53"/>
  <c r="S1602" i="53" s="1"/>
  <c r="K1602" i="53"/>
  <c r="P1601" i="53"/>
  <c r="Q1601" i="53" s="1"/>
  <c r="O1601" i="53"/>
  <c r="S1601" i="53" s="1"/>
  <c r="K1601" i="53"/>
  <c r="P1600" i="53"/>
  <c r="O1600" i="53"/>
  <c r="S1600" i="53" s="1"/>
  <c r="K1600" i="53"/>
  <c r="O1599" i="53"/>
  <c r="N1599" i="53" s="1"/>
  <c r="K1599" i="53"/>
  <c r="O1598" i="53"/>
  <c r="N1598" i="53" s="1"/>
  <c r="K1598" i="53"/>
  <c r="O1597" i="53"/>
  <c r="N1597" i="53" s="1"/>
  <c r="K1597" i="53"/>
  <c r="O1596" i="53"/>
  <c r="N1596" i="53" s="1"/>
  <c r="P1596" i="53" s="1"/>
  <c r="K1596" i="53"/>
  <c r="P1595" i="53"/>
  <c r="R1595" i="53" s="1"/>
  <c r="O1595" i="53"/>
  <c r="K1595" i="53"/>
  <c r="P1594" i="53"/>
  <c r="O1594" i="53"/>
  <c r="S1594" i="53" s="1"/>
  <c r="K1594" i="53"/>
  <c r="O1593" i="53"/>
  <c r="N1593" i="53" s="1"/>
  <c r="K1593" i="53"/>
  <c r="P1592" i="53"/>
  <c r="O1592" i="53"/>
  <c r="S1592" i="53" s="1"/>
  <c r="K1592" i="53"/>
  <c r="P1591" i="53"/>
  <c r="Q1591" i="53" s="1"/>
  <c r="O1591" i="53"/>
  <c r="S1591" i="53" s="1"/>
  <c r="K1591" i="53"/>
  <c r="O1590" i="53"/>
  <c r="N1590" i="53" s="1"/>
  <c r="K1590" i="53"/>
  <c r="P1589" i="53"/>
  <c r="Q1589" i="53" s="1"/>
  <c r="O1589" i="53"/>
  <c r="S1589" i="53" s="1"/>
  <c r="K1589" i="53"/>
  <c r="P1588" i="53"/>
  <c r="O1588" i="53"/>
  <c r="S1588" i="53" s="1"/>
  <c r="K1588" i="53"/>
  <c r="P1587" i="53"/>
  <c r="Q1587" i="53" s="1"/>
  <c r="O1587" i="53"/>
  <c r="K1587" i="53"/>
  <c r="O1586" i="53"/>
  <c r="N1586" i="53"/>
  <c r="K1586" i="53"/>
  <c r="P1585" i="53"/>
  <c r="O1585" i="53"/>
  <c r="S1585" i="53" s="1"/>
  <c r="K1585" i="53"/>
  <c r="P1584" i="53"/>
  <c r="Q1584" i="53" s="1"/>
  <c r="O1584" i="53"/>
  <c r="S1584" i="53" s="1"/>
  <c r="K1584" i="53"/>
  <c r="P1583" i="53"/>
  <c r="Q1583" i="53" s="1"/>
  <c r="O1583" i="53"/>
  <c r="S1583" i="53" s="1"/>
  <c r="K1583" i="53"/>
  <c r="P1582" i="53"/>
  <c r="Q1582" i="53" s="1"/>
  <c r="O1582" i="53"/>
  <c r="S1582" i="53" s="1"/>
  <c r="K1582" i="53"/>
  <c r="P1581" i="53"/>
  <c r="Q1581" i="53" s="1"/>
  <c r="O1581" i="53"/>
  <c r="S1581" i="53" s="1"/>
  <c r="K1581" i="53"/>
  <c r="P1580" i="53"/>
  <c r="Q1580" i="53" s="1"/>
  <c r="O1580" i="53"/>
  <c r="K1580" i="53"/>
  <c r="P1579" i="53"/>
  <c r="Q1579" i="53" s="1"/>
  <c r="O1579" i="53"/>
  <c r="S1579" i="53" s="1"/>
  <c r="K1579" i="53"/>
  <c r="P1578" i="53"/>
  <c r="Q1578" i="53" s="1"/>
  <c r="O1578" i="53"/>
  <c r="S1578" i="53" s="1"/>
  <c r="K1578" i="53"/>
  <c r="P1577" i="53"/>
  <c r="Q1577" i="53" s="1"/>
  <c r="O1577" i="53"/>
  <c r="S1577" i="53" s="1"/>
  <c r="K1577" i="53"/>
  <c r="P1576" i="53"/>
  <c r="Q1576" i="53" s="1"/>
  <c r="O1576" i="53"/>
  <c r="S1576" i="53" s="1"/>
  <c r="K1576" i="53"/>
  <c r="P1575" i="53"/>
  <c r="Q1575" i="53" s="1"/>
  <c r="O1575" i="53"/>
  <c r="S1575" i="53" s="1"/>
  <c r="K1575" i="53"/>
  <c r="P1574" i="53"/>
  <c r="O1574" i="53"/>
  <c r="S1574" i="53" s="1"/>
  <c r="K1574" i="53"/>
  <c r="P1573" i="53"/>
  <c r="Q1573" i="53" s="1"/>
  <c r="O1573" i="53"/>
  <c r="S1573" i="53" s="1"/>
  <c r="K1573" i="53"/>
  <c r="P1572" i="53"/>
  <c r="Q1572" i="53" s="1"/>
  <c r="O1572" i="53"/>
  <c r="S1572" i="53" s="1"/>
  <c r="K1572" i="53"/>
  <c r="P1571" i="53"/>
  <c r="R1571" i="53" s="1"/>
  <c r="O1571" i="53"/>
  <c r="S1571" i="53" s="1"/>
  <c r="K1571" i="53"/>
  <c r="O1570" i="53"/>
  <c r="N1570" i="53"/>
  <c r="K1570" i="53"/>
  <c r="O1569" i="53"/>
  <c r="N1569" i="53"/>
  <c r="K1569" i="53"/>
  <c r="P1568" i="53"/>
  <c r="Q1568" i="53" s="1"/>
  <c r="O1568" i="53"/>
  <c r="S1568" i="53" s="1"/>
  <c r="K1568" i="53"/>
  <c r="P1567" i="53"/>
  <c r="O1567" i="53"/>
  <c r="K1567" i="53"/>
  <c r="P1566" i="53"/>
  <c r="O1566" i="53"/>
  <c r="S1566" i="53" s="1"/>
  <c r="K1566" i="53"/>
  <c r="P1565" i="53"/>
  <c r="Q1565" i="53" s="1"/>
  <c r="O1565" i="53"/>
  <c r="S1565" i="53" s="1"/>
  <c r="K1565" i="53"/>
  <c r="P1564" i="53"/>
  <c r="O1564" i="53"/>
  <c r="S1564" i="53" s="1"/>
  <c r="K1564" i="53"/>
  <c r="P1563" i="53"/>
  <c r="Q1563" i="53" s="1"/>
  <c r="O1563" i="53"/>
  <c r="S1563" i="53" s="1"/>
  <c r="K1563" i="53"/>
  <c r="P1562" i="53"/>
  <c r="O1562" i="53"/>
  <c r="S1562" i="53" s="1"/>
  <c r="K1562" i="53"/>
  <c r="P1561" i="53"/>
  <c r="Q1561" i="53" s="1"/>
  <c r="O1561" i="53"/>
  <c r="S1561" i="53" s="1"/>
  <c r="K1561" i="53"/>
  <c r="P1560" i="53"/>
  <c r="Q1560" i="53" s="1"/>
  <c r="O1560" i="53"/>
  <c r="S1560" i="53" s="1"/>
  <c r="K1560" i="53"/>
  <c r="P1559" i="53"/>
  <c r="O1559" i="53"/>
  <c r="K1559" i="53"/>
  <c r="P1558" i="53"/>
  <c r="Q1558" i="53" s="1"/>
  <c r="O1558" i="53"/>
  <c r="S1558" i="53" s="1"/>
  <c r="K1558" i="53"/>
  <c r="P1557" i="53"/>
  <c r="Q1557" i="53" s="1"/>
  <c r="O1557" i="53"/>
  <c r="S1557" i="53" s="1"/>
  <c r="K1557" i="53"/>
  <c r="P1556" i="53"/>
  <c r="O1556" i="53"/>
  <c r="K1556" i="53"/>
  <c r="P1555" i="53"/>
  <c r="O1555" i="53"/>
  <c r="S1555" i="53" s="1"/>
  <c r="K1555" i="53"/>
  <c r="P1554" i="53"/>
  <c r="O1554" i="53"/>
  <c r="S1554" i="53" s="1"/>
  <c r="K1554" i="53"/>
  <c r="P1553" i="53"/>
  <c r="Q1553" i="53" s="1"/>
  <c r="O1553" i="53"/>
  <c r="S1553" i="53" s="1"/>
  <c r="K1553" i="53"/>
  <c r="P1552" i="53"/>
  <c r="O1552" i="53"/>
  <c r="K1552" i="53"/>
  <c r="P1551" i="53"/>
  <c r="Q1551" i="53" s="1"/>
  <c r="O1551" i="53"/>
  <c r="K1551" i="53"/>
  <c r="P1550" i="53"/>
  <c r="O1550" i="53"/>
  <c r="S1550" i="53" s="1"/>
  <c r="K1550" i="53"/>
  <c r="P1549" i="53"/>
  <c r="Q1549" i="53" s="1"/>
  <c r="O1549" i="53"/>
  <c r="K1549" i="53"/>
  <c r="P1548" i="53"/>
  <c r="O1548" i="53"/>
  <c r="S1548" i="53" s="1"/>
  <c r="K1548" i="53"/>
  <c r="P1547" i="53"/>
  <c r="O1547" i="53"/>
  <c r="S1547" i="53" s="1"/>
  <c r="K1547" i="53"/>
  <c r="P1546" i="53"/>
  <c r="R1546" i="53" s="1"/>
  <c r="O1546" i="53"/>
  <c r="K1546" i="53"/>
  <c r="E204" i="36"/>
  <c r="E203" i="36"/>
  <c r="C203" i="36" s="1"/>
  <c r="E202" i="36"/>
  <c r="C202" i="36" s="1"/>
  <c r="E201" i="36"/>
  <c r="C201" i="36" s="1"/>
  <c r="E200" i="36"/>
  <c r="C200" i="36" s="1"/>
  <c r="E199" i="36"/>
  <c r="C199" i="36" s="1"/>
  <c r="E198" i="36"/>
  <c r="C198" i="36" s="1"/>
  <c r="E197" i="36"/>
  <c r="C197" i="36" s="1"/>
  <c r="E196" i="36"/>
  <c r="C196" i="36" s="1"/>
  <c r="E195" i="36"/>
  <c r="C195" i="36" s="1"/>
  <c r="E194" i="36"/>
  <c r="C194" i="36" s="1"/>
  <c r="E193" i="36"/>
  <c r="C193" i="36" s="1"/>
  <c r="E192" i="36"/>
  <c r="C192" i="36" s="1"/>
  <c r="E191" i="36"/>
  <c r="C191" i="36" s="1"/>
  <c r="E190" i="36"/>
  <c r="C190" i="36" s="1"/>
  <c r="E189" i="36"/>
  <c r="C189" i="36" s="1"/>
  <c r="E188" i="36"/>
  <c r="C188" i="36" s="1"/>
  <c r="E187" i="36"/>
  <c r="C187" i="36" s="1"/>
  <c r="E186" i="36"/>
  <c r="C186" i="36" s="1"/>
  <c r="E185" i="36"/>
  <c r="C185" i="36" s="1"/>
  <c r="E184" i="36"/>
  <c r="C184" i="36" s="1"/>
  <c r="E183" i="36"/>
  <c r="C183" i="36" s="1"/>
  <c r="E182" i="36"/>
  <c r="C182" i="36" s="1"/>
  <c r="E181" i="36"/>
  <c r="C181" i="36" s="1"/>
  <c r="E180" i="36"/>
  <c r="C180" i="36" s="1"/>
  <c r="E179" i="36"/>
  <c r="C179" i="36" s="1"/>
  <c r="E178" i="36"/>
  <c r="C178" i="36" s="1"/>
  <c r="E177" i="36"/>
  <c r="C177" i="36" s="1"/>
  <c r="E176" i="36"/>
  <c r="C176" i="36" s="1"/>
  <c r="E175" i="36"/>
  <c r="C175" i="36" s="1"/>
  <c r="E174" i="36"/>
  <c r="C174" i="36" s="1"/>
  <c r="E173" i="36"/>
  <c r="C173" i="36" s="1"/>
  <c r="E172" i="36"/>
  <c r="C172" i="36" s="1"/>
  <c r="E171" i="36"/>
  <c r="C171" i="36" s="1"/>
  <c r="E170" i="36"/>
  <c r="C170" i="36" s="1"/>
  <c r="E169" i="36"/>
  <c r="C169" i="36" s="1"/>
  <c r="E168" i="36"/>
  <c r="C168" i="36" s="1"/>
  <c r="E167" i="36"/>
  <c r="C167" i="36" s="1"/>
  <c r="E166" i="36"/>
  <c r="C166" i="36" s="1"/>
  <c r="E165" i="36"/>
  <c r="C165" i="36" s="1"/>
  <c r="E164" i="36"/>
  <c r="C164" i="36" s="1"/>
  <c r="E163" i="36"/>
  <c r="C163" i="36" s="1"/>
  <c r="E162" i="36"/>
  <c r="C162" i="36" s="1"/>
  <c r="E161" i="36"/>
  <c r="C161" i="36" s="1"/>
  <c r="E160" i="36"/>
  <c r="C160" i="36" s="1"/>
  <c r="E159" i="36"/>
  <c r="C159" i="36" s="1"/>
  <c r="E158" i="36"/>
  <c r="C158" i="36" s="1"/>
  <c r="E157" i="36"/>
  <c r="C157" i="36" s="1"/>
  <c r="E156" i="36"/>
  <c r="C156" i="36" s="1"/>
  <c r="E155" i="36"/>
  <c r="C155" i="36" s="1"/>
  <c r="E154" i="36"/>
  <c r="C154" i="36" s="1"/>
  <c r="E153" i="36"/>
  <c r="C153" i="36" s="1"/>
  <c r="E152" i="36"/>
  <c r="C152" i="36" s="1"/>
  <c r="E151" i="36"/>
  <c r="C151" i="36" s="1"/>
  <c r="E150" i="36"/>
  <c r="C150" i="36" s="1"/>
  <c r="E149" i="36"/>
  <c r="C149" i="36" s="1"/>
  <c r="E148" i="36"/>
  <c r="C148" i="36" s="1"/>
  <c r="E147" i="36"/>
  <c r="C147" i="36" s="1"/>
  <c r="E146" i="36"/>
  <c r="C146" i="36" s="1"/>
  <c r="E145" i="36"/>
  <c r="C145" i="36" s="1"/>
  <c r="E144" i="36"/>
  <c r="C144" i="36" s="1"/>
  <c r="E143" i="36"/>
  <c r="C143" i="36" s="1"/>
  <c r="E142" i="36"/>
  <c r="C142" i="36" s="1"/>
  <c r="E141" i="36"/>
  <c r="C141" i="36" s="1"/>
  <c r="E140" i="36"/>
  <c r="C140" i="36" s="1"/>
  <c r="E139" i="36"/>
  <c r="C139" i="36" s="1"/>
  <c r="E138" i="36"/>
  <c r="C138" i="36" s="1"/>
  <c r="E137" i="36"/>
  <c r="C137" i="36" s="1"/>
  <c r="E136" i="36"/>
  <c r="C136" i="36" s="1"/>
  <c r="E135" i="36"/>
  <c r="C135" i="36" s="1"/>
  <c r="E134" i="36"/>
  <c r="C134" i="36" s="1"/>
  <c r="E133" i="36"/>
  <c r="C133" i="36" s="1"/>
  <c r="E132" i="36"/>
  <c r="C132" i="36" s="1"/>
  <c r="E131" i="36"/>
  <c r="C131" i="36" s="1"/>
  <c r="E130" i="36"/>
  <c r="C130" i="36" s="1"/>
  <c r="E129" i="36"/>
  <c r="C129" i="36" s="1"/>
  <c r="E128" i="36"/>
  <c r="C128" i="36" s="1"/>
  <c r="E127" i="36"/>
  <c r="C127" i="36" s="1"/>
  <c r="E126" i="36"/>
  <c r="C126" i="36" s="1"/>
  <c r="E125" i="36"/>
  <c r="C125" i="36" s="1"/>
  <c r="E124" i="36"/>
  <c r="C124" i="36" s="1"/>
  <c r="E123" i="36"/>
  <c r="C123" i="36" s="1"/>
  <c r="E122" i="36"/>
  <c r="C122" i="36" s="1"/>
  <c r="E121" i="36"/>
  <c r="C121" i="36" s="1"/>
  <c r="E120" i="36"/>
  <c r="C120" i="36" s="1"/>
  <c r="E119" i="36"/>
  <c r="C119" i="36" s="1"/>
  <c r="E118" i="36"/>
  <c r="C118" i="36" s="1"/>
  <c r="E117" i="36"/>
  <c r="C117" i="36" s="1"/>
  <c r="E116" i="36"/>
  <c r="C116" i="36" s="1"/>
  <c r="E115" i="36"/>
  <c r="C115" i="36" s="1"/>
  <c r="E114" i="36"/>
  <c r="C114" i="36" s="1"/>
  <c r="E113" i="36"/>
  <c r="C113" i="36" s="1"/>
  <c r="E112" i="36"/>
  <c r="C112" i="36" s="1"/>
  <c r="E111" i="36"/>
  <c r="C111" i="36" s="1"/>
  <c r="E110" i="36"/>
  <c r="C110" i="36" s="1"/>
  <c r="E109" i="36"/>
  <c r="C109" i="36" s="1"/>
  <c r="E108" i="36"/>
  <c r="C108" i="36" s="1"/>
  <c r="E107" i="36"/>
  <c r="C107" i="36" s="1"/>
  <c r="E106" i="36"/>
  <c r="C106" i="36" s="1"/>
  <c r="E105" i="36"/>
  <c r="C105" i="36" s="1"/>
  <c r="E104" i="36"/>
  <c r="C104" i="36" s="1"/>
  <c r="E103" i="36"/>
  <c r="C103" i="36" s="1"/>
  <c r="E102" i="36"/>
  <c r="C102" i="36" s="1"/>
  <c r="E101" i="36"/>
  <c r="C101" i="36" s="1"/>
  <c r="E100" i="36"/>
  <c r="C100" i="36" s="1"/>
  <c r="E99" i="36"/>
  <c r="C99" i="36" s="1"/>
  <c r="E98" i="36"/>
  <c r="C98" i="36" s="1"/>
  <c r="E97" i="36"/>
  <c r="C97" i="36" s="1"/>
  <c r="E96" i="36"/>
  <c r="C96" i="36" s="1"/>
  <c r="E95" i="36"/>
  <c r="C95" i="36" s="1"/>
  <c r="E94" i="36"/>
  <c r="C94" i="36" s="1"/>
  <c r="E93" i="36"/>
  <c r="C93" i="36" s="1"/>
  <c r="E92" i="36"/>
  <c r="C92" i="36" s="1"/>
  <c r="E91" i="36"/>
  <c r="C91" i="36" s="1"/>
  <c r="E90" i="36"/>
  <c r="C90" i="36" s="1"/>
  <c r="E89" i="36"/>
  <c r="C89" i="36" s="1"/>
  <c r="E88" i="36"/>
  <c r="C88" i="36" s="1"/>
  <c r="E87" i="36"/>
  <c r="C87" i="36" s="1"/>
  <c r="E86" i="36"/>
  <c r="C86" i="36" s="1"/>
  <c r="E85" i="36"/>
  <c r="C85" i="36" s="1"/>
  <c r="E84" i="36"/>
  <c r="C84" i="36" s="1"/>
  <c r="E83" i="36"/>
  <c r="C83" i="36" s="1"/>
  <c r="E82" i="36"/>
  <c r="C82" i="36" s="1"/>
  <c r="E81" i="36"/>
  <c r="C81" i="36" s="1"/>
  <c r="E80" i="36"/>
  <c r="C80" i="36" s="1"/>
  <c r="E79" i="36"/>
  <c r="C79" i="36" s="1"/>
  <c r="E78" i="36"/>
  <c r="C78" i="36" s="1"/>
  <c r="E77" i="36"/>
  <c r="C77" i="36" s="1"/>
  <c r="E76" i="36"/>
  <c r="C76" i="36" s="1"/>
  <c r="E75" i="36"/>
  <c r="C75" i="36" s="1"/>
  <c r="E74" i="36"/>
  <c r="C74" i="36" s="1"/>
  <c r="E73" i="36"/>
  <c r="C73" i="36" s="1"/>
  <c r="E72" i="36"/>
  <c r="C72" i="36" s="1"/>
  <c r="E71" i="36"/>
  <c r="C71" i="36" s="1"/>
  <c r="E70" i="36"/>
  <c r="C70" i="36" s="1"/>
  <c r="E69" i="36"/>
  <c r="C69" i="36" s="1"/>
  <c r="E68" i="36"/>
  <c r="C68" i="36" s="1"/>
  <c r="E67" i="36"/>
  <c r="C67" i="36" s="1"/>
  <c r="E66" i="36"/>
  <c r="C66" i="36" s="1"/>
  <c r="E65" i="36"/>
  <c r="C65" i="36" s="1"/>
  <c r="E64" i="36"/>
  <c r="C64" i="36" s="1"/>
  <c r="E63" i="36"/>
  <c r="C63" i="36" s="1"/>
  <c r="E62" i="36"/>
  <c r="C62" i="36" s="1"/>
  <c r="E61" i="36"/>
  <c r="C61" i="36" s="1"/>
  <c r="E60" i="36"/>
  <c r="C60" i="36" s="1"/>
  <c r="E59" i="36"/>
  <c r="C59" i="36" s="1"/>
  <c r="E58" i="36"/>
  <c r="C58" i="36" s="1"/>
  <c r="E57" i="36"/>
  <c r="C57" i="36" s="1"/>
  <c r="E56" i="36"/>
  <c r="C56" i="36" s="1"/>
  <c r="E55" i="36"/>
  <c r="C55" i="36" s="1"/>
  <c r="E54" i="36"/>
  <c r="C54" i="36" s="1"/>
  <c r="E53" i="36"/>
  <c r="C53" i="36" s="1"/>
  <c r="E52" i="36"/>
  <c r="C52" i="36" s="1"/>
  <c r="E51" i="36"/>
  <c r="C51" i="36" s="1"/>
  <c r="E50" i="36"/>
  <c r="C50" i="36" s="1"/>
  <c r="E49" i="36"/>
  <c r="C49" i="36" s="1"/>
  <c r="E48" i="36"/>
  <c r="C48" i="36" s="1"/>
  <c r="E47" i="36"/>
  <c r="C47" i="36" s="1"/>
  <c r="E46" i="36"/>
  <c r="C46" i="36" s="1"/>
  <c r="E45" i="36"/>
  <c r="C45" i="36" s="1"/>
  <c r="E44" i="36"/>
  <c r="C44" i="36" s="1"/>
  <c r="E43" i="36"/>
  <c r="C43" i="36" s="1"/>
  <c r="E42" i="36"/>
  <c r="C42" i="36" s="1"/>
  <c r="E41" i="36"/>
  <c r="C41" i="36" s="1"/>
  <c r="E40" i="36"/>
  <c r="C40" i="36" s="1"/>
  <c r="E39" i="36"/>
  <c r="C39" i="36" s="1"/>
  <c r="E38" i="36"/>
  <c r="C38" i="36" s="1"/>
  <c r="E37" i="36"/>
  <c r="C37" i="36" s="1"/>
  <c r="E36" i="36"/>
  <c r="C36" i="36" s="1"/>
  <c r="E35" i="36"/>
  <c r="C35" i="36" s="1"/>
  <c r="E34" i="36"/>
  <c r="C34" i="36" s="1"/>
  <c r="E33" i="36"/>
  <c r="C33" i="36" s="1"/>
  <c r="E32" i="36"/>
  <c r="C32" i="36" s="1"/>
  <c r="E31" i="36"/>
  <c r="C31" i="36" s="1"/>
  <c r="E30" i="36"/>
  <c r="C30" i="36" s="1"/>
  <c r="E29" i="36"/>
  <c r="C29" i="36" s="1"/>
  <c r="E28" i="36"/>
  <c r="C28" i="36" s="1"/>
  <c r="E27" i="36"/>
  <c r="C27" i="36" s="1"/>
  <c r="E26" i="36"/>
  <c r="C26" i="36" s="1"/>
  <c r="E25" i="36"/>
  <c r="C25" i="36" s="1"/>
  <c r="E24" i="36"/>
  <c r="C24" i="36" s="1"/>
  <c r="E23" i="36"/>
  <c r="C23" i="36" s="1"/>
  <c r="E22" i="36"/>
  <c r="C22" i="36" s="1"/>
  <c r="E21" i="36"/>
  <c r="C21" i="36" s="1"/>
  <c r="E20" i="36"/>
  <c r="C20" i="36" s="1"/>
  <c r="E19" i="36"/>
  <c r="C19" i="36" s="1"/>
  <c r="E18" i="36"/>
  <c r="C18" i="36" s="1"/>
  <c r="E17" i="36"/>
  <c r="C17" i="36" s="1"/>
  <c r="E16" i="36"/>
  <c r="C16" i="36" s="1"/>
  <c r="E15" i="36"/>
  <c r="C15" i="36" s="1"/>
  <c r="E14" i="36"/>
  <c r="C14" i="36" s="1"/>
  <c r="E13" i="36"/>
  <c r="C13" i="36" s="1"/>
  <c r="E12" i="36"/>
  <c r="C12" i="36" s="1"/>
  <c r="E11" i="36"/>
  <c r="C11" i="36" s="1"/>
  <c r="E10" i="36"/>
  <c r="C10" i="36" s="1"/>
  <c r="S2196" i="53" l="1"/>
  <c r="R2191" i="53"/>
  <c r="S2197" i="53"/>
  <c r="R2097" i="53"/>
  <c r="R2084" i="53"/>
  <c r="R2154" i="53"/>
  <c r="Q2002" i="53"/>
  <c r="S2106" i="53"/>
  <c r="Q1968" i="53"/>
  <c r="Q1976" i="53"/>
  <c r="Q2150" i="53"/>
  <c r="Q1682" i="53"/>
  <c r="R1705" i="53"/>
  <c r="Q1782" i="53"/>
  <c r="R2181" i="53"/>
  <c r="R1727" i="53"/>
  <c r="Q1871" i="53"/>
  <c r="R2145" i="53"/>
  <c r="S1773" i="53"/>
  <c r="Q1546" i="53"/>
  <c r="R1707" i="53"/>
  <c r="R1888" i="53"/>
  <c r="S1965" i="53"/>
  <c r="Q2006" i="53"/>
  <c r="R2096" i="53"/>
  <c r="R1747" i="53"/>
  <c r="R1573" i="53"/>
  <c r="R1769" i="53"/>
  <c r="Q1803" i="53"/>
  <c r="R1899" i="53"/>
  <c r="R2151" i="53"/>
  <c r="R2049" i="53"/>
  <c r="R1566" i="53"/>
  <c r="S1695" i="53"/>
  <c r="R1729" i="53"/>
  <c r="R1764" i="53"/>
  <c r="R1822" i="53"/>
  <c r="R1945" i="53"/>
  <c r="R2130" i="53"/>
  <c r="Q2137" i="53"/>
  <c r="R1564" i="53"/>
  <c r="S1667" i="53"/>
  <c r="R1714" i="53"/>
  <c r="Q1727" i="53"/>
  <c r="R1798" i="53"/>
  <c r="Q1859" i="53"/>
  <c r="R1881" i="53"/>
  <c r="Q2140" i="53"/>
  <c r="Q2142" i="53"/>
  <c r="R2147" i="53"/>
  <c r="R1555" i="53"/>
  <c r="R1562" i="53"/>
  <c r="R1823" i="53"/>
  <c r="R1907" i="53"/>
  <c r="R1622" i="53"/>
  <c r="R1652" i="53"/>
  <c r="S1678" i="53"/>
  <c r="S1689" i="53"/>
  <c r="S1747" i="53"/>
  <c r="R1783" i="53"/>
  <c r="Q1862" i="53"/>
  <c r="R1900" i="53"/>
  <c r="S1963" i="53"/>
  <c r="Q2108" i="53"/>
  <c r="Q2186" i="53"/>
  <c r="S1676" i="53"/>
  <c r="S1745" i="53"/>
  <c r="R2091" i="53"/>
  <c r="Q1566" i="53"/>
  <c r="R1819" i="53"/>
  <c r="Q1819" i="53"/>
  <c r="Q1607" i="53"/>
  <c r="R1607" i="53"/>
  <c r="S2076" i="53"/>
  <c r="P2076" i="53"/>
  <c r="Q2076" i="53" s="1"/>
  <c r="Q1917" i="53"/>
  <c r="R1917" i="53"/>
  <c r="Q2087" i="53"/>
  <c r="R2087" i="53"/>
  <c r="Q1915" i="53"/>
  <c r="R1915" i="53"/>
  <c r="Q1944" i="53"/>
  <c r="R1944" i="53"/>
  <c r="Q1980" i="53"/>
  <c r="R1980" i="53"/>
  <c r="Q1548" i="53"/>
  <c r="R1548" i="53"/>
  <c r="R1791" i="53"/>
  <c r="Q1791" i="53"/>
  <c r="R1913" i="53"/>
  <c r="S1913" i="53"/>
  <c r="Q1973" i="53"/>
  <c r="R1973" i="53"/>
  <c r="R1942" i="53"/>
  <c r="Q1942" i="53"/>
  <c r="R2187" i="53"/>
  <c r="R1719" i="53"/>
  <c r="R1779" i="53"/>
  <c r="S2055" i="53"/>
  <c r="R2069" i="53"/>
  <c r="R2167" i="53"/>
  <c r="Q2174" i="53"/>
  <c r="S1586" i="53"/>
  <c r="S1645" i="53"/>
  <c r="S1704" i="53"/>
  <c r="R1732" i="53"/>
  <c r="S1774" i="53"/>
  <c r="S1777" i="53"/>
  <c r="R2112" i="53"/>
  <c r="S2126" i="53"/>
  <c r="R2133" i="53"/>
  <c r="R2153" i="53"/>
  <c r="R1575" i="53"/>
  <c r="P1586" i="53"/>
  <c r="R1586" i="53" s="1"/>
  <c r="S1691" i="53"/>
  <c r="Q1840" i="53"/>
  <c r="R1857" i="53"/>
  <c r="Q1888" i="53"/>
  <c r="Q1890" i="53"/>
  <c r="Q1955" i="53"/>
  <c r="R2019" i="53"/>
  <c r="Q2021" i="53"/>
  <c r="S1606" i="53"/>
  <c r="R1648" i="53"/>
  <c r="S1663" i="53"/>
  <c r="P1689" i="53"/>
  <c r="R1689" i="53" s="1"/>
  <c r="R1820" i="53"/>
  <c r="R1830" i="53"/>
  <c r="R1864" i="53"/>
  <c r="R1876" i="53"/>
  <c r="Q1895" i="53"/>
  <c r="S1912" i="53"/>
  <c r="S1921" i="53"/>
  <c r="P1965" i="53"/>
  <c r="R1965" i="53" s="1"/>
  <c r="R2047" i="53"/>
  <c r="S2049" i="53"/>
  <c r="R2086" i="53"/>
  <c r="S1651" i="53"/>
  <c r="S1692" i="53"/>
  <c r="R1756" i="53"/>
  <c r="R1884" i="53"/>
  <c r="S2129" i="53"/>
  <c r="R2156" i="53"/>
  <c r="S1742" i="53"/>
  <c r="R1774" i="53"/>
  <c r="S2060" i="53"/>
  <c r="P1669" i="53"/>
  <c r="R1669" i="53" s="1"/>
  <c r="S1669" i="53"/>
  <c r="R1671" i="53"/>
  <c r="Q1671" i="53"/>
  <c r="P1744" i="53"/>
  <c r="R1744" i="53" s="1"/>
  <c r="S1744" i="53"/>
  <c r="R1763" i="53"/>
  <c r="Q1813" i="53"/>
  <c r="R1815" i="53"/>
  <c r="Q1877" i="53"/>
  <c r="Q1880" i="53"/>
  <c r="R1880" i="53"/>
  <c r="R1956" i="53"/>
  <c r="Q1956" i="53"/>
  <c r="R1995" i="53"/>
  <c r="Q1995" i="53"/>
  <c r="Q2071" i="53"/>
  <c r="R2071" i="53"/>
  <c r="R1563" i="53"/>
  <c r="Q1656" i="53"/>
  <c r="R1656" i="53"/>
  <c r="R1811" i="53"/>
  <c r="Q1811" i="53"/>
  <c r="R2025" i="53"/>
  <c r="Q2025" i="53"/>
  <c r="R1664" i="53"/>
  <c r="R1685" i="53"/>
  <c r="Q1685" i="53"/>
  <c r="Q1700" i="53"/>
  <c r="R1700" i="53"/>
  <c r="Q1806" i="53"/>
  <c r="R1806" i="53"/>
  <c r="Q1842" i="53"/>
  <c r="R1930" i="53"/>
  <c r="Q1930" i="53"/>
  <c r="R1952" i="53"/>
  <c r="Q1952" i="53"/>
  <c r="R2043" i="53"/>
  <c r="Q2043" i="53"/>
  <c r="P1662" i="53"/>
  <c r="Q1662" i="53" s="1"/>
  <c r="S1662" i="53"/>
  <c r="R1809" i="53"/>
  <c r="Q1809" i="53"/>
  <c r="Q1855" i="53"/>
  <c r="R1855" i="53"/>
  <c r="Q2023" i="53"/>
  <c r="R2023" i="53"/>
  <c r="Q1555" i="53"/>
  <c r="P1618" i="53"/>
  <c r="Q1618" i="53" s="1"/>
  <c r="Q1683" i="53"/>
  <c r="R1683" i="53"/>
  <c r="S1701" i="53"/>
  <c r="P1701" i="53"/>
  <c r="R1701" i="53" s="1"/>
  <c r="R1807" i="53"/>
  <c r="Q1807" i="53"/>
  <c r="Q2004" i="53"/>
  <c r="R2004" i="53"/>
  <c r="Q1621" i="53"/>
  <c r="R1621" i="53"/>
  <c r="S1635" i="53"/>
  <c r="P1635" i="53"/>
  <c r="R1635" i="53" s="1"/>
  <c r="P1655" i="53"/>
  <c r="R1655" i="53" s="1"/>
  <c r="S1655" i="53"/>
  <c r="S1743" i="53"/>
  <c r="P1743" i="53"/>
  <c r="Q1743" i="53" s="1"/>
  <c r="Q1853" i="53"/>
  <c r="R1853" i="53"/>
  <c r="S1948" i="53"/>
  <c r="P1948" i="53"/>
  <c r="Q1948" i="53" s="1"/>
  <c r="R2093" i="53"/>
  <c r="Q2093" i="53"/>
  <c r="R1587" i="53"/>
  <c r="R1608" i="53"/>
  <c r="R1616" i="53"/>
  <c r="R1858" i="53"/>
  <c r="R1958" i="53"/>
  <c r="Q1958" i="53"/>
  <c r="P2000" i="53"/>
  <c r="Q2000" i="53" s="1"/>
  <c r="S2000" i="53"/>
  <c r="R2113" i="53"/>
  <c r="Q2113" i="53"/>
  <c r="P1614" i="53"/>
  <c r="Q1614" i="53" s="1"/>
  <c r="S1614" i="53"/>
  <c r="R1583" i="53"/>
  <c r="R1606" i="53"/>
  <c r="S1613" i="53"/>
  <c r="S1650" i="53"/>
  <c r="R1661" i="53"/>
  <c r="S1685" i="53"/>
  <c r="S1696" i="53"/>
  <c r="S1705" i="53"/>
  <c r="S1710" i="53"/>
  <c r="R1734" i="53"/>
  <c r="R1754" i="53"/>
  <c r="R1760" i="53"/>
  <c r="S1772" i="53"/>
  <c r="Q1781" i="53"/>
  <c r="P1912" i="53"/>
  <c r="R1936" i="53"/>
  <c r="Q1938" i="53"/>
  <c r="R1987" i="53"/>
  <c r="R2012" i="53"/>
  <c r="Q2014" i="53"/>
  <c r="R2016" i="53"/>
  <c r="R2033" i="53"/>
  <c r="R2055" i="53"/>
  <c r="R2101" i="53"/>
  <c r="R2114" i="53"/>
  <c r="R2119" i="53"/>
  <c r="R2163" i="53"/>
  <c r="Q2170" i="53"/>
  <c r="Q2181" i="53"/>
  <c r="Q2183" i="53"/>
  <c r="S2047" i="53"/>
  <c r="S2111" i="53"/>
  <c r="R2123" i="53"/>
  <c r="Q2192" i="53"/>
  <c r="Q2172" i="53"/>
  <c r="Q2177" i="53"/>
  <c r="S1964" i="53"/>
  <c r="R2030" i="53"/>
  <c r="R2100" i="53"/>
  <c r="R1623" i="53"/>
  <c r="Q1750" i="53"/>
  <c r="R1766" i="53"/>
  <c r="Q1960" i="53"/>
  <c r="Q1988" i="53"/>
  <c r="R2034" i="53"/>
  <c r="R2046" i="53"/>
  <c r="S2059" i="53"/>
  <c r="R2107" i="53"/>
  <c r="Q2118" i="53"/>
  <c r="Q2120" i="53"/>
  <c r="Q2122" i="53"/>
  <c r="R2126" i="53"/>
  <c r="R2131" i="53"/>
  <c r="R2162" i="53"/>
  <c r="R1584" i="53"/>
  <c r="R1600" i="53"/>
  <c r="Q1623" i="53"/>
  <c r="R1642" i="53"/>
  <c r="S1647" i="53"/>
  <c r="P1651" i="53"/>
  <c r="R1651" i="53" s="1"/>
  <c r="S1706" i="53"/>
  <c r="S1709" i="53"/>
  <c r="R1746" i="53"/>
  <c r="R1753" i="53"/>
  <c r="S1755" i="53"/>
  <c r="P1773" i="53"/>
  <c r="Q1773" i="53" s="1"/>
  <c r="Q1789" i="53"/>
  <c r="Q1793" i="53"/>
  <c r="Q1795" i="53"/>
  <c r="Q1818" i="53"/>
  <c r="Q1822" i="53"/>
  <c r="R1839" i="53"/>
  <c r="Q1870" i="53"/>
  <c r="R1971" i="53"/>
  <c r="R2031" i="53"/>
  <c r="R2050" i="53"/>
  <c r="S2081" i="53"/>
  <c r="S2131" i="53"/>
  <c r="R2135" i="53"/>
  <c r="Q2152" i="53"/>
  <c r="R2158" i="53"/>
  <c r="S2165" i="53"/>
  <c r="S1693" i="53"/>
  <c r="S1949" i="53"/>
  <c r="Q1969" i="53"/>
  <c r="R2018" i="53"/>
  <c r="Q2070" i="53"/>
  <c r="Q2072" i="53"/>
  <c r="R2094" i="53"/>
  <c r="R2103" i="53"/>
  <c r="S1675" i="53"/>
  <c r="P1675" i="53"/>
  <c r="S1549" i="53"/>
  <c r="R1549" i="53"/>
  <c r="P1569" i="53"/>
  <c r="Q1569" i="53" s="1"/>
  <c r="S1569" i="53"/>
  <c r="Q1594" i="53"/>
  <c r="R1594" i="53"/>
  <c r="S1612" i="53"/>
  <c r="P1612" i="53"/>
  <c r="R1612" i="53" s="1"/>
  <c r="Q1619" i="53"/>
  <c r="R1619" i="53"/>
  <c r="R1552" i="53"/>
  <c r="Q1552" i="53"/>
  <c r="S1637" i="53"/>
  <c r="P1637" i="53"/>
  <c r="Q1673" i="53"/>
  <c r="R1673" i="53"/>
  <c r="Q1706" i="53"/>
  <c r="R1706" i="53"/>
  <c r="S1552" i="53"/>
  <c r="Q1556" i="53"/>
  <c r="R1556" i="53"/>
  <c r="Q1617" i="53"/>
  <c r="R1617" i="53"/>
  <c r="Q1620" i="53"/>
  <c r="R1620" i="53"/>
  <c r="Q1567" i="53"/>
  <c r="R1567" i="53"/>
  <c r="S1570" i="53"/>
  <c r="P1570" i="53"/>
  <c r="R1570" i="53" s="1"/>
  <c r="R1601" i="53"/>
  <c r="R1559" i="53"/>
  <c r="Q1559" i="53"/>
  <c r="Q1585" i="53"/>
  <c r="R1585" i="53"/>
  <c r="S1590" i="53"/>
  <c r="P1590" i="53"/>
  <c r="R1590" i="53" s="1"/>
  <c r="S1593" i="53"/>
  <c r="P1593" i="53"/>
  <c r="R1593" i="53" s="1"/>
  <c r="S1620" i="53"/>
  <c r="S1668" i="53"/>
  <c r="P1668" i="53"/>
  <c r="Q1679" i="53"/>
  <c r="R1679" i="53"/>
  <c r="R1633" i="53"/>
  <c r="Q1633" i="53"/>
  <c r="P1751" i="53"/>
  <c r="S1751" i="53"/>
  <c r="R1879" i="53"/>
  <c r="Q1879" i="53"/>
  <c r="R1560" i="53"/>
  <c r="R1591" i="53"/>
  <c r="Q1595" i="53"/>
  <c r="S1605" i="53"/>
  <c r="R1624" i="53"/>
  <c r="R1626" i="53"/>
  <c r="R1631" i="53"/>
  <c r="S1640" i="53"/>
  <c r="S1644" i="53"/>
  <c r="S1646" i="53"/>
  <c r="S1670" i="53"/>
  <c r="Q1734" i="53"/>
  <c r="R1767" i="53"/>
  <c r="Q1769" i="53"/>
  <c r="Q1785" i="53"/>
  <c r="Q1787" i="53"/>
  <c r="Q1820" i="53"/>
  <c r="Q1824" i="53"/>
  <c r="R1851" i="53"/>
  <c r="Q1861" i="53"/>
  <c r="R1874" i="53"/>
  <c r="Q1874" i="53"/>
  <c r="S1880" i="53"/>
  <c r="R1892" i="53"/>
  <c r="Q1903" i="53"/>
  <c r="R1903" i="53"/>
  <c r="R1922" i="53"/>
  <c r="S1922" i="53"/>
  <c r="S1616" i="53"/>
  <c r="S1664" i="53"/>
  <c r="R1670" i="53"/>
  <c r="S1672" i="53"/>
  <c r="S1732" i="53"/>
  <c r="P1776" i="53"/>
  <c r="R1776" i="53" s="1"/>
  <c r="S1776" i="53"/>
  <c r="Q1778" i="53"/>
  <c r="R1778" i="53"/>
  <c r="Q1946" i="53"/>
  <c r="R1946" i="53"/>
  <c r="R1981" i="53"/>
  <c r="Q1981" i="53"/>
  <c r="S2080" i="53"/>
  <c r="P2080" i="53"/>
  <c r="Q2149" i="53"/>
  <c r="R2149" i="53"/>
  <c r="S1630" i="53"/>
  <c r="S1768" i="53"/>
  <c r="R1872" i="53"/>
  <c r="Q1872" i="53"/>
  <c r="Q1906" i="53"/>
  <c r="R1906" i="53"/>
  <c r="R1908" i="53"/>
  <c r="Q1908" i="53"/>
  <c r="R1916" i="53"/>
  <c r="Q1916" i="53"/>
  <c r="R1991" i="53"/>
  <c r="Q1991" i="53"/>
  <c r="R1998" i="53"/>
  <c r="Q1998" i="53"/>
  <c r="Q2039" i="53"/>
  <c r="R2039" i="53"/>
  <c r="Q2066" i="53"/>
  <c r="R2066" i="53"/>
  <c r="Q2088" i="53"/>
  <c r="R2088" i="53"/>
  <c r="R2115" i="53"/>
  <c r="Q2115" i="53"/>
  <c r="R1680" i="53"/>
  <c r="R1693" i="53"/>
  <c r="R1695" i="53"/>
  <c r="Q1705" i="53"/>
  <c r="S1717" i="53"/>
  <c r="R1731" i="53"/>
  <c r="R1882" i="53"/>
  <c r="Q1882" i="53"/>
  <c r="R1940" i="53"/>
  <c r="Q1940" i="53"/>
  <c r="R1953" i="53"/>
  <c r="Q1953" i="53"/>
  <c r="R2007" i="53"/>
  <c r="Q2007" i="53"/>
  <c r="Q2064" i="53"/>
  <c r="R2064" i="53"/>
  <c r="R2111" i="53"/>
  <c r="Q2111" i="53"/>
  <c r="R1588" i="53"/>
  <c r="P1630" i="53"/>
  <c r="R1630" i="53" s="1"/>
  <c r="S1636" i="53"/>
  <c r="Q1661" i="53"/>
  <c r="S1674" i="53"/>
  <c r="Q1680" i="53"/>
  <c r="S1688" i="53"/>
  <c r="P1709" i="53"/>
  <c r="R1709" i="53" s="1"/>
  <c r="R1713" i="53"/>
  <c r="R1724" i="53"/>
  <c r="S1726" i="53"/>
  <c r="Q1729" i="53"/>
  <c r="Q1731" i="53"/>
  <c r="R1733" i="53"/>
  <c r="R1758" i="53"/>
  <c r="Q1764" i="53"/>
  <c r="P1768" i="53"/>
  <c r="R1768" i="53" s="1"/>
  <c r="Q1786" i="53"/>
  <c r="Q1797" i="53"/>
  <c r="Q1799" i="53"/>
  <c r="Q1801" i="53"/>
  <c r="Q1827" i="53"/>
  <c r="R1829" i="53"/>
  <c r="R1835" i="53"/>
  <c r="R1845" i="53"/>
  <c r="Q1845" i="53"/>
  <c r="R1854" i="53"/>
  <c r="R1887" i="53"/>
  <c r="R1891" i="53"/>
  <c r="Q1891" i="53"/>
  <c r="R1904" i="53"/>
  <c r="Q1911" i="53"/>
  <c r="R1911" i="53"/>
  <c r="R1934" i="53"/>
  <c r="R1949" i="53"/>
  <c r="Q1949" i="53"/>
  <c r="R1961" i="53"/>
  <c r="Q1961" i="53"/>
  <c r="R1996" i="53"/>
  <c r="Q1996" i="53"/>
  <c r="Q2026" i="53"/>
  <c r="R2026" i="53"/>
  <c r="R2044" i="53"/>
  <c r="Q2044" i="53"/>
  <c r="R1547" i="53"/>
  <c r="R1554" i="53"/>
  <c r="R1572" i="53"/>
  <c r="R1579" i="53"/>
  <c r="S1626" i="53"/>
  <c r="Q1641" i="53"/>
  <c r="P1645" i="53"/>
  <c r="P1647" i="53"/>
  <c r="R1653" i="53"/>
  <c r="S1665" i="53"/>
  <c r="S1684" i="53"/>
  <c r="S1686" i="53"/>
  <c r="P1692" i="53"/>
  <c r="S1702" i="53"/>
  <c r="P1704" i="53"/>
  <c r="S1712" i="53"/>
  <c r="R1722" i="53"/>
  <c r="Q1735" i="53"/>
  <c r="P1742" i="53"/>
  <c r="P1772" i="53"/>
  <c r="Q1779" i="53"/>
  <c r="Q1790" i="53"/>
  <c r="Q1825" i="53"/>
  <c r="R1831" i="53"/>
  <c r="Q1831" i="53"/>
  <c r="Q1835" i="53"/>
  <c r="Q1848" i="53"/>
  <c r="R1848" i="53"/>
  <c r="R1867" i="53"/>
  <c r="Q1867" i="53"/>
  <c r="R1921" i="53"/>
  <c r="R1932" i="53"/>
  <c r="Q1932" i="53"/>
  <c r="Q1964" i="53"/>
  <c r="R1964" i="53"/>
  <c r="R1999" i="53"/>
  <c r="Q1999" i="53"/>
  <c r="R2083" i="53"/>
  <c r="Q2083" i="53"/>
  <c r="R2098" i="53"/>
  <c r="Q2098" i="53"/>
  <c r="S1722" i="53"/>
  <c r="P1745" i="53"/>
  <c r="R1775" i="53"/>
  <c r="P1777" i="53"/>
  <c r="Q1777" i="53" s="1"/>
  <c r="R1794" i="53"/>
  <c r="Q1794" i="53"/>
  <c r="S1834" i="53"/>
  <c r="P1834" i="53"/>
  <c r="Q1883" i="53"/>
  <c r="R1883" i="53"/>
  <c r="R1894" i="53"/>
  <c r="Q1894" i="53"/>
  <c r="R1896" i="53"/>
  <c r="Q1896" i="53"/>
  <c r="S1926" i="53"/>
  <c r="R1926" i="53"/>
  <c r="R1954" i="53"/>
  <c r="Q1954" i="53"/>
  <c r="R1962" i="53"/>
  <c r="S1551" i="53"/>
  <c r="R1578" i="53"/>
  <c r="S1611" i="53"/>
  <c r="S1615" i="53"/>
  <c r="S1660" i="53"/>
  <c r="R1712" i="53"/>
  <c r="R1725" i="53"/>
  <c r="R1738" i="53"/>
  <c r="S1775" i="53"/>
  <c r="R1838" i="53"/>
  <c r="Q1838" i="53"/>
  <c r="R1846" i="53"/>
  <c r="Q1846" i="53"/>
  <c r="R1950" i="53"/>
  <c r="Q1950" i="53"/>
  <c r="R1997" i="53"/>
  <c r="Q1997" i="53"/>
  <c r="P2068" i="53"/>
  <c r="S2068" i="53"/>
  <c r="R2127" i="53"/>
  <c r="Q2127" i="53"/>
  <c r="Q2129" i="53"/>
  <c r="S1919" i="53"/>
  <c r="R1951" i="53"/>
  <c r="R1959" i="53"/>
  <c r="Q2045" i="53"/>
  <c r="R2067" i="53"/>
  <c r="Q2094" i="53"/>
  <c r="Q2096" i="53"/>
  <c r="Q2099" i="53"/>
  <c r="R2104" i="53"/>
  <c r="R2106" i="53"/>
  <c r="Q2182" i="53"/>
  <c r="R2188" i="53"/>
  <c r="R2190" i="53"/>
  <c r="R2193" i="53"/>
  <c r="Q1994" i="53"/>
  <c r="R2027" i="53"/>
  <c r="Q2034" i="53"/>
  <c r="Q2042" i="53"/>
  <c r="Q2050" i="53"/>
  <c r="P2060" i="53"/>
  <c r="Q2077" i="53"/>
  <c r="Q2128" i="53"/>
  <c r="R2139" i="53"/>
  <c r="Q2195" i="53"/>
  <c r="S1767" i="53"/>
  <c r="S1879" i="53"/>
  <c r="P1919" i="53"/>
  <c r="R1924" i="53"/>
  <c r="R1937" i="53"/>
  <c r="R1963" i="53"/>
  <c r="Q1971" i="53"/>
  <c r="Q1975" i="53"/>
  <c r="Q1985" i="53"/>
  <c r="R2008" i="53"/>
  <c r="R2041" i="53"/>
  <c r="S2069" i="53"/>
  <c r="P2081" i="53"/>
  <c r="R2095" i="53"/>
  <c r="R2125" i="53"/>
  <c r="R2141" i="53"/>
  <c r="Q2161" i="53"/>
  <c r="R2171" i="53"/>
  <c r="R1886" i="53"/>
  <c r="Q2194" i="53"/>
  <c r="Q2196" i="53"/>
  <c r="R1847" i="53"/>
  <c r="Q1884" i="53"/>
  <c r="Q1898" i="53"/>
  <c r="Q1910" i="53"/>
  <c r="Q1921" i="53"/>
  <c r="Q1934" i="53"/>
  <c r="Q1966" i="53"/>
  <c r="S1974" i="53"/>
  <c r="Q1977" i="53"/>
  <c r="Q1979" i="53"/>
  <c r="Q1982" i="53"/>
  <c r="Q1984" i="53"/>
  <c r="Q1989" i="53"/>
  <c r="Q2011" i="53"/>
  <c r="Q2028" i="53"/>
  <c r="Q2030" i="53"/>
  <c r="Q2046" i="53"/>
  <c r="R2051" i="53"/>
  <c r="S2053" i="53"/>
  <c r="Q2073" i="53"/>
  <c r="S2075" i="53"/>
  <c r="Q2092" i="53"/>
  <c r="Q2100" i="53"/>
  <c r="R2117" i="53"/>
  <c r="R2124" i="53"/>
  <c r="R2179" i="53"/>
  <c r="R2189" i="53"/>
  <c r="R1816" i="53"/>
  <c r="R1849" i="53"/>
  <c r="R1856" i="53"/>
  <c r="S1923" i="53"/>
  <c r="R1925" i="53"/>
  <c r="S1962" i="53"/>
  <c r="R2057" i="53"/>
  <c r="R2061" i="53"/>
  <c r="R2082" i="53"/>
  <c r="S2085" i="53"/>
  <c r="S2089" i="53"/>
  <c r="R2148" i="53"/>
  <c r="Q2166" i="53"/>
  <c r="P1599" i="53"/>
  <c r="S1599" i="53"/>
  <c r="R1596" i="53"/>
  <c r="Q1596" i="53"/>
  <c r="R1625" i="53"/>
  <c r="Q1625" i="53"/>
  <c r="S1627" i="53"/>
  <c r="P1627" i="53"/>
  <c r="R1639" i="53"/>
  <c r="S1639" i="53"/>
  <c r="R1677" i="53"/>
  <c r="Q1677" i="53"/>
  <c r="S1546" i="53"/>
  <c r="R1553" i="53"/>
  <c r="S1556" i="53"/>
  <c r="R1558" i="53"/>
  <c r="R1561" i="53"/>
  <c r="Q1564"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S1597" i="53"/>
  <c r="P1597" i="53"/>
  <c r="P1604" i="53"/>
  <c r="S1604" i="53"/>
  <c r="P1610" i="53"/>
  <c r="S161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S1598" i="53"/>
  <c r="P1598" i="53"/>
  <c r="Q1600" i="53"/>
  <c r="Q1606" i="53"/>
  <c r="Q1644" i="53"/>
  <c r="R1644" i="53"/>
  <c r="R1663" i="53"/>
  <c r="Q1663" i="53"/>
  <c r="Q1550" i="53"/>
  <c r="R1577" i="53"/>
  <c r="R1582" i="53"/>
  <c r="R1592" i="53"/>
  <c r="Q1592"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657" i="53"/>
  <c r="R1699" i="53"/>
  <c r="R1726" i="53"/>
  <c r="R1740" i="53"/>
  <c r="Q1740" i="53"/>
  <c r="R1755" i="53"/>
  <c r="R1832" i="53"/>
  <c r="Q1832" i="53"/>
  <c r="P1613" i="53"/>
  <c r="P1640" i="53"/>
  <c r="P1646" i="53"/>
  <c r="P1667" i="53"/>
  <c r="P1690" i="53"/>
  <c r="P1698" i="53"/>
  <c r="S1707" i="53"/>
  <c r="S1714" i="53"/>
  <c r="R1716" i="53"/>
  <c r="R1737" i="53"/>
  <c r="Q1763" i="53"/>
  <c r="Q1766" i="53"/>
  <c r="Q1798" i="53"/>
  <c r="R1808" i="53"/>
  <c r="Q1808" i="53"/>
  <c r="S1697" i="53"/>
  <c r="S1703"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R1614" i="53" l="1"/>
  <c r="Q1612" i="53"/>
  <c r="Q1768" i="53"/>
  <c r="R1777" i="53"/>
  <c r="Q1586" i="53"/>
  <c r="Q1593" i="53"/>
  <c r="R2076" i="53"/>
  <c r="Q1669" i="53"/>
  <c r="Q1651" i="53"/>
  <c r="R1618" i="53"/>
  <c r="Q1570" i="53"/>
  <c r="R1743" i="53"/>
  <c r="Q1965" i="53"/>
  <c r="Q1689" i="53"/>
  <c r="R2000" i="53"/>
  <c r="Q1635" i="53"/>
  <c r="Q1655" i="53"/>
  <c r="Q1709" i="53"/>
  <c r="Q1590" i="53"/>
  <c r="Q1776" i="53"/>
  <c r="Q1630" i="53"/>
  <c r="Q1701" i="53"/>
  <c r="R1773" i="53"/>
  <c r="Q1744" i="53"/>
  <c r="R1569" i="53"/>
  <c r="R1948" i="53"/>
  <c r="R1662" i="53"/>
  <c r="Q1912" i="53"/>
  <c r="R1912" i="53"/>
  <c r="R1919" i="53"/>
  <c r="Q1919" i="53"/>
  <c r="R1692" i="53"/>
  <c r="Q1692" i="53"/>
  <c r="R1772" i="53"/>
  <c r="Q1772" i="53"/>
  <c r="Q1637" i="53"/>
  <c r="R1637" i="53"/>
  <c r="Q1745" i="53"/>
  <c r="R1745" i="53"/>
  <c r="R1742" i="53"/>
  <c r="Q1742" i="53"/>
  <c r="R1834" i="53"/>
  <c r="Q1834" i="53"/>
  <c r="Q1668" i="53"/>
  <c r="R1668" i="53"/>
  <c r="Q2081" i="53"/>
  <c r="R2081" i="53"/>
  <c r="Q1647" i="53"/>
  <c r="R1647" i="53"/>
  <c r="Q1751" i="53"/>
  <c r="R1751" i="53"/>
  <c r="R1704" i="53"/>
  <c r="Q1704" i="53"/>
  <c r="R1645" i="53"/>
  <c r="Q1645" i="53"/>
  <c r="Q1675" i="53"/>
  <c r="R1675" i="53"/>
  <c r="Q2060" i="53"/>
  <c r="R2060" i="53"/>
  <c r="R2068" i="53"/>
  <c r="Q2068" i="53"/>
  <c r="R2080" i="53"/>
  <c r="Q2080" i="53"/>
  <c r="R1697" i="53"/>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Y7" i="36" l="1"/>
  <c r="AY6" i="36" s="1"/>
  <c r="AX7" i="36"/>
  <c r="AX6" i="36" s="1"/>
  <c r="BD7" i="36"/>
  <c r="BD6" i="36" s="1"/>
  <c r="AZ7" i="36" l="1"/>
  <c r="AZ6" i="36" s="1"/>
  <c r="AW7" i="36"/>
  <c r="AV7" i="36"/>
  <c r="AP7" i="36" l="1"/>
  <c r="AS6" i="36"/>
  <c r="AO7" i="36"/>
  <c r="AQ7" i="36"/>
  <c r="BB7" i="36"/>
  <c r="BB6" i="36" s="1"/>
  <c r="BC7" i="36"/>
  <c r="BC6" i="36" s="1"/>
  <c r="AN7" i="36"/>
  <c r="AN6" i="36" s="1"/>
  <c r="K7"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AF7" i="36" l="1"/>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E44" i="27"/>
  <c r="C44" i="27" s="1"/>
  <c r="E45" i="27"/>
  <c r="C45" i="27" s="1"/>
  <c r="E46" i="27"/>
  <c r="C46" i="27" s="1"/>
  <c r="E43" i="27"/>
  <c r="C43" i="27" s="1"/>
  <c r="E41" i="27"/>
  <c r="C41" i="27" s="1"/>
  <c r="E49" i="27"/>
  <c r="C49" i="27" s="1"/>
  <c r="E51" i="27"/>
  <c r="C51" i="27" s="1"/>
  <c r="E54" i="27"/>
  <c r="C54" i="27" s="1"/>
  <c r="E42" i="27"/>
  <c r="C4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s="1"/>
  <c r="E146" i="27"/>
  <c r="C146" i="27" s="1"/>
  <c r="E145" i="27"/>
  <c r="C145" i="27" s="1"/>
  <c r="E144" i="27"/>
  <c r="C144" i="27" s="1"/>
  <c r="E143" i="27"/>
  <c r="C143" i="27" s="1"/>
  <c r="E142" i="27"/>
  <c r="C142" i="27" s="1"/>
  <c r="E141" i="27"/>
  <c r="C141" i="27" s="1"/>
  <c r="E140" i="27"/>
  <c r="C140" i="27" s="1"/>
  <c r="E139" i="27"/>
  <c r="C139" i="27" s="1"/>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s="1"/>
  <c r="E124" i="27"/>
  <c r="C124" i="27" s="1"/>
  <c r="E123" i="27"/>
  <c r="C123" i="27" s="1"/>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s="1"/>
  <c r="E106" i="27"/>
  <c r="C106" i="27" s="1"/>
  <c r="E105" i="27"/>
  <c r="C105" i="27" s="1"/>
  <c r="E104" i="27"/>
  <c r="C104" i="27" s="1"/>
  <c r="E103" i="27"/>
  <c r="C103" i="27" s="1"/>
  <c r="E102" i="27"/>
  <c r="C102" i="27" s="1"/>
  <c r="E101" i="27"/>
  <c r="C101" i="27" s="1"/>
  <c r="E100" i="27"/>
  <c r="C100" i="27" s="1"/>
  <c r="E99" i="27"/>
  <c r="C99" i="27" s="1"/>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s="1"/>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6" i="27"/>
  <c r="C56" i="27" s="1"/>
  <c r="E55" i="27"/>
  <c r="C55" i="27" s="1"/>
  <c r="E53" i="27"/>
  <c r="C53" i="27" s="1"/>
  <c r="E52" i="27"/>
  <c r="C52" i="27" s="1"/>
  <c r="E50" i="27"/>
  <c r="C50" i="27" s="1"/>
  <c r="E48" i="27"/>
  <c r="C48" i="27" s="1"/>
  <c r="E47" i="27"/>
  <c r="C47" i="27" s="1"/>
  <c r="E40" i="27"/>
  <c r="C40" i="27" s="1"/>
  <c r="FP7" i="27"/>
  <c r="FP6" i="27" s="1"/>
  <c r="FO7" i="27"/>
  <c r="FO6" i="27" s="1"/>
  <c r="FN7" i="27"/>
  <c r="FN6" i="27" s="1"/>
  <c r="FM7" i="27"/>
  <c r="FM6" i="27" s="1"/>
  <c r="FL7" i="27"/>
  <c r="FL6" i="27" s="1"/>
  <c r="FK7" i="27"/>
  <c r="FK6" i="27" s="1"/>
  <c r="FJ7" i="27"/>
  <c r="FJ6" i="27" s="1"/>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AA6" i="27" s="1"/>
  <c r="Z7" i="27"/>
  <c r="Y7" i="27"/>
  <c r="Y6" i="27" s="1"/>
  <c r="X7" i="27"/>
  <c r="X6" i="27" s="1"/>
  <c r="W7" i="27"/>
  <c r="W6" i="27" s="1"/>
  <c r="V7" i="27"/>
  <c r="V6" i="27" s="1"/>
  <c r="U7" i="27"/>
  <c r="U6" i="27" s="1"/>
  <c r="T7" i="27"/>
  <c r="T6" i="27" s="1"/>
  <c r="S7" i="27"/>
  <c r="S6" i="27" s="1"/>
  <c r="R7" i="27"/>
  <c r="R6" i="27" s="1"/>
  <c r="Q7" i="27"/>
  <c r="Q6" i="27" s="1"/>
  <c r="P7" i="27"/>
  <c r="O7" i="27"/>
  <c r="O6" i="27" s="1"/>
  <c r="N7" i="27"/>
  <c r="N6" i="27" s="1"/>
  <c r="M7" i="27"/>
  <c r="M6" i="27" s="1"/>
  <c r="L7" i="27"/>
  <c r="L6" i="27" s="1"/>
  <c r="K7" i="27"/>
  <c r="K6" i="27" s="1"/>
  <c r="J7" i="27"/>
  <c r="J6" i="27" s="1"/>
  <c r="I7" i="27"/>
  <c r="H7" i="27"/>
  <c r="G7" i="27"/>
  <c r="E6" i="27" l="1"/>
  <c r="E6"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32" authorId="0" shapeId="0" xr:uid="{D45DDFF7-C709-4786-85F8-DAC9979D0EC9}">
      <text>
        <r>
          <rPr>
            <b/>
            <sz val="9"/>
            <color indexed="81"/>
            <rFont val="Tahoma"/>
            <family val="2"/>
          </rPr>
          <t>Ryan Gille:</t>
        </r>
        <r>
          <rPr>
            <sz val="9"/>
            <color indexed="81"/>
            <rFont val="Tahoma"/>
            <family val="2"/>
          </rPr>
          <t xml:space="preserve">
Carried at 0.00 NMA: the William A. Smith / Isa May Smith Trust interest (base OGL 14) is not supported by the Tract 2 chain of title, which fully allocates the 160.00-acre tract. Lease-register reference retained for HBP analysis — see Needs_Review.</t>
        </r>
      </text>
    </comment>
  </commentList>
</comments>
</file>

<file path=xl/sharedStrings.xml><?xml version="1.0" encoding="utf-8"?>
<sst xmlns="http://schemas.openxmlformats.org/spreadsheetml/2006/main" count="41331" uniqueCount="9758">
  <si>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</si>
  <si>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</si>
  <si>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</si>
  <si>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</si>
  <si>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</si>
  <si>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</si>
  <si>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</si>
  <si>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</si>
  <si>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</si>
  <si>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</si>
  <si>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</si>
  <si>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</si>
  <si>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</si>
  <si>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</si>
  <si>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</si>
  <si>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</si>
  <si>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</si>
  <si>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</si>
  <si>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</si>
  <si>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</si>
  <si>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</si>
  <si>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</si>
  <si>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</si>
  <si>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</si>
  <si>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</si>
  <si>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</si>
  <si>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</si>
  <si>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</si>
  <si>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</si>
  <si>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</si>
  <si>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</si>
  <si>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</si>
  <si>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</si>
  <si>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</si>
  <si>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</si>
  <si>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</si>
  <si>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</si>
  <si>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</si>
  <si>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</si>
  <si>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</si>
  <si>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</si>
  <si>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</si>
  <si>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</si>
  <si>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</si>
  <si>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</si>
  <si>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</si>
  <si>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</si>
  <si>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</si>
  <si>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</si>
  <si>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</si>
  <si>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</si>
  <si>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</si>
  <si>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</si>
  <si>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</si>
  <si>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</si>
  <si>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</si>
  <si>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</si>
  <si>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</si>
  <si>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</si>
  <si>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</si>
  <si>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</si>
  <si>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</si>
  <si>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</si>
  <si>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</si>
  <si>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</si>
  <si>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</si>
  <si>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</si>
  <si>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</si>
  <si>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</si>
  <si>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</si>
  <si>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</si>
  <si>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</si>
  <si>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</si>
  <si>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</si>
  <si>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</si>
  <si>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</si>
  <si>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</si>
  <si>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</si>
  <si>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</si>
  <si>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</si>
  <si>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</si>
  <si>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</si>
  <si>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</si>
  <si>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</si>
  <si>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</si>
  <si>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</si>
  <si>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</si>
  <si>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</si>
  <si>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</si>
  <si>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</si>
  <si>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</si>
  <si>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</si>
  <si>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</si>
  <si>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</si>
  <si>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</si>
  <si>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</si>
  <si>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</si>
  <si>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</si>
  <si>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</si>
  <si>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</si>
  <si>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</si>
  <si>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</si>
  <si>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</si>
  <si>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</si>
  <si>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</si>
  <si>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</si>
  <si>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</si>
  <si>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</si>
  <si>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</si>
  <si>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</si>
  <si>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</si>
  <si>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</si>
  <si>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</si>
  <si>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</si>
  <si>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</si>
  <si>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</si>
  <si>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</si>
  <si>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</si>
  <si>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</si>
  <si>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</si>
  <si>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</si>
  <si>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</si>
  <si>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</si>
  <si>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</si>
  <si>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</si>
  <si>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</si>
  <si>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</si>
  <si>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</si>
  <si>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</si>
  <si>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</si>
  <si>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</si>
  <si>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</si>
  <si>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</si>
  <si>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</si>
  <si>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</si>
  <si>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</si>
  <si>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</si>
  <si>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</si>
  <si>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</si>
  <si>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</si>
  <si>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</si>
  <si>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</si>
  <si>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</si>
  <si>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</si>
  <si>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</si>
  <si>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</si>
  <si>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</si>
  <si>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</si>
  <si>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</si>
  <si>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</si>
  <si>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Mitchell Buonaccorsi Living Trust U/A dated July 9, 2024
1880 Old Salem Road
Watkinsville, GA 30677</t>
  </si>
  <si>
    <t>Ronald Paul Dold
753 Velma Street
Memphis, TN 38104</t>
  </si>
  <si>
    <t>Kevin Warner Johnson Trust
13259 Darwin Lane
Austin, TX 78729</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</si>
  <si>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</si>
  <si>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</si>
  <si>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</si>
  <si>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</si>
  <si>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</si>
  <si>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</si>
  <si>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</si>
  <si>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</si>
  <si>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</si>
  <si>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</si>
  <si>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</si>
  <si>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Brian Herman Kortright</t>
  </si>
  <si>
    <t>Eric Jansen
c/o Hasbany Insurance
254 Pleasant St.
Methuen, MA 01844</t>
  </si>
  <si>
    <t>The William A. Smith and Isa May Smith Family Revocable Trust dated February 26, 2015
33839 Acme Road
Macomb, OK 74852</t>
  </si>
  <si>
    <t>—</t>
  </si>
  <si>
    <t>SE/4 NE/4</t>
  </si>
  <si>
    <t>40 acres, more or less</t>
  </si>
  <si>
    <t>Mark Ashley Daigle Trust
11681 E. 83rd Street N, Apt. C
Owasso, OK 74055</t>
  </si>
  <si>
    <t>Carrie Leeann Mitchell
1880 Old Salem Road
Watkinsville, GA 30677
Nancy Susan Mitchell</t>
  </si>
  <si>
    <t>1, 2</t>
  </si>
  <si>
    <t>E/2 NW/4</t>
  </si>
  <si>
    <t>Dustin Deal, LLC
11182 N. 2030 Rd.
Elk City, OK 73644</t>
  </si>
  <si>
    <t>Calvin Wayne Kirk
Box 524
Cheyenne, Oklahoma 73628</t>
  </si>
  <si>
    <t>William Bryant / Kathy Bryant</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</si>
  <si>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</si>
  <si>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</si>
  <si>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</si>
  <si>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</si>
  <si>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</si>
  <si>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</si>
  <si>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TRACT 7:</t>
  </si>
  <si>
    <t>NE/4 SW/4</t>
  </si>
  <si>
    <t>Pine Tree Energy Partners, LLC</t>
  </si>
  <si>
    <t>Gene G. Williams</t>
  </si>
  <si>
    <t>Gena Williams, Carrie Leeann Williams &amp; Nancy Susan Mitchell (Williams heirs)</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</si>
  <si>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</si>
  <si>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</si>
  <si>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</si>
  <si>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</si>
  <si>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</si>
  <si>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</si>
  <si>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</si>
  <si>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</si>
  <si>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Working Interest:</t>
  </si>
  <si>
    <t>Silver Oak Natural Resources, LLC
5030 N. May Avenue, Suite 125
Oklahoma City, OK 73112</t>
  </si>
  <si>
    <t>Top leases, 3-to-5-yr primaries, exps 2029-2031</t>
  </si>
  <si>
    <t>Alexander #1-31 / wellbore chain</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</si>
  <si>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</si>
  <si>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</si>
  <si>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</si>
  <si>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</si>
  <si>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</si>
  <si>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</si>
  <si>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</si>
  <si>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</si>
  <si>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</si>
  <si>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</si>
  <si>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</si>
  <si>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</si>
  <si>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</si>
  <si>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</si>
  <si>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</si>
  <si>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</si>
  <si>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</si>
  <si>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</si>
  <si>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</si>
  <si>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</si>
  <si>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</si>
  <si>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</si>
  <si>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</si>
  <si>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</si>
  <si>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</si>
  <si>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</si>
  <si>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</si>
  <si>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</si>
  <si>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</si>
  <si>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</si>
  <si>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</si>
  <si>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</si>
  <si>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</si>
  <si>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</si>
  <si>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</si>
  <si>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</si>
  <si>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</si>
  <si>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</si>
  <si>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</si>
  <si>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</si>
  <si>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</si>
  <si>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</si>
  <si>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</si>
  <si>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</si>
  <si>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</si>
  <si>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</si>
  <si>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</si>
  <si>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</si>
  <si>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</si>
  <si>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</si>
  <si>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</si>
  <si>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</si>
  <si>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</si>
  <si>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</si>
  <si>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</si>
  <si>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</si>
  <si>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</si>
  <si>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</si>
  <si>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</si>
  <si>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</si>
  <si>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</si>
  <si>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</si>
  <si>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</si>
  <si>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</si>
  <si>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</si>
  <si>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</si>
  <si>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</si>
  <si>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</si>
  <si>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</si>
  <si>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</si>
  <si>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</si>
  <si>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</si>
  <si>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</si>
  <si>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</si>
  <si>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</si>
  <si>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</si>
  <si>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</si>
  <si>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</si>
  <si>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</si>
  <si>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</si>
  <si>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</si>
  <si>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</si>
  <si>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</si>
  <si>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</si>
  <si>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</si>
  <si>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</si>
  <si>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</si>
  <si>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</si>
  <si>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</si>
  <si>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</si>
  <si>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</si>
  <si>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</si>
  <si>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</si>
  <si>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</si>
  <si>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</si>
  <si>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</si>
  <si>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</si>
  <si>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</si>
  <si>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</si>
  <si>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</si>
  <si>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</si>
  <si>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</si>
  <si>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</si>
  <si>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</si>
  <si>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</si>
  <si>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</si>
  <si>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</si>
  <si>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</si>
  <si>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</si>
  <si>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</si>
  <si>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</si>
  <si>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</si>
  <si>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</si>
  <si>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</si>
  <si>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</si>
  <si>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</si>
  <si>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</si>
  <si>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</si>
  <si>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</si>
  <si>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</si>
  <si>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</si>
  <si>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</si>
  <si>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</si>
  <si>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</si>
  <si>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</si>
  <si>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</si>
  <si>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</si>
  <si>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</si>
  <si>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</si>
  <si>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</si>
  <si>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</si>
  <si>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</si>
  <si>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</si>
  <si>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</si>
  <si>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</si>
  <si>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</si>
  <si>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1816/352</t>
  </si>
  <si>
    <t>Shawn S. Walters</t>
  </si>
  <si>
    <t>1816/374</t>
  </si>
  <si>
    <t>Margaret Kirk</t>
  </si>
  <si>
    <t>S/2 N/2 SW/4, SE/4 SW/4 of 31-12N-24W</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</si>
  <si>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</si>
  <si>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</si>
  <si>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</si>
  <si>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</si>
  <si>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</si>
  <si>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</si>
  <si>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</si>
  <si>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</si>
  <si>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</si>
  <si>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</si>
  <si>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</si>
  <si>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</si>
  <si>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</si>
  <si>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</si>
  <si>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</si>
  <si>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</si>
  <si>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</si>
  <si>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</si>
  <si>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</si>
  <si>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</si>
  <si>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</si>
  <si>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</si>
  <si>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</si>
  <si>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</si>
  <si>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</si>
  <si>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</si>
  <si>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</si>
  <si>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</si>
  <si>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</si>
  <si>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</si>
  <si>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</si>
  <si>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</si>
  <si>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</si>
  <si>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</si>
  <si>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</si>
  <si>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</si>
  <si>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</si>
  <si>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</si>
  <si>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</si>
  <si>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</si>
  <si>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</si>
  <si>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</si>
  <si>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</si>
  <si>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</si>
  <si>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</si>
  <si>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</si>
  <si>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</si>
  <si>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</si>
  <si>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</si>
  <si>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</si>
  <si>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</si>
  <si>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</si>
  <si>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</si>
  <si>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</si>
  <si>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</si>
  <si>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</si>
  <si>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</si>
  <si>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</si>
  <si>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</si>
  <si>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</si>
  <si>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</si>
  <si>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</si>
  <si>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</si>
  <si>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</si>
  <si>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CURRENT OWNER SOURCE</t>
  </si>
  <si>
    <t>ROOT / PATENT / HOMESTEAD</t>
  </si>
  <si>
    <t>1905-000429</t>
  </si>
  <si>
    <t>Deed</t>
  </si>
  <si>
    <t>D6/206</t>
  </si>
  <si>
    <t>Leo Kennett</t>
  </si>
  <si>
    <t>Mack Hawbrook</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</si>
  <si>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</si>
  <si>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</si>
  <si>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</si>
  <si>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</si>
  <si>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</si>
  <si>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</si>
  <si>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</si>
  <si>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</si>
  <si>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</si>
  <si>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</si>
  <si>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</si>
  <si>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</si>
  <si>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</si>
  <si>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</si>
  <si>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</si>
  <si>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</si>
  <si>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</si>
  <si>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</si>
  <si>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</si>
  <si>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</si>
  <si>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</si>
  <si>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</si>
  <si>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</si>
  <si>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</si>
  <si>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</si>
  <si>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</si>
  <si>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</si>
  <si>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</si>
  <si>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</si>
  <si>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</si>
  <si>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</si>
  <si>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</si>
  <si>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</si>
  <si>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</si>
  <si>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</si>
  <si>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</si>
  <si>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</si>
  <si>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</si>
  <si>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</si>
  <si>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</si>
  <si>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</si>
  <si>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</si>
  <si>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</si>
  <si>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</si>
  <si>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</si>
  <si>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</si>
  <si>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</si>
  <si>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</si>
  <si>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</si>
  <si>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</si>
  <si>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</si>
  <si>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</si>
  <si>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</si>
  <si>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</si>
  <si>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</si>
  <si>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</si>
  <si>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</si>
  <si>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</si>
  <si>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</si>
  <si>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</si>
  <si>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</si>
  <si>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</si>
  <si>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</si>
  <si>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</si>
  <si>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</si>
  <si>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</si>
  <si>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</si>
  <si>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</si>
  <si>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</si>
  <si>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</si>
  <si>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</si>
  <si>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</si>
  <si>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</si>
  <si>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</si>
  <si>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</si>
  <si>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</si>
  <si>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</si>
  <si>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</si>
  <si>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</si>
  <si>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</si>
  <si>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</si>
  <si>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</si>
  <si>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</si>
  <si>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</si>
  <si>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</si>
  <si>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</si>
  <si>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</si>
  <si>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</si>
  <si>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</si>
  <si>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</si>
  <si>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</si>
  <si>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</si>
  <si>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</si>
  <si>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</si>
  <si>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</si>
  <si>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</si>
  <si>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</si>
  <si>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</si>
  <si>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</si>
  <si>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</si>
  <si>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</si>
  <si>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</si>
  <si>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</si>
  <si>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1927-000706</t>
  </si>
  <si>
    <t>D38/162</t>
  </si>
  <si>
    <t>Mark Hambrook, (Widower)</t>
  </si>
  <si>
    <t>Panhandle Co-operative Royalty Company</t>
  </si>
  <si>
    <t>W/2 NW/4 of 31-12N-24W</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</si>
  <si>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</si>
  <si>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</si>
  <si>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</si>
  <si>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</si>
  <si>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</si>
  <si>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</si>
  <si>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</si>
  <si>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</si>
  <si>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</si>
  <si>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</si>
  <si>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</si>
  <si>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</si>
  <si>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</si>
  <si>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</si>
  <si>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</si>
  <si>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</si>
  <si>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</si>
  <si>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</si>
  <si>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</si>
  <si>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</si>
  <si>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</si>
  <si>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</si>
  <si>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</si>
  <si>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</si>
  <si>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</si>
  <si>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</si>
  <si>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</si>
  <si>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</si>
  <si>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</si>
  <si>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</si>
  <si>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</si>
  <si>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</si>
  <si>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</si>
  <si>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</si>
  <si>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</si>
  <si>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</si>
  <si>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</si>
  <si>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</si>
  <si>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</si>
  <si>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</si>
  <si>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</si>
  <si>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</si>
  <si>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</si>
  <si>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</si>
  <si>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</si>
  <si>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</si>
  <si>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</si>
  <si>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</si>
  <si>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</si>
  <si>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</si>
  <si>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</si>
  <si>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</si>
  <si>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</si>
  <si>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</si>
  <si>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</si>
  <si>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</si>
  <si>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</si>
  <si>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</si>
  <si>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</si>
  <si>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</si>
  <si>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</si>
  <si>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</si>
  <si>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</si>
  <si>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</si>
  <si>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</si>
  <si>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</si>
  <si>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</si>
  <si>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</si>
  <si>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</si>
  <si>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</si>
  <si>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</si>
  <si>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</si>
  <si>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</si>
  <si>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</si>
  <si>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</si>
  <si>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</si>
  <si>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</si>
  <si>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</si>
  <si>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</si>
  <si>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</si>
  <si>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</si>
  <si>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</si>
  <si>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</si>
  <si>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</si>
  <si>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</si>
  <si>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</si>
  <si>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</si>
  <si>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</si>
  <si>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</si>
  <si>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</si>
  <si>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</si>
  <si>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</si>
  <si>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</si>
  <si>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2, 3, 5, 6, 7</t>
  </si>
  <si>
    <t>1949-003394</t>
  </si>
  <si>
    <t>QCD5/92</t>
  </si>
  <si>
    <t>A. H. Douglas</t>
  </si>
  <si>
    <t>S/2 N/2 SW/4, SW/4 SW/4, SE/4 SW/4 of 31-12N-24W</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</si>
  <si>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</si>
  <si>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</si>
  <si>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</si>
  <si>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</si>
  <si>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</si>
  <si>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</si>
  <si>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</si>
  <si>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</si>
  <si>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</si>
  <si>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</si>
  <si>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</si>
  <si>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</si>
  <si>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</si>
  <si>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</si>
  <si>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</si>
  <si>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</si>
  <si>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</si>
  <si>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</si>
  <si>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</si>
  <si>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</si>
  <si>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</si>
  <si>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</si>
  <si>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</si>
  <si>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</si>
  <si>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</si>
  <si>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</si>
  <si>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</si>
  <si>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</si>
  <si>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</si>
  <si>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</si>
  <si>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</si>
  <si>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</si>
  <si>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</si>
  <si>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</si>
  <si>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</si>
  <si>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</si>
  <si>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</si>
  <si>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</si>
  <si>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</si>
  <si>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</si>
  <si>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</si>
  <si>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</si>
  <si>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</si>
  <si>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</si>
  <si>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</si>
  <si>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</si>
  <si>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</si>
  <si>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</si>
  <si>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</si>
  <si>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</si>
  <si>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</si>
  <si>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</si>
  <si>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</si>
  <si>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</si>
  <si>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</si>
  <si>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</si>
  <si>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</si>
  <si>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</si>
  <si>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</si>
  <si>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</si>
  <si>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</si>
  <si>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</si>
  <si>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</si>
  <si>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</si>
  <si>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</si>
  <si>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</si>
  <si>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OKCountyRecords: 1968-003144</t>
  </si>
  <si>
    <t>ADDRESS SOURCE LIKELY</t>
  </si>
  <si>
    <t>1970-003015</t>
  </si>
  <si>
    <t>115/485</t>
  </si>
  <si>
    <t>Marie Lister,
Robert O. Lister Jr.</t>
  </si>
  <si>
    <t>W. V. Lister</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</si>
  <si>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</si>
  <si>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</si>
  <si>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</si>
  <si>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</si>
  <si>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</si>
  <si>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</si>
  <si>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</si>
  <si>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</si>
  <si>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</si>
  <si>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</si>
  <si>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</si>
  <si>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</si>
  <si>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</si>
  <si>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</si>
  <si>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</si>
  <si>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</si>
  <si>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</si>
  <si>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</si>
  <si>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</si>
  <si>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</si>
  <si>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</si>
  <si>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</si>
  <si>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</si>
  <si>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</si>
  <si>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</si>
  <si>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</si>
  <si>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</si>
  <si>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</si>
  <si>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</si>
  <si>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</si>
  <si>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</si>
  <si>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</si>
  <si>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</si>
  <si>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</si>
  <si>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</si>
  <si>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</si>
  <si>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</si>
  <si>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</si>
  <si>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</si>
  <si>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</si>
  <si>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</si>
  <si>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</si>
  <si>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</si>
  <si>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</si>
  <si>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</si>
  <si>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</si>
  <si>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</si>
  <si>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</si>
  <si>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</si>
  <si>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</si>
  <si>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</si>
  <si>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</si>
  <si>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</si>
  <si>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</si>
  <si>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</si>
  <si>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</si>
  <si>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</si>
  <si>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</si>
  <si>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</si>
  <si>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</si>
  <si>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</si>
  <si>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</si>
  <si>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</si>
  <si>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</si>
  <si>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</si>
  <si>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</si>
  <si>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</si>
  <si>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</si>
  <si>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</si>
  <si>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</si>
  <si>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</si>
  <si>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</si>
  <si>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</si>
  <si>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</si>
  <si>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</si>
  <si>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</si>
  <si>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</si>
  <si>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</si>
  <si>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</si>
  <si>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</si>
  <si>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</si>
  <si>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</si>
  <si>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</si>
  <si>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</si>
  <si>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</si>
  <si>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</si>
  <si>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</si>
  <si>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</si>
  <si>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</si>
  <si>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</si>
  <si>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</si>
  <si>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</si>
  <si>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</si>
  <si>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</si>
  <si>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</si>
  <si>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</si>
  <si>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</si>
  <si>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</si>
  <si>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</si>
  <si>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</si>
  <si>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</si>
  <si>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</si>
  <si>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</si>
  <si>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</si>
  <si>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</si>
  <si>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</si>
  <si>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</si>
  <si>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</si>
  <si>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</si>
  <si>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</si>
  <si>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</si>
  <si>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</si>
  <si>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</si>
  <si>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</si>
  <si>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</si>
  <si>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</si>
  <si>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</si>
  <si>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</si>
  <si>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</si>
  <si>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</si>
  <si>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</si>
  <si>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</si>
  <si>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</si>
  <si>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</si>
  <si>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</si>
  <si>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</si>
  <si>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</si>
  <si>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</si>
  <si>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</si>
  <si>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</si>
  <si>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</si>
  <si>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</si>
  <si>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</si>
  <si>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</si>
  <si>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</si>
  <si>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</si>
  <si>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</si>
  <si>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</si>
  <si>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</si>
  <si>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</si>
  <si>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</si>
  <si>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</si>
  <si>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</si>
  <si>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</si>
  <si>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</si>
  <si>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</si>
  <si>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</si>
  <si>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</si>
  <si>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</si>
  <si>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</si>
  <si>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</si>
  <si>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</si>
  <si>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</si>
  <si>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</si>
  <si>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</si>
  <si>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</si>
  <si>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</si>
  <si>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</si>
  <si>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</si>
  <si>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</si>
  <si>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</si>
  <si>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</si>
  <si>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</si>
  <si>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</si>
  <si>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</si>
  <si>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</si>
  <si>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</si>
  <si>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</si>
  <si>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</si>
  <si>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</si>
  <si>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</si>
  <si>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</si>
  <si>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</si>
  <si>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</si>
  <si>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</si>
  <si>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</si>
  <si>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</si>
  <si>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</si>
  <si>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</si>
  <si>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</si>
  <si>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</si>
  <si>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</si>
  <si>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</si>
  <si>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</si>
  <si>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</si>
  <si>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</si>
  <si>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</si>
  <si>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</si>
  <si>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</si>
  <si>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</si>
  <si>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</si>
  <si>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</si>
  <si>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</si>
  <si>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</si>
  <si>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</si>
  <si>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</si>
  <si>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</si>
  <si>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</si>
  <si>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</si>
  <si>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</si>
  <si>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</si>
  <si>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</si>
  <si>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</si>
  <si>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</si>
  <si>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</si>
  <si>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</si>
  <si>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</si>
  <si>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</si>
  <si>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</si>
  <si>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</si>
  <si>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</si>
  <si>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</si>
  <si>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</si>
  <si>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</si>
  <si>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</si>
  <si>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</si>
  <si>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</si>
  <si>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</si>
  <si>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</si>
  <si>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1985-006556</t>
  </si>
  <si>
    <t>751/68</t>
  </si>
  <si>
    <t>1985-007068</t>
  </si>
  <si>
    <t>Trustee's Deed</t>
  </si>
  <si>
    <t>756/16</t>
  </si>
  <si>
    <t>Liberty National Bank &amp; Trust Company, Trustee of C. W. Hall, Deceased</t>
  </si>
  <si>
    <t>Darlene Hall Cox, 3/4,
Sunya Lee Westkaemper, 1/4</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</si>
  <si>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</si>
  <si>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</si>
  <si>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</si>
  <si>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</si>
  <si>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</si>
  <si>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</si>
  <si>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</si>
  <si>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</si>
  <si>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</si>
  <si>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</si>
  <si>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</si>
  <si>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</si>
  <si>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</si>
  <si>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</si>
  <si>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</si>
  <si>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</si>
  <si>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</si>
  <si>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</si>
  <si>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</si>
  <si>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</si>
  <si>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</si>
  <si>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</si>
  <si>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</si>
  <si>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</si>
  <si>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</si>
  <si>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</si>
  <si>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</si>
  <si>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</si>
  <si>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</si>
  <si>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</si>
  <si>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</si>
  <si>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</si>
  <si>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</si>
  <si>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</si>
  <si>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</si>
  <si>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</si>
  <si>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</si>
  <si>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</si>
  <si>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</si>
  <si>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</si>
  <si>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</si>
  <si>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</si>
  <si>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</si>
  <si>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</si>
  <si>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</si>
  <si>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</si>
  <si>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</si>
  <si>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</si>
  <si>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</si>
  <si>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</si>
  <si>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</si>
  <si>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</si>
  <si>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</si>
  <si>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</si>
  <si>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</si>
  <si>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</si>
  <si>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</si>
  <si>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</si>
  <si>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</si>
  <si>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</si>
  <si>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</si>
  <si>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</si>
  <si>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</si>
  <si>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</si>
  <si>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</si>
  <si>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</si>
  <si>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</si>
  <si>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</si>
  <si>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</si>
  <si>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</si>
  <si>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</si>
  <si>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</si>
  <si>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</si>
  <si>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</si>
  <si>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</si>
  <si>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</si>
  <si>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</si>
  <si>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</si>
  <si>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</si>
  <si>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</si>
  <si>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</si>
  <si>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</si>
  <si>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</si>
  <si>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</si>
  <si>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</si>
  <si>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</si>
  <si>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</si>
  <si>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</si>
  <si>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</si>
  <si>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</si>
  <si>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</si>
  <si>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</si>
  <si>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</si>
  <si>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</si>
  <si>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</si>
  <si>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</si>
  <si>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</si>
  <si>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</si>
  <si>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</si>
  <si>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</si>
  <si>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</si>
  <si>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</si>
  <si>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</si>
  <si>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</si>
  <si>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</si>
  <si>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</si>
  <si>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</si>
  <si>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</si>
  <si>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</si>
  <si>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</si>
  <si>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</si>
  <si>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</si>
  <si>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</si>
  <si>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</si>
  <si>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</si>
  <si>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</si>
  <si>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</si>
  <si>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</si>
  <si>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</si>
  <si>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</si>
  <si>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</si>
  <si>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</si>
  <si>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</si>
  <si>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</si>
  <si>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</si>
  <si>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</si>
  <si>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</si>
  <si>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</si>
  <si>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</si>
  <si>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</si>
  <si>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</si>
  <si>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</si>
  <si>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</si>
  <si>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</si>
  <si>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</si>
  <si>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</si>
  <si>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</si>
  <si>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</si>
  <si>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</si>
  <si>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</si>
  <si>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</si>
  <si>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</si>
  <si>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</si>
  <si>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</si>
  <si>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</si>
  <si>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</si>
  <si>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</si>
  <si>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</si>
  <si>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</si>
  <si>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</si>
  <si>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</si>
  <si>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</si>
  <si>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</si>
  <si>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</si>
  <si>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</si>
  <si>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</si>
  <si>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</si>
  <si>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</si>
  <si>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</si>
  <si>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</si>
  <si>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</si>
  <si>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</si>
  <si>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</si>
  <si>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</si>
  <si>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</si>
  <si>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</si>
  <si>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</si>
  <si>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</si>
  <si>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</si>
  <si>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</si>
  <si>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</si>
  <si>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</si>
  <si>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</si>
  <si>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</si>
  <si>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</si>
  <si>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</si>
  <si>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</si>
  <si>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</si>
  <si>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</si>
  <si>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</si>
  <si>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</si>
  <si>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</si>
  <si>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</si>
  <si>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</si>
  <si>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</si>
  <si>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</si>
  <si>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</si>
  <si>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</si>
  <si>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</si>
  <si>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</si>
  <si>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</si>
  <si>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</si>
  <si>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</si>
  <si>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</si>
  <si>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</si>
  <si>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</si>
  <si>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</si>
  <si>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</si>
  <si>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</si>
  <si>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</si>
  <si>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</si>
  <si>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</si>
  <si>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</si>
  <si>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</si>
  <si>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</si>
  <si>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</si>
  <si>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</si>
  <si>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</si>
  <si>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</si>
  <si>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</si>
  <si>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</si>
  <si>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</si>
  <si>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</si>
  <si>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</si>
  <si>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</si>
  <si>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</si>
  <si>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</si>
  <si>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</si>
  <si>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</si>
  <si>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</si>
  <si>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</si>
  <si>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</si>
  <si>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</si>
  <si>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</si>
  <si>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</si>
  <si>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</si>
  <si>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</si>
  <si>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</si>
  <si>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</si>
  <si>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</si>
  <si>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</si>
  <si>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</si>
  <si>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</si>
  <si>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</si>
  <si>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</si>
  <si>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</si>
  <si>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</si>
  <si>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</si>
  <si>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</si>
  <si>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</si>
  <si>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</si>
  <si>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</si>
  <si>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</si>
  <si>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</si>
  <si>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</si>
  <si>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</si>
  <si>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</si>
  <si>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</si>
  <si>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</si>
  <si>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</si>
  <si>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</si>
  <si>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</si>
  <si>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1991-000858</t>
  </si>
  <si>
    <t>1194/257</t>
  </si>
  <si>
    <t>Alpine Investments, Inc.</t>
  </si>
  <si>
    <t>Estate of Dwight J. Wilson, deceased</t>
  </si>
  <si>
    <t>1991-002734</t>
  </si>
  <si>
    <t>1218/1</t>
  </si>
  <si>
    <t>Umc Petroleum Corp - 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</si>
  <si>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</si>
  <si>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</si>
  <si>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</si>
  <si>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</si>
  <si>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</si>
  <si>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</si>
  <si>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</si>
  <si>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</si>
  <si>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</si>
  <si>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</si>
  <si>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</si>
  <si>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</si>
  <si>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</si>
  <si>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</si>
  <si>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</si>
  <si>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</si>
  <si>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</si>
  <si>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</si>
  <si>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</si>
  <si>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</si>
  <si>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</si>
  <si>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</si>
  <si>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</si>
  <si>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</si>
  <si>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</si>
  <si>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</si>
  <si>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</si>
  <si>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</si>
  <si>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</si>
  <si>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</si>
  <si>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</si>
  <si>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</si>
  <si>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</si>
  <si>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</si>
  <si>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</si>
  <si>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</si>
  <si>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</si>
  <si>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</si>
  <si>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</si>
  <si>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</si>
  <si>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</si>
  <si>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</si>
  <si>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</si>
  <si>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</si>
  <si>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</si>
  <si>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</si>
  <si>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</si>
  <si>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</si>
  <si>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</si>
  <si>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</si>
  <si>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</si>
  <si>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</si>
  <si>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</si>
  <si>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</si>
  <si>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</si>
  <si>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</si>
  <si>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</si>
  <si>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</si>
  <si>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</si>
  <si>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</si>
  <si>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</si>
  <si>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</si>
  <si>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</si>
  <si>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</si>
  <si>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</si>
  <si>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</si>
  <si>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</si>
  <si>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</si>
  <si>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</si>
  <si>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</si>
  <si>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</si>
  <si>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</si>
  <si>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</si>
  <si>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</si>
  <si>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</si>
  <si>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</si>
  <si>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</si>
  <si>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</si>
  <si>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</si>
  <si>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</si>
  <si>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</si>
  <si>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</si>
  <si>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</si>
  <si>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</si>
  <si>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</si>
  <si>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</si>
  <si>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</si>
  <si>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</si>
  <si>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</si>
  <si>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</si>
  <si>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</si>
  <si>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</si>
  <si>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</si>
  <si>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</si>
  <si>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</si>
  <si>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</si>
  <si>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</si>
  <si>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</si>
  <si>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</si>
  <si>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</si>
  <si>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</si>
  <si>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</si>
  <si>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</si>
  <si>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</si>
  <si>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</si>
  <si>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</si>
  <si>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</si>
  <si>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</si>
  <si>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</si>
  <si>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</si>
  <si>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</si>
  <si>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</si>
  <si>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</si>
  <si>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</si>
  <si>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</si>
  <si>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</si>
  <si>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</si>
  <si>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</si>
  <si>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</si>
  <si>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</si>
  <si>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</si>
  <si>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</si>
  <si>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</si>
  <si>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</si>
  <si>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</si>
  <si>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</si>
  <si>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</si>
  <si>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</si>
  <si>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</si>
  <si>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</si>
  <si>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</si>
  <si>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</si>
  <si>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</si>
  <si>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</si>
  <si>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</si>
  <si>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</si>
  <si>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</si>
  <si>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</si>
  <si>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</si>
  <si>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</si>
  <si>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</si>
  <si>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</si>
  <si>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</si>
  <si>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</si>
  <si>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</si>
  <si>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</si>
  <si>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</si>
  <si>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</si>
  <si>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</si>
  <si>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</si>
  <si>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</si>
  <si>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</si>
  <si>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</si>
  <si>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</si>
  <si>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</si>
  <si>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</si>
  <si>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</si>
  <si>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</si>
  <si>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</si>
  <si>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</si>
  <si>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</si>
  <si>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</si>
  <si>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</si>
  <si>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</si>
  <si>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</si>
  <si>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</si>
  <si>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</si>
  <si>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</si>
  <si>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</si>
  <si>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</si>
  <si>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</si>
  <si>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</si>
  <si>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</si>
  <si>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</si>
  <si>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</si>
  <si>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</si>
  <si>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</si>
  <si>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</si>
  <si>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</si>
  <si>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</si>
  <si>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</si>
  <si>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</si>
  <si>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</si>
  <si>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</si>
  <si>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</si>
  <si>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</si>
  <si>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</si>
  <si>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</si>
  <si>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</si>
  <si>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</si>
  <si>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</si>
  <si>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</si>
  <si>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</si>
  <si>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</si>
  <si>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</si>
  <si>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</si>
  <si>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</si>
  <si>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</si>
  <si>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</si>
  <si>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</si>
  <si>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</si>
  <si>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</si>
  <si>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</si>
  <si>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</si>
  <si>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</si>
  <si>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</si>
  <si>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</si>
  <si>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</si>
  <si>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</si>
  <si>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</si>
  <si>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</si>
  <si>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</si>
  <si>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</si>
  <si>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</si>
  <si>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</si>
  <si>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</si>
  <si>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</si>
  <si>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</si>
  <si>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</si>
  <si>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</si>
  <si>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</si>
  <si>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</si>
  <si>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</si>
  <si>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</si>
  <si>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</si>
  <si>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</si>
  <si>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</si>
  <si>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</si>
  <si>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</si>
  <si>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</si>
  <si>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</si>
  <si>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</si>
  <si>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</si>
  <si>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</si>
  <si>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</si>
  <si>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</si>
  <si>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</si>
  <si>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</si>
  <si>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</si>
  <si>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</si>
  <si>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</si>
  <si>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</si>
  <si>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</si>
  <si>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</si>
  <si>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</si>
  <si>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</si>
  <si>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</si>
  <si>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</si>
  <si>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</si>
  <si>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</si>
  <si>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</si>
  <si>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</si>
  <si>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</si>
  <si>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</si>
  <si>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</si>
  <si>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</si>
  <si>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</si>
  <si>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</si>
  <si>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</si>
  <si>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</si>
  <si>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</si>
  <si>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</si>
  <si>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</si>
  <si>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</si>
  <si>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</si>
  <si>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</si>
  <si>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</si>
  <si>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</si>
  <si>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</si>
  <si>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</si>
  <si>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</si>
  <si>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</si>
  <si>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</si>
  <si>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</si>
  <si>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</si>
  <si>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</si>
  <si>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</si>
  <si>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</si>
  <si>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</si>
  <si>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</si>
  <si>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</si>
  <si>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</si>
  <si>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</si>
  <si>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</si>
  <si>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</si>
  <si>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</si>
  <si>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</si>
  <si>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</si>
  <si>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</si>
  <si>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</si>
  <si>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</si>
  <si>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</si>
  <si>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</si>
  <si>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</si>
  <si>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</si>
  <si>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</si>
  <si>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</si>
  <si>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</si>
  <si>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</si>
  <si>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</si>
  <si>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</si>
  <si>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</si>
  <si>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</si>
  <si>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</si>
  <si>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</si>
  <si>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</si>
  <si>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</si>
  <si>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</si>
  <si>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</si>
  <si>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</si>
  <si>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</si>
  <si>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</si>
  <si>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</si>
  <si>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</si>
  <si>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</si>
  <si>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</si>
  <si>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</si>
  <si>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</si>
  <si>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</si>
  <si>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</si>
  <si>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</si>
  <si>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</si>
  <si>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</si>
  <si>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</si>
  <si>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</si>
  <si>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</si>
  <si>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</si>
  <si>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</si>
  <si>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</si>
  <si>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2004-000580</t>
  </si>
  <si>
    <t>Hans W. Jensen
317 Major Way
Sun Prairie, WI 53590</t>
  </si>
  <si>
    <t>2004-000721</t>
  </si>
  <si>
    <t>Juanita M. Wolff
P. O. Box 182
Sioux City, IA 51102</t>
  </si>
  <si>
    <t>2004-000582</t>
  </si>
  <si>
    <t>Tim E. Jensen
5673 Doschadis
Waterloo, WI 53594</t>
  </si>
  <si>
    <t>2004-000579</t>
  </si>
  <si>
    <t>Wilda E. Jensen
317 Major Way
Sun Prairie, WI 53590</t>
  </si>
  <si>
    <t>2006-001223</t>
  </si>
  <si>
    <t>2004-000720</t>
  </si>
  <si>
    <t xml:space="preserve">Clarence C. Bain, Trustee of the CDB Trust dated January 10, 1994
3236 West Cactus Road
Phoenix, AZ 85029
</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</si>
  <si>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</si>
  <si>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</si>
  <si>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</si>
  <si>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</si>
  <si>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</si>
  <si>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</si>
  <si>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</si>
  <si>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</si>
  <si>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</si>
  <si>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</si>
  <si>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</si>
  <si>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</si>
  <si>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</si>
  <si>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</si>
  <si>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</si>
  <si>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</si>
  <si>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</si>
  <si>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</si>
  <si>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</si>
  <si>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</si>
  <si>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</si>
  <si>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</si>
  <si>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</si>
  <si>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2004-002305</t>
  </si>
  <si>
    <t>1745/48</t>
  </si>
  <si>
    <t>B&amp;W Exploration, Inc.</t>
  </si>
  <si>
    <t>E/2 NW/4, S/2 of Lot 3, Lot 4, N/2 NE/4, N/2 NE/4 SW/4, NE/4 SE/4, S/2 NE/4 SW/4, SE/4 NE/4, SE/4 SW/4 of 31-12N-24W</t>
  </si>
  <si>
    <t>ARTI in OGLs at 1736/592, 1736/594, 1736/600, 1736/602,</t>
  </si>
  <si>
    <t>1, 2, 3, 4, 5, 7, 8</t>
  </si>
  <si>
    <t>2004-000880</t>
  </si>
  <si>
    <t>Sandra Lorrain York
PO Box 34
Fort Cobb, OK 73038</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</si>
  <si>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</si>
  <si>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</si>
  <si>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</si>
  <si>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</si>
  <si>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</si>
  <si>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</si>
  <si>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</si>
  <si>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</si>
  <si>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</si>
  <si>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</si>
  <si>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</si>
  <si>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</si>
  <si>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</si>
  <si>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</si>
  <si>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</si>
  <si>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</si>
  <si>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</si>
  <si>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</si>
  <si>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</si>
  <si>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</si>
  <si>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</si>
  <si>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</si>
  <si>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</si>
  <si>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</si>
  <si>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</si>
  <si>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</si>
  <si>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</si>
  <si>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</si>
  <si>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</si>
  <si>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</si>
  <si>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</si>
  <si>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</si>
  <si>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</si>
  <si>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</si>
  <si>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</si>
  <si>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</si>
  <si>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</si>
  <si>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</si>
  <si>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</si>
  <si>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</si>
  <si>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</si>
  <si>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</si>
  <si>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</si>
  <si>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</si>
  <si>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</si>
  <si>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</si>
  <si>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</si>
  <si>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</si>
  <si>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</si>
  <si>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</si>
  <si>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</si>
  <si>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</si>
  <si>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</si>
  <si>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</si>
  <si>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</si>
  <si>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</si>
  <si>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</si>
  <si>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</si>
  <si>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</si>
  <si>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</si>
  <si>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</si>
  <si>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</si>
  <si>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</si>
  <si>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</si>
  <si>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</si>
  <si>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</si>
  <si>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</si>
  <si>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</si>
  <si>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</si>
  <si>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</si>
  <si>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</si>
  <si>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</si>
  <si>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</si>
  <si>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</si>
  <si>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</si>
  <si>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</si>
  <si>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</si>
  <si>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</si>
  <si>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</si>
  <si>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</si>
  <si>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</si>
  <si>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</si>
  <si>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</si>
  <si>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</si>
  <si>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</si>
  <si>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</si>
  <si>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</si>
  <si>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</si>
  <si>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</si>
  <si>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</si>
  <si>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</si>
  <si>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</si>
  <si>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</si>
  <si>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</si>
  <si>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</si>
  <si>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</si>
  <si>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</si>
  <si>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</si>
  <si>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</si>
  <si>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</si>
  <si>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</si>
  <si>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</si>
  <si>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</si>
  <si>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</si>
  <si>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</si>
  <si>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</si>
  <si>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</si>
  <si>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</si>
  <si>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</si>
  <si>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</si>
  <si>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</si>
  <si>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</si>
  <si>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</si>
  <si>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</si>
  <si>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</si>
  <si>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</si>
  <si>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</si>
  <si>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</si>
  <si>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</si>
  <si>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</si>
  <si>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</si>
  <si>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</si>
  <si>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</si>
  <si>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</si>
  <si>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</si>
  <si>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</si>
  <si>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</si>
  <si>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</si>
  <si>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</si>
  <si>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</si>
  <si>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</si>
  <si>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</si>
  <si>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</si>
  <si>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</si>
  <si>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</si>
  <si>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</si>
  <si>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</si>
  <si>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</si>
  <si>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</si>
  <si>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</si>
  <si>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</si>
  <si>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</si>
  <si>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</si>
  <si>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</si>
  <si>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</si>
  <si>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</si>
  <si>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</si>
  <si>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</si>
  <si>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</si>
  <si>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</si>
  <si>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</si>
  <si>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</si>
  <si>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</si>
  <si>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</si>
  <si>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</si>
  <si>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</si>
  <si>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</si>
  <si>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</si>
  <si>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</si>
  <si>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</si>
  <si>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</si>
  <si>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</si>
  <si>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</si>
  <si>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</si>
  <si>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</si>
  <si>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</si>
  <si>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</si>
  <si>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</si>
  <si>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</si>
  <si>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</si>
  <si>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</si>
  <si>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</si>
  <si>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</si>
  <si>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</si>
  <si>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</si>
  <si>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</si>
  <si>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</si>
  <si>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</si>
  <si>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</si>
  <si>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</si>
  <si>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</si>
  <si>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</si>
  <si>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</si>
  <si>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</si>
  <si>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</si>
  <si>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</si>
  <si>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</si>
  <si>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</si>
  <si>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</si>
  <si>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</si>
  <si>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</si>
  <si>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</si>
  <si>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</si>
  <si>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</si>
  <si>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</si>
  <si>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</si>
  <si>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</si>
  <si>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</si>
  <si>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</si>
  <si>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</si>
  <si>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</si>
  <si>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</si>
  <si>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</si>
  <si>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</si>
  <si>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</si>
  <si>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</si>
  <si>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2005-008515</t>
  </si>
  <si>
    <t xml:space="preserve">Shawn S. Walters
Rt. 1, Box 1660
Canute, OK 73626
</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</si>
  <si>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</si>
  <si>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</si>
  <si>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</si>
  <si>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</si>
  <si>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</si>
  <si>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</si>
  <si>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</si>
  <si>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</si>
  <si>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</si>
  <si>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</si>
  <si>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</si>
  <si>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</si>
  <si>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</si>
  <si>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</si>
  <si>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</si>
  <si>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</si>
  <si>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</si>
  <si>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</si>
  <si>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</si>
  <si>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</si>
  <si>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</si>
  <si>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</si>
  <si>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</si>
  <si>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2006-000936</t>
  </si>
  <si>
    <t>David S. Silverberg
26 W. 45th
Sioux City, IA 51101</t>
  </si>
  <si>
    <t>SW/4 NE/4, W/2 SE/4, SE/4 SE/4, ada S/2 SE/4, NW/4 SE/4, SW/4 NE/4 of 31-12N-24W</t>
  </si>
  <si>
    <t>2006-000939</t>
  </si>
  <si>
    <t>Lyle T. Ibeling
740 Herron Court
Waterloo, WI 53594</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</si>
  <si>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</si>
  <si>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</si>
  <si>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</si>
  <si>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</si>
  <si>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</si>
  <si>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</si>
  <si>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</si>
  <si>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</si>
  <si>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</si>
  <si>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</si>
  <si>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Lot 4, S/2 N/2 SW/4 ada S/2 of Lot 3, S/2 NE/4 SW/4, SE/4 SW/4 of 31-12N-24W</t>
  </si>
  <si>
    <t>2006-000766</t>
  </si>
  <si>
    <t>1822/17</t>
  </si>
  <si>
    <t>Assigns all right, title and interest in and to the Oil and Gas Lease recorded at 1816/352</t>
  </si>
  <si>
    <t>2006-000938</t>
  </si>
  <si>
    <t xml:space="preserve">Charles D. Ray
P.O. Box 51608
Midland, TX 79710
</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</si>
  <si>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</si>
  <si>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</si>
  <si>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</si>
  <si>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</si>
  <si>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</si>
  <si>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</si>
  <si>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</si>
  <si>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</si>
  <si>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</si>
  <si>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</si>
  <si>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</si>
  <si>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</si>
  <si>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</si>
  <si>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</si>
  <si>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</si>
  <si>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</si>
  <si>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</si>
  <si>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</si>
  <si>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</si>
  <si>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</si>
  <si>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</si>
  <si>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</si>
  <si>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</si>
  <si>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</si>
  <si>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</si>
  <si>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</si>
  <si>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</si>
  <si>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</si>
  <si>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</si>
  <si>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</si>
  <si>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</si>
  <si>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</si>
  <si>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</si>
  <si>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</si>
  <si>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</si>
  <si>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</si>
  <si>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</si>
  <si>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</si>
  <si>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</si>
  <si>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</si>
  <si>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</si>
  <si>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</si>
  <si>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</si>
  <si>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</si>
  <si>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</si>
  <si>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</si>
  <si>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</si>
  <si>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</si>
  <si>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</si>
  <si>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</si>
  <si>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</si>
  <si>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</si>
  <si>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</si>
  <si>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</si>
  <si>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</si>
  <si>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</si>
  <si>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</si>
  <si>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</si>
  <si>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</si>
  <si>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2006-002915</t>
  </si>
  <si>
    <t xml:space="preserve">Jess Harris, III, Inc.
2601 NW Expressway, Suite 200E
Oklahoma City, OK 73112
</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</si>
  <si>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</si>
  <si>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</si>
  <si>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</si>
  <si>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</si>
  <si>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</si>
  <si>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</si>
  <si>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</si>
  <si>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</si>
  <si>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</si>
  <si>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</si>
  <si>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</si>
  <si>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</si>
  <si>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</si>
  <si>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</si>
  <si>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</si>
  <si>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</si>
  <si>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</si>
  <si>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</si>
  <si>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</si>
  <si>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</si>
  <si>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</si>
  <si>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</si>
  <si>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</si>
  <si>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</si>
  <si>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</si>
  <si>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</si>
  <si>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</si>
  <si>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</si>
  <si>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</si>
  <si>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</si>
  <si>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</si>
  <si>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</si>
  <si>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</si>
  <si>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</si>
  <si>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</si>
  <si>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</si>
  <si>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</si>
  <si>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</si>
  <si>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</si>
  <si>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</si>
  <si>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</si>
  <si>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</si>
  <si>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</si>
  <si>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</si>
  <si>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</si>
  <si>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</si>
  <si>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</si>
  <si>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</si>
  <si>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</si>
  <si>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</si>
  <si>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</si>
  <si>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</si>
  <si>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</si>
  <si>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</si>
  <si>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</si>
  <si>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</si>
  <si>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</si>
  <si>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</si>
  <si>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</si>
  <si>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</si>
  <si>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</si>
  <si>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</si>
  <si>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</si>
  <si>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</si>
  <si>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</si>
  <si>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</si>
  <si>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</si>
  <si>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</si>
  <si>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</si>
  <si>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</si>
  <si>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</si>
  <si>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</si>
  <si>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</si>
  <si>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</si>
  <si>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</si>
  <si>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</si>
  <si>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</si>
  <si>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</si>
  <si>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</si>
  <si>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</si>
  <si>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</si>
  <si>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</si>
  <si>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</si>
  <si>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</si>
  <si>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</si>
  <si>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</si>
  <si>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</si>
  <si>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</si>
  <si>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</si>
  <si>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</si>
  <si>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</si>
  <si>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</si>
  <si>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</si>
  <si>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</si>
  <si>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</si>
  <si>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</si>
  <si>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</si>
  <si>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</si>
  <si>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</si>
  <si>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</si>
  <si>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</si>
  <si>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</si>
  <si>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</si>
  <si>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</si>
  <si>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</si>
  <si>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</si>
  <si>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</si>
  <si>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</si>
  <si>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</si>
  <si>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</si>
  <si>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</si>
  <si>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</si>
  <si>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</si>
  <si>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</si>
  <si>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</si>
  <si>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</si>
  <si>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</si>
  <si>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</si>
  <si>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</si>
  <si>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</si>
  <si>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</si>
  <si>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</si>
  <si>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</si>
  <si>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</si>
  <si>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</si>
  <si>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</si>
  <si>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</si>
  <si>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</si>
  <si>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</si>
  <si>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</si>
  <si>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</si>
  <si>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</si>
  <si>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</si>
  <si>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</si>
  <si>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</si>
  <si>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</si>
  <si>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</si>
  <si>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</si>
  <si>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</si>
  <si>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</si>
  <si>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</si>
  <si>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</si>
  <si>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</si>
  <si>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</si>
  <si>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</si>
  <si>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</si>
  <si>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</si>
  <si>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</si>
  <si>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</si>
  <si>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</si>
  <si>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</si>
  <si>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</si>
  <si>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</si>
  <si>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</si>
  <si>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</si>
  <si>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</si>
  <si>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</si>
  <si>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</si>
  <si>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</si>
  <si>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</si>
  <si>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</si>
  <si>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</si>
  <si>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</si>
  <si>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</si>
  <si>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</si>
  <si>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</si>
  <si>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</si>
  <si>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</si>
  <si>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</si>
  <si>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</si>
  <si>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</si>
  <si>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</si>
  <si>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</si>
  <si>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</si>
  <si>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</si>
  <si>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</si>
  <si>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</si>
  <si>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</si>
  <si>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</si>
  <si>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</si>
  <si>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</si>
  <si>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</si>
  <si>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</si>
  <si>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</si>
  <si>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</si>
  <si>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</si>
  <si>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</si>
  <si>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</si>
  <si>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</si>
  <si>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</si>
  <si>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</si>
  <si>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</si>
  <si>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</si>
  <si>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</si>
  <si>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</si>
  <si>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</si>
  <si>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</si>
  <si>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</si>
  <si>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</si>
  <si>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</si>
  <si>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</si>
  <si>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</si>
  <si>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</si>
  <si>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</si>
  <si>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</si>
  <si>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</si>
  <si>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</si>
  <si>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</si>
  <si>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</si>
  <si>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</si>
  <si>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</si>
  <si>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</si>
  <si>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</si>
  <si>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</si>
  <si>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</si>
  <si>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</si>
  <si>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</si>
  <si>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</si>
  <si>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</si>
  <si>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</si>
  <si>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</si>
  <si>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</si>
  <si>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</si>
  <si>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</si>
  <si>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</si>
  <si>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</si>
  <si>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</si>
  <si>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</si>
  <si>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</si>
  <si>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</si>
  <si>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</si>
  <si>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</si>
  <si>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</si>
  <si>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</si>
  <si>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</si>
  <si>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</si>
  <si>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</si>
  <si>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</si>
  <si>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</si>
  <si>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</si>
  <si>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</si>
  <si>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</si>
  <si>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</si>
  <si>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</si>
  <si>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</si>
  <si>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</si>
  <si>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</si>
  <si>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</si>
  <si>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</si>
  <si>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</si>
  <si>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</si>
  <si>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</si>
  <si>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</si>
  <si>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</si>
  <si>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</si>
  <si>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</si>
  <si>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</si>
  <si>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</si>
  <si>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</si>
  <si>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</si>
  <si>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</si>
  <si>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</si>
  <si>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</si>
  <si>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</si>
  <si>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</si>
  <si>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</si>
  <si>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</si>
  <si>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</si>
  <si>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</si>
  <si>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</si>
  <si>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</si>
  <si>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</si>
  <si>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</si>
  <si>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</si>
  <si>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</si>
  <si>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</si>
  <si>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</si>
  <si>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</si>
  <si>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</si>
  <si>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</si>
  <si>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</si>
  <si>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</si>
  <si>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</si>
  <si>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</si>
  <si>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</si>
  <si>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</si>
  <si>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</si>
  <si>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</si>
  <si>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</si>
  <si>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</si>
  <si>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</si>
  <si>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</si>
  <si>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</si>
  <si>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</si>
  <si>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</si>
  <si>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</si>
  <si>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</si>
  <si>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</si>
  <si>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</si>
  <si>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</si>
  <si>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</si>
  <si>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</si>
  <si>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</si>
  <si>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</si>
  <si>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</si>
  <si>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</si>
  <si>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</si>
  <si>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</si>
  <si>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</si>
  <si>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</si>
  <si>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</si>
  <si>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</si>
  <si>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</si>
  <si>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</si>
  <si>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</si>
  <si>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</si>
  <si>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</si>
  <si>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</si>
  <si>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</si>
  <si>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</si>
  <si>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</si>
  <si>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</si>
  <si>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</si>
  <si>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</si>
  <si>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</si>
  <si>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</si>
  <si>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</si>
  <si>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</si>
  <si>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</si>
  <si>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</si>
  <si>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</si>
  <si>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</si>
  <si>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</si>
  <si>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</si>
  <si>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</si>
  <si>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</si>
  <si>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</si>
  <si>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</si>
  <si>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</si>
  <si>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</si>
  <si>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</si>
  <si>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</si>
  <si>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</si>
  <si>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</si>
  <si>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</si>
  <si>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</si>
  <si>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</si>
  <si>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</si>
  <si>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</si>
  <si>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</si>
  <si>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</si>
  <si>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</si>
  <si>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</si>
  <si>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</si>
  <si>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</si>
  <si>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</si>
  <si>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</si>
  <si>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</si>
  <si>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</si>
  <si>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</si>
  <si>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</si>
  <si>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</si>
  <si>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</si>
  <si>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</si>
  <si>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</si>
  <si>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</si>
  <si>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</si>
  <si>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</si>
  <si>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</si>
  <si>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</si>
  <si>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</si>
  <si>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</si>
  <si>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</si>
  <si>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</si>
  <si>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</si>
  <si>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</si>
  <si>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</si>
  <si>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</si>
  <si>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</si>
  <si>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</si>
  <si>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</si>
  <si>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</si>
  <si>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</si>
  <si>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</si>
  <si>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</si>
  <si>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</si>
  <si>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</si>
  <si>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</si>
  <si>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</si>
  <si>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</si>
  <si>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</si>
  <si>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</si>
  <si>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</si>
  <si>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</si>
  <si>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</si>
  <si>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</si>
  <si>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</si>
  <si>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</si>
  <si>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</si>
  <si>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</si>
  <si>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</si>
  <si>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</si>
  <si>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</si>
  <si>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</si>
  <si>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</si>
  <si>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</si>
  <si>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</si>
  <si>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</si>
  <si>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</si>
  <si>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</si>
  <si>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</si>
  <si>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</si>
  <si>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</si>
  <si>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</si>
  <si>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</si>
  <si>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</si>
  <si>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</si>
  <si>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</si>
  <si>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</si>
  <si>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</si>
  <si>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</si>
  <si>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</si>
  <si>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</si>
  <si>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</si>
  <si>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</si>
  <si>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</si>
  <si>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</si>
  <si>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</si>
  <si>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</si>
  <si>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</si>
  <si>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</si>
  <si>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</si>
  <si>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</si>
  <si>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</si>
  <si>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</si>
  <si>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</si>
  <si>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</si>
  <si>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</si>
  <si>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</si>
  <si>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</si>
  <si>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</si>
  <si>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</si>
  <si>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</si>
  <si>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</si>
  <si>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</si>
  <si>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</si>
  <si>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2014-006352</t>
  </si>
  <si>
    <t>2273/539</t>
  </si>
  <si>
    <t>Jon Wilkerson</t>
  </si>
  <si>
    <t>The Public
RE: Linda Fields, aka Linda Klipfenstein, aka Linda Mize</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</si>
  <si>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</si>
  <si>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</si>
  <si>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</si>
  <si>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</si>
  <si>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</si>
  <si>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</si>
  <si>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</si>
  <si>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</si>
  <si>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</si>
  <si>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</si>
  <si>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</si>
  <si>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</si>
  <si>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</si>
  <si>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</si>
  <si>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</si>
  <si>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</si>
  <si>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</si>
  <si>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</si>
  <si>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</si>
  <si>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</si>
  <si>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</si>
  <si>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</si>
  <si>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</si>
  <si>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</si>
  <si>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</si>
  <si>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</si>
  <si>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</si>
  <si>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</si>
  <si>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</si>
  <si>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</si>
  <si>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</si>
  <si>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</si>
  <si>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</si>
  <si>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</si>
  <si>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</si>
  <si>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</si>
  <si>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</si>
  <si>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</si>
  <si>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</si>
  <si>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</si>
  <si>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</si>
  <si>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</si>
  <si>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</si>
  <si>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</si>
  <si>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</si>
  <si>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</si>
  <si>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</si>
  <si>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</si>
  <si>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</si>
  <si>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</si>
  <si>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</si>
  <si>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</si>
  <si>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</si>
  <si>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</si>
  <si>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</si>
  <si>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</si>
  <si>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</si>
  <si>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</si>
  <si>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</si>
  <si>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</si>
  <si>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</si>
  <si>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</si>
  <si>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</si>
  <si>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</si>
  <si>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</si>
  <si>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</si>
  <si>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</si>
  <si>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</si>
  <si>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</si>
  <si>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</si>
  <si>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</si>
  <si>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</si>
  <si>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</si>
  <si>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</si>
  <si>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</si>
  <si>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</si>
  <si>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</si>
  <si>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</si>
  <si>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</si>
  <si>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</si>
  <si>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</si>
  <si>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</si>
  <si>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</si>
  <si>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</si>
  <si>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</si>
  <si>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</si>
  <si>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</si>
  <si>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</si>
  <si>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</si>
  <si>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</si>
  <si>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</si>
  <si>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</si>
  <si>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</si>
  <si>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</si>
  <si>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</si>
  <si>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</si>
  <si>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</si>
  <si>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</si>
  <si>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</si>
  <si>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</si>
  <si>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</si>
  <si>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</si>
  <si>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</si>
  <si>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</si>
  <si>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</si>
  <si>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</si>
  <si>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</si>
  <si>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</si>
  <si>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</si>
  <si>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</si>
  <si>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</si>
  <si>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</si>
  <si>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</si>
  <si>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</si>
  <si>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</si>
  <si>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</si>
  <si>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</si>
  <si>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</si>
  <si>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</si>
  <si>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</si>
  <si>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</si>
  <si>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</si>
  <si>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</si>
  <si>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</si>
  <si>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</si>
  <si>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</si>
  <si>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</si>
  <si>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</si>
  <si>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</si>
  <si>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</si>
  <si>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</si>
  <si>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</si>
  <si>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</si>
  <si>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</si>
  <si>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</si>
  <si>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</si>
  <si>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</si>
  <si>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</si>
  <si>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</si>
  <si>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</si>
  <si>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</si>
  <si>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</si>
  <si>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</si>
  <si>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</si>
  <si>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</si>
  <si>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</si>
  <si>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</si>
  <si>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</si>
  <si>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</si>
  <si>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</si>
  <si>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</si>
  <si>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</si>
  <si>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</si>
  <si>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</si>
  <si>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</si>
  <si>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</si>
  <si>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</si>
  <si>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</si>
  <si>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</si>
  <si>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</si>
  <si>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</si>
  <si>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</si>
  <si>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</si>
  <si>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</si>
  <si>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</si>
  <si>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</si>
  <si>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</si>
  <si>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</si>
  <si>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</si>
  <si>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</si>
  <si>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</si>
  <si>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</si>
  <si>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</si>
  <si>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</si>
  <si>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</si>
  <si>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</si>
  <si>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</si>
  <si>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</si>
  <si>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</si>
  <si>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</si>
  <si>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</si>
  <si>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</si>
  <si>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</si>
  <si>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</si>
  <si>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</si>
  <si>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</si>
  <si>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</si>
  <si>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</si>
  <si>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</si>
  <si>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</si>
  <si>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</si>
  <si>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2021-001559</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</si>
  <si>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</si>
  <si>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</si>
  <si>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</si>
  <si>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</si>
  <si>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</si>
  <si>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</si>
  <si>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</si>
  <si>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</si>
  <si>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</si>
  <si>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</si>
  <si>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</si>
  <si>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</si>
  <si>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</si>
  <si>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</si>
  <si>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</si>
  <si>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</si>
  <si>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</si>
  <si>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</si>
  <si>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</si>
  <si>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</si>
  <si>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</si>
  <si>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</si>
  <si>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</si>
  <si>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</si>
  <si>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</si>
  <si>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</si>
  <si>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</si>
  <si>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</si>
  <si>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</si>
  <si>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</si>
  <si>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</si>
  <si>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</si>
  <si>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</si>
  <si>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</si>
  <si>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</si>
  <si>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</si>
  <si>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</si>
  <si>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</si>
  <si>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</si>
  <si>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</si>
  <si>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</si>
  <si>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</si>
  <si>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</si>
  <si>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</si>
  <si>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</si>
  <si>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an undivided thirty-four percent (34%) of Grantor's interest,</t>
  </si>
  <si>
    <t>2024-007203</t>
  </si>
  <si>
    <t>2599/505</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</si>
  <si>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</si>
  <si>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</si>
  <si>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</si>
  <si>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</si>
  <si>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</si>
  <si>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</si>
  <si>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</si>
  <si>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</si>
  <si>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</si>
  <si>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</si>
  <si>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</si>
  <si>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</si>
  <si>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</si>
  <si>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</si>
  <si>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</si>
  <si>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</si>
  <si>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</si>
  <si>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</si>
  <si>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</si>
  <si>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</si>
  <si>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</si>
  <si>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</si>
  <si>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</si>
  <si>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</si>
  <si>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</si>
  <si>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</si>
  <si>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</si>
  <si>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</si>
  <si>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</si>
  <si>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</si>
  <si>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</si>
  <si>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</si>
  <si>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</si>
  <si>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</si>
  <si>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</si>
  <si>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</si>
  <si>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</si>
  <si>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</si>
  <si>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</si>
  <si>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</si>
  <si>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</si>
  <si>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</si>
  <si>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</si>
  <si>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</si>
  <si>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</si>
  <si>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</si>
  <si>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</si>
  <si>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</si>
  <si>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</si>
  <si>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</si>
  <si>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</si>
  <si>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</si>
  <si>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</si>
  <si>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</si>
  <si>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</si>
  <si>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</si>
  <si>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</si>
  <si>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</si>
  <si>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</si>
  <si>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</si>
  <si>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</si>
  <si>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</si>
  <si>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</si>
  <si>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</si>
  <si>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</si>
  <si>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</si>
  <si>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</si>
  <si>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</si>
  <si>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SE/4 NE/4, NE/4 SE/4, E/2 NW/4, N/2 NE/4 SW/4 of 31-12N-24W</t>
  </si>
  <si>
    <t>OKCountyRecords: 2026-002511</t>
  </si>
  <si>
    <t>Keri Lee Daigle Tucker Trust
728 Hollyhock Dr.
Lexington, Ky 40511</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</si>
  <si>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</si>
  <si>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</si>
  <si>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</si>
  <si>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</si>
  <si>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</si>
  <si>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</si>
  <si>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</si>
  <si>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</si>
  <si>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</si>
  <si>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</si>
  <si>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</si>
  <si>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</si>
  <si>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</si>
  <si>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</si>
  <si>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2026-002512</t>
  </si>
  <si>
    <t>Ronald Paul Dold
753 Velma Street
Memphis, Tn 38104</t>
  </si>
  <si>
    <t>N/2 NE/4, SE/4 NE/4, NE/4 SE/4, E/2 NW/4, S/2 Lot 3, Lot 4, S/2 NE/4 SW/4, SE/4 SW/4, N/2 NE/4 SW/4 of 31-12N-24W</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</si>
  <si>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</si>
  <si>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</si>
  <si>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</si>
  <si>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</si>
  <si>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</si>
  <si>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</si>
  <si>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</si>
  <si>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</si>
  <si>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</si>
  <si>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</si>
  <si>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</si>
  <si>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</si>
  <si>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</si>
  <si>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OKCountyRecords: 2026-002510</t>
  </si>
  <si>
    <t>2700/268</t>
  </si>
  <si>
    <t>Royfin Natural Gas, LLC,
Tamworth Resources, LLC,
Scott Martin,
Longreach Energy Investments, Inc.</t>
  </si>
  <si>
    <t>All of 11-12N-21W aol</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</si>
  <si>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</si>
  <si>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</si>
  <si>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</si>
  <si>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</si>
  <si>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</si>
  <si>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</si>
  <si>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</si>
  <si>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</si>
  <si>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</si>
  <si>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</si>
  <si>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</si>
  <si>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</si>
  <si>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</si>
  <si>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2026-003315</t>
  </si>
  <si>
    <t>Order Allowing Final Account, Determining Heirs and Final Decree of Distribution</t>
  </si>
  <si>
    <t>Roger Mills County Court
RE: In the Matter of the Estate of Darrell Edward Hamilton, Deceased</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</si>
  <si>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</si>
  <si>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</si>
  <si>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</si>
  <si>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</si>
  <si>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</si>
  <si>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</si>
  <si>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</si>
  <si>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</si>
  <si>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</si>
  <si>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</si>
  <si>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</si>
  <si>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</si>
  <si>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</si>
  <si>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</si>
  <si>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</si>
  <si>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</si>
  <si>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</si>
  <si>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</si>
  <si>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</si>
  <si>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</si>
  <si>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</si>
  <si>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</si>
  <si>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</si>
  <si>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</si>
  <si>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</si>
  <si>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</si>
  <si>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</si>
  <si>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</si>
  <si>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</si>
  <si>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</si>
  <si>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Calc Basis / Flags</t>
  </si>
  <si>
    <t>Review</t>
  </si>
  <si>
    <t>NEED / ACTION</t>
  </si>
  <si>
    <t>R. L. Trammell, as sheriff of Roger Mills County, State of Oklahoma</t>
  </si>
  <si>
    <t>W. D. Wilson</t>
  </si>
  <si>
    <t>Ethel Brister</t>
  </si>
  <si>
    <t>Flag Oil Company of Oklahoma</t>
  </si>
  <si>
    <t>Gena Williams</t>
  </si>
  <si>
    <t>Carrie Leeann Williams</t>
  </si>
  <si>
    <t>Gena W. Moore, a/k/a Gena Mitchell
William, a/k/a Gena Williams, a/k/a
Gena Willams Moore</t>
  </si>
  <si>
    <t>ORD</t>
  </si>
  <si>
    <t>1939-000083</t>
  </si>
  <si>
    <t>ASN13/186</t>
  </si>
  <si>
    <t>N/2 NE/4, containing 80 acres</t>
  </si>
  <si>
    <t>SW/4 NE/4, W/2 SE/4, SE/4 SE/4, containing 160 acres</t>
  </si>
  <si>
    <t>William C. Bain, Jr. (presumed to be a/k/a William Cobal Bain, Jr.</t>
  </si>
  <si>
    <t>Billy W. Bain (presumed to be a/k/a Billy Wayne Bain)</t>
  </si>
  <si>
    <t>Presumed to merged with and into Alpine Investments, Inc.</t>
  </si>
  <si>
    <t>Presumed to be the same as William Cobal Bain and Billy Wayne Bain, Co-Trustes of the Will of W. M. Bain for the Benefit of Crystal Pallo</t>
  </si>
  <si>
    <t>Eula M. Bain, Deceased</t>
  </si>
  <si>
    <t>The Estate of Evan K. Fuchs, Deceased</t>
  </si>
  <si>
    <t>Clayton D. Fuchs</t>
  </si>
  <si>
    <t>Westal W. Fuchs</t>
  </si>
  <si>
    <t>Curtis Fuchs</t>
  </si>
  <si>
    <t>Rita Wilson</t>
  </si>
  <si>
    <t>Rive Lind McCaul</t>
  </si>
  <si>
    <t>Jon T. Williams, Jr.</t>
  </si>
  <si>
    <t>Jan Ann Schroff</t>
  </si>
  <si>
    <t>Melinda Ann Mulvihill</t>
  </si>
  <si>
    <t>Dow C. Bain and Edris O. Bain Trustees</t>
  </si>
  <si>
    <t>Jon T. and Rogene E. Williams Trust</t>
  </si>
  <si>
    <t>Jan A. Schroff Trust</t>
  </si>
  <si>
    <t>Melinda McCaul Mulvihill Trust</t>
  </si>
  <si>
    <t>RIVE Lind McCaul Trust</t>
  </si>
  <si>
    <t>Dwight J. Williams Revocable Trust</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</si>
  <si>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</si>
  <si>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</si>
  <si>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</si>
  <si>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</si>
  <si>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</si>
  <si>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</si>
  <si>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</si>
  <si>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</si>
  <si>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</si>
  <si>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</si>
  <si>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</si>
  <si>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</si>
  <si>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</si>
  <si>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</si>
  <si>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</si>
  <si>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</si>
  <si>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</si>
  <si>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</si>
  <si>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</si>
  <si>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</si>
  <si>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</si>
  <si>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</si>
  <si>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</si>
  <si>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</si>
  <si>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</si>
  <si>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</si>
  <si>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</si>
  <si>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</si>
  <si>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</si>
  <si>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</si>
  <si>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</si>
  <si>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</si>
  <si>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</si>
  <si>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</si>
  <si>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</si>
  <si>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</si>
  <si>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</si>
  <si>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</si>
  <si>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</si>
  <si>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</si>
  <si>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</si>
  <si>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</si>
  <si>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</si>
  <si>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</si>
  <si>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</si>
  <si>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</si>
  <si>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</si>
  <si>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</si>
  <si>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</si>
  <si>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</si>
  <si>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</si>
  <si>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</si>
  <si>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</si>
  <si>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</si>
  <si>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</si>
  <si>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</si>
  <si>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</si>
  <si>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</si>
  <si>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</si>
  <si>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</si>
  <si>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</si>
  <si>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</si>
  <si>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</si>
  <si>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</si>
  <si>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</si>
  <si>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</si>
  <si>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</si>
  <si>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</si>
  <si>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</si>
  <si>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</si>
  <si>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</si>
  <si>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</si>
  <si>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</si>
  <si>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Beckham County Court, RE: In the Matter of the Estate of Annie E. Mitchel, Deceased</t>
  </si>
  <si>
    <t>Louise Ormand</t>
  </si>
  <si>
    <t>Mattie Britton</t>
  </si>
  <si>
    <t>Roger Mills County Court RE: In the Matter of the Estate of John Klopfenstein, Deceased</t>
  </si>
  <si>
    <t>Linda Mize</t>
  </si>
  <si>
    <t>Roger Klopfenstein</t>
  </si>
  <si>
    <t>Nam Corporation</t>
  </si>
  <si>
    <t>Tripco Inc.</t>
  </si>
  <si>
    <t>Prudential Securities</t>
  </si>
  <si>
    <t>C/F Cynthia L. Pipkin I.R.A. Rollover Dated January 23</t>
  </si>
  <si>
    <t>now Louise Ormand McLerran</t>
  </si>
  <si>
    <t>Roger Mills County Court RE: In the Matter of the Estate of Jack E. Barnett, Deceased</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</si>
  <si>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</si>
  <si>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</si>
  <si>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</si>
  <si>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</si>
  <si>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</si>
  <si>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</si>
  <si>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</si>
  <si>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</si>
  <si>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</si>
  <si>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</si>
  <si>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</si>
  <si>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</si>
  <si>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</si>
  <si>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</si>
  <si>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</si>
  <si>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</si>
  <si>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</si>
  <si>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</si>
  <si>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Eula Cross</t>
  </si>
  <si>
    <t>a single person</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</si>
  <si>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</si>
  <si>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</si>
  <si>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</si>
  <si>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</si>
  <si>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</si>
  <si>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</si>
  <si>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</si>
  <si>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</si>
  <si>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</si>
  <si>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</si>
  <si>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</si>
  <si>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</si>
  <si>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</si>
  <si>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</si>
  <si>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</si>
  <si>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</si>
  <si>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</si>
  <si>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256.666667 NMA</t>
  </si>
  <si>
    <t>118.461538 NMA</t>
  </si>
  <si>
    <t>220 NMA</t>
  </si>
  <si>
    <t>Beckham County Court, RE: In the Matter of the Estate of Lillie Campbell, Deceased</t>
  </si>
  <si>
    <t>Virgil Hambrook</t>
  </si>
  <si>
    <t>Letty Atha</t>
  </si>
  <si>
    <t>Roger Mills County Court RE: In the Matter of the Estate of Letty Jane Atha, Deceased</t>
  </si>
  <si>
    <t>Petrohawk Properties</t>
  </si>
  <si>
    <t>Colt Development, LLC, Roca Development, LLC</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</si>
  <si>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</si>
  <si>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</si>
  <si>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</si>
  <si>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</si>
  <si>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</si>
  <si>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</si>
  <si>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</si>
  <si>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</si>
  <si>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</si>
  <si>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</si>
  <si>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</si>
  <si>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</si>
  <si>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Beckham County Court, RE: In the Matter of the Estate of Gladys R. Priest, Deceased</t>
  </si>
  <si>
    <t>Kimberly D. Standiford</t>
  </si>
  <si>
    <t>Joe Devenas Jr.</t>
  </si>
  <si>
    <t>Paul Devenas</t>
  </si>
  <si>
    <t>Betty L. Stewart</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</si>
  <si>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</si>
  <si>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</si>
  <si>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</si>
  <si>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</si>
  <si>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</si>
  <si>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</si>
  <si>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</si>
  <si>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Beckham County Court, RE: In the Matter of the Estate of Fred A. Standiford, Jr., Deceased</t>
  </si>
  <si>
    <t>Anna T. Gibson Wichita</t>
  </si>
  <si>
    <t>Ks</t>
  </si>
  <si>
    <t>Joseph A. Devenas Jr.</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</si>
  <si>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</si>
  <si>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</si>
  <si>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</si>
  <si>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</si>
  <si>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</si>
  <si>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</si>
  <si>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</si>
  <si>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</si>
  <si>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</si>
  <si>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</si>
  <si>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</si>
  <si>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</si>
  <si>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</si>
  <si>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</si>
  <si>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</si>
  <si>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</si>
  <si>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</si>
  <si>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</si>
  <si>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</si>
  <si>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</si>
  <si>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</si>
  <si>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</si>
  <si>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</si>
  <si>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</si>
  <si>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</si>
  <si>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</si>
  <si>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</si>
  <si>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</si>
  <si>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</si>
  <si>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</si>
  <si>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</si>
  <si>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</si>
  <si>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</si>
  <si>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</si>
  <si>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</si>
  <si>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</si>
  <si>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</si>
  <si>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</si>
  <si>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</si>
  <si>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</si>
  <si>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</si>
  <si>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</si>
  <si>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</si>
  <si>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</si>
  <si>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</si>
  <si>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</si>
  <si>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</si>
  <si>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</si>
  <si>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</si>
  <si>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</si>
  <si>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</si>
  <si>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</si>
  <si>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</si>
  <si>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</si>
  <si>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</si>
  <si>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</si>
  <si>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</si>
  <si>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</si>
  <si>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</si>
  <si>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</si>
  <si>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</si>
  <si>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</si>
  <si>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</si>
  <si>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</si>
  <si>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</si>
  <si>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</si>
  <si>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</si>
  <si>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</si>
  <si>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</si>
  <si>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</si>
  <si>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</si>
  <si>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</si>
  <si>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</si>
  <si>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</si>
  <si>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</si>
  <si>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</si>
  <si>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</si>
  <si>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</si>
  <si>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</si>
  <si>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</si>
  <si>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</si>
  <si>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</si>
  <si>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</si>
  <si>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</si>
  <si>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</si>
  <si>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</si>
  <si>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</si>
  <si>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</si>
  <si>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</si>
  <si>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</si>
  <si>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</si>
  <si>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</si>
  <si>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</si>
  <si>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</si>
  <si>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</si>
  <si>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</si>
  <si>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</si>
  <si>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</si>
  <si>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</si>
  <si>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</si>
  <si>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</si>
  <si>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</si>
  <si>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</si>
  <si>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</si>
  <si>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</si>
  <si>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</si>
  <si>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</si>
  <si>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</si>
  <si>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</si>
  <si>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</si>
  <si>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</si>
  <si>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</si>
  <si>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EnerVest Energy Institutional Fund XIII-WIC, L.P. c/o EnerVest, Ltd.</t>
  </si>
  <si>
    <t>EnerVest Energy Institutional Fund XIII-C, L.P. c/o EnerVest, Ltd.</t>
  </si>
  <si>
    <t>EnerVest Energy Institutional Fund XIII-WIB, L.P. c/o EnerVest, Ltd.</t>
  </si>
  <si>
    <t>EnerVest Energy Institutional Fund XIII-B, L.P. c/o EnerVest, Ltd.</t>
  </si>
  <si>
    <t>Calvin Wayne Kirk Box 524 Cheyenne</t>
  </si>
  <si>
    <t>Oklahoma 73628</t>
  </si>
  <si>
    <t>Blackbeard Operating, LLC, Tecolote Holdings, LLC, Tecolote Royalty, L.P.</t>
  </si>
  <si>
    <t>Eagle Owl LP</t>
  </si>
  <si>
    <t>James Gerard Buonaccorsi, Mitchell-Buonaccorsi Living Trust, Carrie Leeann Mitchell, Trustee</t>
  </si>
  <si>
    <t>ASSGN</t>
  </si>
  <si>
    <t>11.5385 NMA</t>
  </si>
  <si>
    <t>12.694131 NMA</t>
  </si>
  <si>
    <t>34%</t>
  </si>
  <si>
    <t>NE/4 SE/4, containing 40 acres, more or less</t>
  </si>
  <si>
    <t>Ocean Energy Resources, Inc.</t>
  </si>
  <si>
    <t>Geodyne / Samson</t>
  </si>
  <si>
    <t>BHP Billiton Petroleum</t>
  </si>
  <si>
    <t>TE Holdco RP, LLC et al</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</si>
  <si>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</si>
  <si>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</si>
  <si>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</si>
  <si>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</si>
  <si>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</si>
  <si>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</si>
  <si>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</si>
  <si>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</si>
  <si>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</si>
  <si>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</si>
  <si>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</si>
  <si>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</si>
  <si>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</si>
  <si>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</si>
  <si>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</si>
  <si>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</si>
  <si>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</si>
  <si>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</si>
  <si>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</si>
  <si>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</si>
  <si>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</si>
  <si>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</si>
  <si>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</si>
  <si>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</si>
  <si>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</si>
  <si>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</si>
  <si>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</si>
  <si>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</si>
  <si>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</si>
  <si>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</si>
  <si>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</si>
  <si>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</si>
  <si>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1-31</t>
  </si>
  <si>
    <t>35-129-22925</t>
  </si>
  <si>
    <t>Martin's Resources LLC</t>
  </si>
  <si>
    <t>Alexander 1-31</t>
  </si>
  <si>
    <t>Cherokee</t>
  </si>
  <si>
    <t>Sec 31-12N-24W, C NW/4 SE/4, 660' FWL x 1980' FSL</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</si>
  <si>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</si>
  <si>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</si>
  <si>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</si>
  <si>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</si>
  <si>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</si>
  <si>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</si>
  <si>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</si>
  <si>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</si>
  <si>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</si>
  <si>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</si>
  <si>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</si>
  <si>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</si>
  <si>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</si>
  <si>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</si>
  <si>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</si>
  <si>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</si>
  <si>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</si>
  <si>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</si>
  <si>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</si>
  <si>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</si>
  <si>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</si>
  <si>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</si>
  <si>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</si>
  <si>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</si>
  <si>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</si>
  <si>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</si>
  <si>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</si>
  <si>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</si>
  <si>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</si>
  <si>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</si>
  <si>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</si>
  <si>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</si>
  <si>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</si>
  <si>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</si>
  <si>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</si>
  <si>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</si>
  <si>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</si>
  <si>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</si>
  <si>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</si>
  <si>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</si>
  <si>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</si>
  <si>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</si>
  <si>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</si>
  <si>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</si>
  <si>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</si>
  <si>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</si>
  <si>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</si>
  <si>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</si>
  <si>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</si>
  <si>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</si>
  <si>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</si>
  <si>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</si>
  <si>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</si>
  <si>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</si>
  <si>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</si>
  <si>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</si>
  <si>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</si>
  <si>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</si>
  <si>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</si>
  <si>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</si>
  <si>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</si>
  <si>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</si>
  <si>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</si>
  <si>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</si>
  <si>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</si>
  <si>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</si>
  <si>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</si>
  <si>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</si>
  <si>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</si>
  <si>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</si>
  <si>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</si>
  <si>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</si>
  <si>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</si>
  <si>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</si>
  <si>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</si>
  <si>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</si>
  <si>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</si>
  <si>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</si>
  <si>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</si>
  <si>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</si>
  <si>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</si>
  <si>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</si>
  <si>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</si>
  <si>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</si>
  <si>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</si>
  <si>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</si>
  <si>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</si>
  <si>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</si>
  <si>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</si>
  <si>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</si>
  <si>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</si>
  <si>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</si>
  <si>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</si>
  <si>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</si>
  <si>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</si>
  <si>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</si>
  <si>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</si>
  <si>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</si>
  <si>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</si>
  <si>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</si>
  <si>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</si>
  <si>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</si>
  <si>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</si>
  <si>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</si>
  <si>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</si>
  <si>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</si>
  <si>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</si>
  <si>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</si>
  <si>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</si>
  <si>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</si>
  <si>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</si>
  <si>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</si>
  <si>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</si>
  <si>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</si>
  <si>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</si>
  <si>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</si>
  <si>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</si>
  <si>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</si>
  <si>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</si>
  <si>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</si>
  <si>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</si>
  <si>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</si>
  <si>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</si>
  <si>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</si>
  <si>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</si>
  <si>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</si>
  <si>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</si>
  <si>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</si>
  <si>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</si>
  <si>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</si>
  <si>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</si>
  <si>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</si>
  <si>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</si>
  <si>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</si>
  <si>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</si>
  <si>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</si>
  <si>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</si>
  <si>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</si>
  <si>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</si>
  <si>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</si>
  <si>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</si>
  <si>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</si>
  <si>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</si>
  <si>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</si>
  <si>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</si>
  <si>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</si>
  <si>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</si>
  <si>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</si>
  <si>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</si>
  <si>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</si>
  <si>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</si>
  <si>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</si>
  <si>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</si>
  <si>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</si>
  <si>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</si>
  <si>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</si>
  <si>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</si>
  <si>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</si>
  <si>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</si>
  <si>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</si>
  <si>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</si>
  <si>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</si>
  <si>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</si>
  <si>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</si>
  <si>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</si>
  <si>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</si>
  <si>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</si>
  <si>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</si>
  <si>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</si>
  <si>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</si>
  <si>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</si>
  <si>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</si>
  <si>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</si>
  <si>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</si>
  <si>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</si>
  <si>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</si>
  <si>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</si>
  <si>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</si>
  <si>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</si>
  <si>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</si>
  <si>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</si>
  <si>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</si>
  <si>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</si>
  <si>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</si>
  <si>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</si>
  <si>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</si>
  <si>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</si>
  <si>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</si>
  <si>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</si>
  <si>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</si>
  <si>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</si>
  <si>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</si>
  <si>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</si>
  <si>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</si>
  <si>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</si>
  <si>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</si>
  <si>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</si>
  <si>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</si>
  <si>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</si>
  <si>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</si>
  <si>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</si>
  <si>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</si>
  <si>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</si>
  <si>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</si>
  <si>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</si>
  <si>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</si>
  <si>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</si>
  <si>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</si>
  <si>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</si>
  <si>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</si>
  <si>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</si>
  <si>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</si>
  <si>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</si>
  <si>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</si>
  <si>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</si>
  <si>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</si>
  <si>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</si>
  <si>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</si>
  <si>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</si>
  <si>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</si>
  <si>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</si>
  <si>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</si>
  <si>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</si>
  <si>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</si>
  <si>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</si>
  <si>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</si>
  <si>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</si>
  <si>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</si>
  <si>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</si>
  <si>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</si>
  <si>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</si>
  <si>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</si>
  <si>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</si>
  <si>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</si>
  <si>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</si>
  <si>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</si>
  <si>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</si>
  <si>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</si>
  <si>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</si>
  <si>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</si>
  <si>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</si>
  <si>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</si>
  <si>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</si>
  <si>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</si>
  <si>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</si>
  <si>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</si>
  <si>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</si>
  <si>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</si>
  <si>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</si>
  <si>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</si>
  <si>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</si>
  <si>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</si>
  <si>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</si>
  <si>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</si>
  <si>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</si>
  <si>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</si>
  <si>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</si>
  <si>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</si>
  <si>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</si>
  <si>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</si>
  <si>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</si>
  <si>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</si>
  <si>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</si>
  <si>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</si>
  <si>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</si>
  <si>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</si>
  <si>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</si>
  <si>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</si>
  <si>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</si>
  <si>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</si>
  <si>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</si>
  <si>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</si>
  <si>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</si>
  <si>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</si>
  <si>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</si>
  <si>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</si>
  <si>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</si>
  <si>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</si>
  <si>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</si>
  <si>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</si>
  <si>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</si>
  <si>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</si>
  <si>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</si>
  <si>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</si>
  <si>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</si>
  <si>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</si>
  <si>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</si>
  <si>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</si>
  <si>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</si>
  <si>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</si>
  <si>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</si>
  <si>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</si>
  <si>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</si>
  <si>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</si>
  <si>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</si>
  <si>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</si>
  <si>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</si>
  <si>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</si>
  <si>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</si>
  <si>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</si>
  <si>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</si>
  <si>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</si>
  <si>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</si>
  <si>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</si>
  <si>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</si>
  <si>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</si>
  <si>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</si>
  <si>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</si>
  <si>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</si>
  <si>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</si>
  <si>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</si>
  <si>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</si>
  <si>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</si>
  <si>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</si>
  <si>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</si>
  <si>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</si>
  <si>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</si>
  <si>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</si>
  <si>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</si>
  <si>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</si>
  <si>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</si>
  <si>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</si>
  <si>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</si>
  <si>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</si>
  <si>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</si>
  <si>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</si>
  <si>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</si>
  <si>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</si>
  <si>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</si>
  <si>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</si>
  <si>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</si>
  <si>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</si>
  <si>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</si>
  <si>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</si>
  <si>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</si>
  <si>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</si>
  <si>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</si>
  <si>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</si>
  <si>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</si>
  <si>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</si>
  <si>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</si>
  <si>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</si>
  <si>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</si>
  <si>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</si>
  <si>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</si>
  <si>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</si>
  <si>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</si>
  <si>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</si>
  <si>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</si>
  <si>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</si>
  <si>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</si>
  <si>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</si>
  <si>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</si>
  <si>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</si>
  <si>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</si>
  <si>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</si>
  <si>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</si>
  <si>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</si>
  <si>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</si>
  <si>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</si>
  <si>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</si>
  <si>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</si>
  <si>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</si>
  <si>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</si>
  <si>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</si>
  <si>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</si>
  <si>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</si>
  <si>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</si>
  <si>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</si>
  <si>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</si>
  <si>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</si>
  <si>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</si>
  <si>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</si>
  <si>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</si>
  <si>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</si>
  <si>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</si>
  <si>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</si>
  <si>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</si>
  <si>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</si>
  <si>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</si>
  <si>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</si>
  <si>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</si>
  <si>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</si>
  <si>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</si>
  <si>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</si>
  <si>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</si>
  <si>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</si>
  <si>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</si>
  <si>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</si>
  <si>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</si>
  <si>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</si>
  <si>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</si>
  <si>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</si>
  <si>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</si>
  <si>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</si>
  <si>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</si>
  <si>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</si>
  <si>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</si>
  <si>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</si>
  <si>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</si>
  <si>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</si>
  <si>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</si>
  <si>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</si>
  <si>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</si>
  <si>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</si>
  <si>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</si>
  <si>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</si>
  <si>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</si>
  <si>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</si>
  <si>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</si>
  <si>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</si>
  <si>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</si>
  <si>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</si>
  <si>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</si>
  <si>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</si>
  <si>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</si>
  <si>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</si>
  <si>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</si>
  <si>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</si>
  <si>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</si>
  <si>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</si>
  <si>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</si>
  <si>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</si>
  <si>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</si>
  <si>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</si>
  <si>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</si>
  <si>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</si>
  <si>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</si>
  <si>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</si>
  <si>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</si>
  <si>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</si>
  <si>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</si>
  <si>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</si>
  <si>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</si>
  <si>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</si>
  <si>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</si>
  <si>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</si>
  <si>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</si>
  <si>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</si>
  <si>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</si>
  <si>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</si>
  <si>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</si>
  <si>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</si>
  <si>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</si>
  <si>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</si>
  <si>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</si>
  <si>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</si>
  <si>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</si>
  <si>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</si>
  <si>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</si>
  <si>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</si>
  <si>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</si>
  <si>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</si>
  <si>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</si>
  <si>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</si>
  <si>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</si>
  <si>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</si>
  <si>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</si>
  <si>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</si>
  <si>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</si>
  <si>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</si>
  <si>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</si>
  <si>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</si>
  <si>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</si>
  <si>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</si>
  <si>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</si>
  <si>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</si>
  <si>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</si>
  <si>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</si>
  <si>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</si>
  <si>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</si>
  <si>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</si>
  <si>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</si>
  <si>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</si>
  <si>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</si>
  <si>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</si>
  <si>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</si>
  <si>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</si>
  <si>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</si>
  <si>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</si>
  <si>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</si>
  <si>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</si>
  <si>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</si>
  <si>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</si>
  <si>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</si>
  <si>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</si>
  <si>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</si>
  <si>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</si>
  <si>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</si>
  <si>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</si>
  <si>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</si>
  <si>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</si>
  <si>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</si>
  <si>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</si>
  <si>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</si>
  <si>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</si>
  <si>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</si>
  <si>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</si>
  <si>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</si>
  <si>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</si>
  <si>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</si>
  <si>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</si>
  <si>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</si>
  <si>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</si>
  <si>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</si>
  <si>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</si>
  <si>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</si>
  <si>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</si>
  <si>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</si>
  <si>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</si>
  <si>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</si>
  <si>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</si>
  <si>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</si>
  <si>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</si>
  <si>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</si>
  <si>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</si>
  <si>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</si>
  <si>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</si>
  <si>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</si>
  <si>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</si>
  <si>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</si>
  <si>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</si>
  <si>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</si>
  <si>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</si>
  <si>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</si>
  <si>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</si>
  <si>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</si>
  <si>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</si>
  <si>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</si>
  <si>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</si>
  <si>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</si>
  <si>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</si>
  <si>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</si>
  <si>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</si>
  <si>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</si>
  <si>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</si>
  <si>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</si>
  <si>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</si>
  <si>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</si>
  <si>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</si>
  <si>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</si>
  <si>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</si>
  <si>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</si>
  <si>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</si>
  <si>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</si>
  <si>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</si>
  <si>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</si>
  <si>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</si>
  <si>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</si>
  <si>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</si>
  <si>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</si>
  <si>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</si>
  <si>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</si>
  <si>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</si>
  <si>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</si>
  <si>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</si>
  <si>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</si>
  <si>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</si>
  <si>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</si>
  <si>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</si>
  <si>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</si>
  <si>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</si>
  <si>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</si>
  <si>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</si>
  <si>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</si>
  <si>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</si>
  <si>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</si>
  <si>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</si>
  <si>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</si>
  <si>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</si>
  <si>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</si>
  <si>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</si>
  <si>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</si>
  <si>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</si>
  <si>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</si>
  <si>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</si>
  <si>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</si>
  <si>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</si>
  <si>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</si>
  <si>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</si>
  <si>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</si>
  <si>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</si>
  <si>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</si>
  <si>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</si>
  <si>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</si>
  <si>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</si>
  <si>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</si>
  <si>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</si>
  <si>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</si>
  <si>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</si>
  <si>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</si>
  <si>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</si>
  <si>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</si>
  <si>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</si>
  <si>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</si>
  <si>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</si>
  <si>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</si>
  <si>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</si>
  <si>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</si>
  <si>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</si>
  <si>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</si>
  <si>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</si>
  <si>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</si>
  <si>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</si>
  <si>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</si>
  <si>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</si>
  <si>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</si>
  <si>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</si>
  <si>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</si>
  <si>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</si>
  <si>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</si>
  <si>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</si>
  <si>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</si>
  <si>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</si>
  <si>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</si>
  <si>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</si>
  <si>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</si>
  <si>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</si>
  <si>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</si>
  <si>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</si>
  <si>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</si>
  <si>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</si>
  <si>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</si>
  <si>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</si>
  <si>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</si>
  <si>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</si>
  <si>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</si>
  <si>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</si>
  <si>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</si>
  <si>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</si>
  <si>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</si>
  <si>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</si>
  <si>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</si>
  <si>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</si>
  <si>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</si>
  <si>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</si>
  <si>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</si>
  <si>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</si>
  <si>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</si>
  <si>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</si>
  <si>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</si>
  <si>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</si>
  <si>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</si>
  <si>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</si>
  <si>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</si>
  <si>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</si>
  <si>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</si>
  <si>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</si>
  <si>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</si>
  <si>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</si>
  <si>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</si>
  <si>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</si>
  <si>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</si>
  <si>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</si>
  <si>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</si>
  <si>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</si>
  <si>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</si>
  <si>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</si>
  <si>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</si>
  <si>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</si>
  <si>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</si>
  <si>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</si>
  <si>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</si>
  <si>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</si>
  <si>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</si>
  <si>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</si>
  <si>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</si>
  <si>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</si>
  <si>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</si>
  <si>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</si>
  <si>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</si>
  <si>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</si>
  <si>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</si>
  <si>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</si>
  <si>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</si>
  <si>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</si>
  <si>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</si>
  <si>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</si>
  <si>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</si>
  <si>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</si>
  <si>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</si>
  <si>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</si>
  <si>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</si>
  <si>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</si>
  <si>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</si>
  <si>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</si>
  <si>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</si>
  <si>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</si>
  <si>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</si>
  <si>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</si>
  <si>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</si>
  <si>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</si>
  <si>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</si>
  <si>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</si>
  <si>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</si>
  <si>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</si>
  <si>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</si>
  <si>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</si>
  <si>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</si>
  <si>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</si>
  <si>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</si>
  <si>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</si>
  <si>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</si>
  <si>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</si>
  <si>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</si>
  <si>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</si>
  <si>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</si>
  <si>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</si>
  <si>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</si>
  <si>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</si>
  <si>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</si>
  <si>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</si>
  <si>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</si>
  <si>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</si>
  <si>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</si>
  <si>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</si>
  <si>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</si>
  <si>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</si>
  <si>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</si>
  <si>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</si>
  <si>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</si>
  <si>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</si>
  <si>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</si>
  <si>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</si>
  <si>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</si>
  <si>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</si>
  <si>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</si>
  <si>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</si>
  <si>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</si>
  <si>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</si>
  <si>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</si>
  <si>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</si>
  <si>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</si>
  <si>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</si>
  <si>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</si>
  <si>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</si>
  <si>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</si>
  <si>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</si>
  <si>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</si>
  <si>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</si>
  <si>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</si>
  <si>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</si>
  <si>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</si>
  <si>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</si>
  <si>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</si>
  <si>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</si>
  <si>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</si>
  <si>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</si>
  <si>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</si>
  <si>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</si>
  <si>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</si>
  <si>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</si>
  <si>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</si>
  <si>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</si>
  <si>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</si>
  <si>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</si>
  <si>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</si>
  <si>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</si>
  <si>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</si>
  <si>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</si>
  <si>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</si>
  <si>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</si>
  <si>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</si>
  <si>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</si>
  <si>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</si>
  <si>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</si>
  <si>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</si>
  <si>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</si>
  <si>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</si>
  <si>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</si>
  <si>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</si>
  <si>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</si>
  <si>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</si>
  <si>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</si>
  <si>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</si>
  <si>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</si>
  <si>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</si>
  <si>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</si>
  <si>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</si>
  <si>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</si>
  <si>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</si>
  <si>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</si>
  <si>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</si>
  <si>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</si>
  <si>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</si>
  <si>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</si>
  <si>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</si>
  <si>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</si>
  <si>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</si>
  <si>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</si>
  <si>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</si>
  <si>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</si>
  <si>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</si>
  <si>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</si>
  <si>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</si>
  <si>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</si>
  <si>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</si>
  <si>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</si>
  <si>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</si>
  <si>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</si>
  <si>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</si>
  <si>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</si>
  <si>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</si>
  <si>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</si>
  <si>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</si>
  <si>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</si>
  <si>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</si>
  <si>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</si>
  <si>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</si>
  <si>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</si>
  <si>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</si>
  <si>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</si>
  <si>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</si>
  <si>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</si>
  <si>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</si>
  <si>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</si>
  <si>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</si>
  <si>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</si>
  <si>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</si>
  <si>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</si>
  <si>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</si>
  <si>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</si>
  <si>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</si>
  <si>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</si>
  <si>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</si>
  <si>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</si>
  <si>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</si>
  <si>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</si>
  <si>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</si>
  <si>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</si>
  <si>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</si>
  <si>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</si>
  <si>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</si>
  <si>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</si>
  <si>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</si>
  <si>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</si>
  <si>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</si>
  <si>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</si>
  <si>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</si>
  <si>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</si>
  <si>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</si>
  <si>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</si>
  <si>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</si>
  <si>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</si>
  <si>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</si>
  <si>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</si>
  <si>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</si>
  <si>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</si>
  <si>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</si>
  <si>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</si>
  <si>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</si>
  <si>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</si>
  <si>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</si>
  <si>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</si>
  <si>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</si>
  <si>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</si>
  <si>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</si>
  <si>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</si>
  <si>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</si>
  <si>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</si>
  <si>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</si>
  <si>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</si>
  <si>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</si>
  <si>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</si>
  <si>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</si>
  <si>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</si>
  <si>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</si>
  <si>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</si>
  <si>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</si>
  <si>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</si>
  <si>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</si>
  <si>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</si>
  <si>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</si>
  <si>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</si>
  <si>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</si>
  <si>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</si>
  <si>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</si>
  <si>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</si>
  <si>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</si>
  <si>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</si>
  <si>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</si>
  <si>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</si>
  <si>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</si>
  <si>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</si>
  <si>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</si>
  <si>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</si>
  <si>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</si>
  <si>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</si>
  <si>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</si>
  <si>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</si>
  <si>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</si>
  <si>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</si>
  <si>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</si>
  <si>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</si>
  <si>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</si>
  <si>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</si>
  <si>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</si>
  <si>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</si>
  <si>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</si>
  <si>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</si>
  <si>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</si>
  <si>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</si>
  <si>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</si>
  <si>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</si>
  <si>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</si>
  <si>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</si>
  <si>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</si>
  <si>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</si>
  <si>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</si>
  <si>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</si>
  <si>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</si>
  <si>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</si>
  <si>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</si>
  <si>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</si>
  <si>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</si>
  <si>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</si>
  <si>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</si>
  <si>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</si>
  <si>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</si>
  <si>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</si>
  <si>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</si>
  <si>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</si>
  <si>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</si>
  <si>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</si>
  <si>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</si>
  <si>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</si>
  <si>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</si>
  <si>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</si>
  <si>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</si>
  <si>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</si>
  <si>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</si>
  <si>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</si>
  <si>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</si>
  <si>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</si>
  <si>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</si>
  <si>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</si>
  <si>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</si>
  <si>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</si>
  <si>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</si>
  <si>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</si>
  <si>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</si>
  <si>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</si>
  <si>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</si>
  <si>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</si>
  <si>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</si>
  <si>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</si>
  <si>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</si>
  <si>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</si>
  <si>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</si>
  <si>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</si>
  <si>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</si>
  <si>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</si>
  <si>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</si>
  <si>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</si>
  <si>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</si>
  <si>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</si>
  <si>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</si>
  <si>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</si>
  <si>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</si>
  <si>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</si>
  <si>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</si>
  <si>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</si>
  <si>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</si>
  <si>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</si>
  <si>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</si>
  <si>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</si>
  <si>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</si>
  <si>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</si>
  <si>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</si>
  <si>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</si>
  <si>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</si>
  <si>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</si>
  <si>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</si>
  <si>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</si>
  <si>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</si>
  <si>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</si>
  <si>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</si>
  <si>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</si>
  <si>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</si>
  <si>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</si>
  <si>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</si>
  <si>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</si>
  <si>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</si>
  <si>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</si>
  <si>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</si>
  <si>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</si>
  <si>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</si>
  <si>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</si>
  <si>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</si>
  <si>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</si>
  <si>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</si>
  <si>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</si>
  <si>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</si>
  <si>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</si>
  <si>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</si>
  <si>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</si>
  <si>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</si>
  <si>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</si>
  <si>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</si>
  <si>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</si>
  <si>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</si>
  <si>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</si>
  <si>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</si>
  <si>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</si>
  <si>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</si>
  <si>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</si>
  <si>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</si>
  <si>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</si>
  <si>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</si>
  <si>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</si>
  <si>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</si>
  <si>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</si>
  <si>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</si>
  <si>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</si>
  <si>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</si>
  <si>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</si>
  <si>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</si>
  <si>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</si>
  <si>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</si>
  <si>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</si>
  <si>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</si>
  <si>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</si>
  <si>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</si>
  <si>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</si>
  <si>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</si>
  <si>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</si>
  <si>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</si>
  <si>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</si>
  <si>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</si>
  <si>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</si>
  <si>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</si>
  <si>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</si>
  <si>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</si>
  <si>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</si>
  <si>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</si>
  <si>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</si>
  <si>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</si>
  <si>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</si>
  <si>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</si>
  <si>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</si>
  <si>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</si>
  <si>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</si>
  <si>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</si>
  <si>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</si>
  <si>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</si>
  <si>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</si>
  <si>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</si>
  <si>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</si>
  <si>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</si>
  <si>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</si>
  <si>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</si>
  <si>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</si>
  <si>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</si>
  <si>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</si>
  <si>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</si>
  <si>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</si>
  <si>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</si>
  <si>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</si>
  <si>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</si>
  <si>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</si>
  <si>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</si>
  <si>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</si>
  <si>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</si>
  <si>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</si>
  <si>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</si>
  <si>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</si>
  <si>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</si>
  <si>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</si>
  <si>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</si>
  <si>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</si>
  <si>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</si>
  <si>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</si>
  <si>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</si>
  <si>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</si>
  <si>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</si>
  <si>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</si>
  <si>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</si>
  <si>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</si>
  <si>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</si>
  <si>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</si>
  <si>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</si>
  <si>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</si>
  <si>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</si>
  <si>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</si>
  <si>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</si>
  <si>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</si>
  <si>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</si>
  <si>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</si>
  <si>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</si>
  <si>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</si>
  <si>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</si>
  <si>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</si>
  <si>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</si>
  <si>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</si>
  <si>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</si>
  <si>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</si>
  <si>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</si>
  <si>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</si>
  <si>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</si>
  <si>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</si>
  <si>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</si>
  <si>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</si>
  <si>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</si>
  <si>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</si>
  <si>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</si>
  <si>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</si>
  <si>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</si>
  <si>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</si>
  <si>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</si>
  <si>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</si>
  <si>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</si>
  <si>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</si>
  <si>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</si>
  <si>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</si>
  <si>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</si>
  <si>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</si>
  <si>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</si>
  <si>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</si>
  <si>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</si>
  <si>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</si>
  <si>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</si>
  <si>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</si>
  <si>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</si>
  <si>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</si>
  <si>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</si>
  <si>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</si>
  <si>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</si>
  <si>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</si>
  <si>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</si>
  <si>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</si>
  <si>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</si>
  <si>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</si>
  <si>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</si>
  <si>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</si>
  <si>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</si>
  <si>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</si>
  <si>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</si>
  <si>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</si>
  <si>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</si>
  <si>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</si>
  <si>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</si>
  <si>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</si>
  <si>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</si>
  <si>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</si>
  <si>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</si>
  <si>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</si>
  <si>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</si>
  <si>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</si>
  <si>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</si>
  <si>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</si>
  <si>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</si>
  <si>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</si>
  <si>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</si>
  <si>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</si>
  <si>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</si>
  <si>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</si>
  <si>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</si>
  <si>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</si>
  <si>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</si>
  <si>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</si>
  <si>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</si>
  <si>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</si>
  <si>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</si>
  <si>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</si>
  <si>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</si>
  <si>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</si>
  <si>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</si>
  <si>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</si>
  <si>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</si>
  <si>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</si>
  <si>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</si>
  <si>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</si>
  <si>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</si>
  <si>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</si>
  <si>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</si>
  <si>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</si>
  <si>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</si>
  <si>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</si>
  <si>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</si>
  <si>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</si>
  <si>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</si>
  <si>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</si>
  <si>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</si>
  <si>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</si>
  <si>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</si>
  <si>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</si>
  <si>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</si>
  <si>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</si>
  <si>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</si>
  <si>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</si>
  <si>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</si>
  <si>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</si>
  <si>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</si>
  <si>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</si>
  <si>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</si>
  <si>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</si>
  <si>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</si>
  <si>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</si>
  <si>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</si>
  <si>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</si>
  <si>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</si>
  <si>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</si>
  <si>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</si>
  <si>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</si>
  <si>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</si>
  <si>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</si>
  <si>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</si>
  <si>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</si>
  <si>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</si>
  <si>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</si>
  <si>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</si>
  <si>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</si>
  <si>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</si>
  <si>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</si>
  <si>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</si>
  <si>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</si>
  <si>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</si>
  <si>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</si>
  <si>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</si>
  <si>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</si>
  <si>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</si>
  <si>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</si>
  <si>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</si>
  <si>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</si>
  <si>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</si>
  <si>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</si>
  <si>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</si>
  <si>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</si>
  <si>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</si>
  <si>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</si>
  <si>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</si>
  <si>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</si>
  <si>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</si>
  <si>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</si>
  <si>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</si>
  <si>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</si>
  <si>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</si>
  <si>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</si>
  <si>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</si>
  <si>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</si>
  <si>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</si>
  <si>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</si>
  <si>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</si>
  <si>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</si>
  <si>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</si>
  <si>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</si>
  <si>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</si>
  <si>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</si>
  <si>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</si>
  <si>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</si>
  <si>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</si>
  <si>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</si>
  <si>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</si>
  <si>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</si>
  <si>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</si>
  <si>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</si>
  <si>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</si>
  <si>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</si>
  <si>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</si>
  <si>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</si>
  <si>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</si>
  <si>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</si>
  <si>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</si>
  <si>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</si>
  <si>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</si>
  <si>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</si>
  <si>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</si>
  <si>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</si>
  <si>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</si>
  <si>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</si>
  <si>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</si>
  <si>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</si>
  <si>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</si>
  <si>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</si>
  <si>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</si>
  <si>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</si>
  <si>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</si>
  <si>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</si>
  <si>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</si>
  <si>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</si>
  <si>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</si>
  <si>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</si>
  <si>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</si>
  <si>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</si>
  <si>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</si>
  <si>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</si>
  <si>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</si>
  <si>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</si>
  <si>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</si>
  <si>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</si>
  <si>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</si>
  <si>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</si>
  <si>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</si>
  <si>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</si>
  <si>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</si>
  <si>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</si>
  <si>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</si>
  <si>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</si>
  <si>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</si>
  <si>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</si>
  <si>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</si>
  <si>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</si>
  <si>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</si>
  <si>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</si>
  <si>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</si>
  <si>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</si>
  <si>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</si>
  <si>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</si>
  <si>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</si>
  <si>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</si>
  <si>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</si>
  <si>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</si>
  <si>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</si>
  <si>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</si>
  <si>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</si>
  <si>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</si>
  <si>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</si>
  <si>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</si>
  <si>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</si>
  <si>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</si>
  <si>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</si>
  <si>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</si>
  <si>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</si>
  <si>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</si>
  <si>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</si>
  <si>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</si>
  <si>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</si>
  <si>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</si>
  <si>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</si>
  <si>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</si>
  <si>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</si>
  <si>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</si>
  <si>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</si>
  <si>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</si>
  <si>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</si>
  <si>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</si>
  <si>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</si>
  <si>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</si>
  <si>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</si>
  <si>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</si>
  <si>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</si>
  <si>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</si>
  <si>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</si>
  <si>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</si>
  <si>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</si>
  <si>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</si>
  <si>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</si>
  <si>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</si>
  <si>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</si>
  <si>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</si>
  <si>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</si>
  <si>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</si>
  <si>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</si>
  <si>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</si>
  <si>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</si>
  <si>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</si>
  <si>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</si>
  <si>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</si>
  <si>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</si>
  <si>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</si>
  <si>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</si>
  <si>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</si>
  <si>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</si>
  <si>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</si>
  <si>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</si>
  <si>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</si>
  <si>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</si>
  <si>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</si>
  <si>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</si>
  <si>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</si>
  <si>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</si>
  <si>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</si>
  <si>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</si>
  <si>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</si>
  <si>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</si>
  <si>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</si>
  <si>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</si>
  <si>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</si>
  <si>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</si>
  <si>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</si>
  <si>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</si>
  <si>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</si>
  <si>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</si>
  <si>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</si>
  <si>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</si>
  <si>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</si>
  <si>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</si>
  <si>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</si>
  <si>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</si>
  <si>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</si>
  <si>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</si>
  <si>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</si>
  <si>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</si>
  <si>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</si>
  <si>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</si>
  <si>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</si>
  <si>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</si>
  <si>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</si>
  <si>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</si>
  <si>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</si>
  <si>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</si>
  <si>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</si>
  <si>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</si>
  <si>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</si>
  <si>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</si>
  <si>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</si>
  <si>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</si>
  <si>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</si>
  <si>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</si>
  <si>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</si>
  <si>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</si>
  <si>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</si>
  <si>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</si>
  <si>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</si>
  <si>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</si>
  <si>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</si>
  <si>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</si>
  <si>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</si>
  <si>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</si>
  <si>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</si>
  <si>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</si>
  <si>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</si>
  <si>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</si>
  <si>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</si>
  <si>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</si>
  <si>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</si>
  <si>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</si>
  <si>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</si>
  <si>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</si>
  <si>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</si>
  <si>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</si>
  <si>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</si>
  <si>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</si>
  <si>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</si>
  <si>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</si>
  <si>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</si>
  <si>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</si>
  <si>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</si>
  <si>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</si>
  <si>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</si>
  <si>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</si>
  <si>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</si>
  <si>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</si>
  <si>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</si>
  <si>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</si>
  <si>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</si>
  <si>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</si>
  <si>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</si>
  <si>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</si>
  <si>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</si>
  <si>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</si>
  <si>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</si>
  <si>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</si>
  <si>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</si>
  <si>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</si>
  <si>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</si>
  <si>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</si>
  <si>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</si>
  <si>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</si>
  <si>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</si>
  <si>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</si>
  <si>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</si>
  <si>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</si>
  <si>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</si>
  <si>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</si>
  <si>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</si>
  <si>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</si>
  <si>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</si>
  <si>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</si>
  <si>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</si>
  <si>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</si>
  <si>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</si>
  <si>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</si>
  <si>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</si>
  <si>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</si>
  <si>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</si>
  <si>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</si>
  <si>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</si>
  <si>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</si>
  <si>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</si>
  <si>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</si>
  <si>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</si>
  <si>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</si>
  <si>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</si>
  <si>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</si>
  <si>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</si>
  <si>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</si>
  <si>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</si>
  <si>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</si>
  <si>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</si>
  <si>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</si>
  <si>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</si>
  <si>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</si>
  <si>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</si>
  <si>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</si>
  <si>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</si>
  <si>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</si>
  <si>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</si>
  <si>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</si>
  <si>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</si>
  <si>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</si>
  <si>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</si>
  <si>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</si>
  <si>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</si>
  <si>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</si>
  <si>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</si>
  <si>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</si>
  <si>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</si>
  <si>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</si>
  <si>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</si>
  <si>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</si>
  <si>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</si>
  <si>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</si>
  <si>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</si>
  <si>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</si>
  <si>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</si>
  <si>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</si>
  <si>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</si>
  <si>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</si>
  <si>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</si>
  <si>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</si>
  <si>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</si>
  <si>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</si>
  <si>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</si>
  <si>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</si>
  <si>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</si>
  <si>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</si>
  <si>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</si>
  <si>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</si>
  <si>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</si>
  <si>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</si>
  <si>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</si>
  <si>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</si>
  <si>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</si>
  <si>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</si>
  <si>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</si>
  <si>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</si>
  <si>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</si>
  <si>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</si>
  <si>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</si>
  <si>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</si>
  <si>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</si>
  <si>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</si>
  <si>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</si>
  <si>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</si>
  <si>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</si>
  <si>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</si>
  <si>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</si>
  <si>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</si>
  <si>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</si>
  <si>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</si>
  <si>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</si>
  <si>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</si>
  <si>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</si>
  <si>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</si>
  <si>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</si>
  <si>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</si>
  <si>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</si>
  <si>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</si>
  <si>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</si>
  <si>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</si>
  <si>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</si>
  <si>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</si>
  <si>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</si>
  <si>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</si>
  <si>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</si>
  <si>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</si>
  <si>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</si>
  <si>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</si>
  <si>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</si>
  <si>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</si>
  <si>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</si>
  <si>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</si>
  <si>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</si>
  <si>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</si>
  <si>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</si>
  <si>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</si>
  <si>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</si>
  <si>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</si>
  <si>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</si>
  <si>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</si>
  <si>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</si>
  <si>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</si>
  <si>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</si>
  <si>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</si>
  <si>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</si>
  <si>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</si>
  <si>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</si>
  <si>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</si>
  <si>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</si>
  <si>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</si>
  <si>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</si>
  <si>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</si>
  <si>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</si>
  <si>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</si>
  <si>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</si>
  <si>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</si>
  <si>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</si>
  <si>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</si>
  <si>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</si>
  <si>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</si>
  <si>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</si>
  <si>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</si>
  <si>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</si>
  <si>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</si>
  <si>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</si>
  <si>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</si>
  <si>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</si>
  <si>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</si>
  <si>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</si>
  <si>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</si>
  <si>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</si>
  <si>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</si>
  <si>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</si>
  <si>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</si>
  <si>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</si>
  <si>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</si>
  <si>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</si>
  <si>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</si>
  <si>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</si>
  <si>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</si>
  <si>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</si>
  <si>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</si>
  <si>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</si>
  <si>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</si>
  <si>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</si>
  <si>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</si>
  <si>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</si>
  <si>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</si>
  <si>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</si>
  <si>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</si>
  <si>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</si>
  <si>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</si>
  <si>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</si>
  <si>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</si>
  <si>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</si>
  <si>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</si>
  <si>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</si>
  <si>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</si>
  <si>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</si>
  <si>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</si>
  <si>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</si>
  <si>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</si>
  <si>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</si>
  <si>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</si>
  <si>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</si>
  <si>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</si>
  <si>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</si>
  <si>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</si>
  <si>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</si>
  <si>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</si>
  <si>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</si>
  <si>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</si>
  <si>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</si>
  <si>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</si>
  <si>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</si>
  <si>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</si>
  <si>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</si>
  <si>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</si>
  <si>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</si>
  <si>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</si>
  <si>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</si>
  <si>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</si>
  <si>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</si>
  <si>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</si>
  <si>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</si>
  <si>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</si>
  <si>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</si>
  <si>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</si>
  <si>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</si>
  <si>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</si>
  <si>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</si>
  <si>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</si>
  <si>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</si>
  <si>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</si>
  <si>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</si>
  <si>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</si>
  <si>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</si>
  <si>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</si>
  <si>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</si>
  <si>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</si>
  <si>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</si>
  <si>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</si>
  <si>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</si>
  <si>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</si>
  <si>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</si>
  <si>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</si>
  <si>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</si>
  <si>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</si>
  <si>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</si>
  <si>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</si>
  <si>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</si>
  <si>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</si>
  <si>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</si>
  <si>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</si>
  <si>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</si>
  <si>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</si>
  <si>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</si>
  <si>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</si>
  <si>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</si>
  <si>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</si>
  <si>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</si>
  <si>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</si>
  <si>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</si>
  <si>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</si>
  <si>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</si>
  <si>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</si>
  <si>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</si>
  <si>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</si>
  <si>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</si>
  <si>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</si>
  <si>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</si>
  <si>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</si>
  <si>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</si>
  <si>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</si>
  <si>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</si>
  <si>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</si>
  <si>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</si>
  <si>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</si>
  <si>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</si>
  <si>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</si>
  <si>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</si>
  <si>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</si>
  <si>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</si>
  <si>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</si>
  <si>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</si>
  <si>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</si>
  <si>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</si>
  <si>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</si>
  <si>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</si>
  <si>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</si>
  <si>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</si>
  <si>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</si>
  <si>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</si>
  <si>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</si>
  <si>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</si>
  <si>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</si>
  <si>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</si>
  <si>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</si>
  <si>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</si>
  <si>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</si>
  <si>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</si>
  <si>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</si>
  <si>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</si>
  <si>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</si>
  <si>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</si>
  <si>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</si>
  <si>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</si>
  <si>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</si>
  <si>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</si>
  <si>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</si>
  <si>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</si>
  <si>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</si>
  <si>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</si>
  <si>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</si>
  <si>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</si>
  <si>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</si>
  <si>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</si>
  <si>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</si>
  <si>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</si>
  <si>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</si>
  <si>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</si>
  <si>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</si>
  <si>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</si>
  <si>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</si>
  <si>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</si>
  <si>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</si>
  <si>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</si>
  <si>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</si>
  <si>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</si>
  <si>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</si>
  <si>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</si>
  <si>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</si>
  <si>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</si>
  <si>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</si>
  <si>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</si>
  <si>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</si>
  <si>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</si>
  <si>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</si>
  <si>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</si>
  <si>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</si>
  <si>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</si>
  <si>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</si>
  <si>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</si>
  <si>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</si>
  <si>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</si>
  <si>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</si>
  <si>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</si>
  <si>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</si>
  <si>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</si>
  <si>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</si>
  <si>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</si>
  <si>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</si>
  <si>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</si>
  <si>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</si>
  <si>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</si>
  <si>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</si>
  <si>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</si>
  <si>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</si>
  <si>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</si>
  <si>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</si>
  <si>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</si>
  <si>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</si>
  <si>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</si>
  <si>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</si>
  <si>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</si>
  <si>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</si>
  <si>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</si>
  <si>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</si>
  <si>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</si>
  <si>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</si>
  <si>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</si>
  <si>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</si>
  <si>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</si>
  <si>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</si>
  <si>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</si>
  <si>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</si>
  <si>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</si>
  <si>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</si>
  <si>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</si>
  <si>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</si>
  <si>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</si>
  <si>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</si>
  <si>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</si>
  <si>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</si>
  <si>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</si>
  <si>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</si>
  <si>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</si>
  <si>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</si>
  <si>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</si>
  <si>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</si>
  <si>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</si>
  <si>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</si>
  <si>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</si>
  <si>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</si>
  <si>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</si>
  <si>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</si>
  <si>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</si>
  <si>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</si>
  <si>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</si>
  <si>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</si>
  <si>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</si>
  <si>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</si>
  <si>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</si>
  <si>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</si>
  <si>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</si>
  <si>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</si>
  <si>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</si>
  <si>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</si>
  <si>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</si>
  <si>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</si>
  <si>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</si>
  <si>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</si>
  <si>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</si>
  <si>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</si>
  <si>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</si>
  <si>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</si>
  <si>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</si>
  <si>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</si>
  <si>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</si>
  <si>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</si>
  <si>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</si>
  <si>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</si>
  <si>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</si>
  <si>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</si>
  <si>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</si>
  <si>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</si>
  <si>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</si>
  <si>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</si>
  <si>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</si>
  <si>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</si>
  <si>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</si>
  <si>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</si>
  <si>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</si>
  <si>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</si>
  <si>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</si>
  <si>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</si>
  <si>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</si>
  <si>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</si>
  <si>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</si>
  <si>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</si>
  <si>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</si>
  <si>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</si>
  <si>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</si>
  <si>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</si>
  <si>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</si>
  <si>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</si>
  <si>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</si>
  <si>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</si>
  <si>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</si>
  <si>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</si>
  <si>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</si>
  <si>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</si>
  <si>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</si>
  <si>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</si>
  <si>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</si>
  <si>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</si>
  <si>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</si>
  <si>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</si>
  <si>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</si>
  <si>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</si>
  <si>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</si>
  <si>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</si>
  <si>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</si>
  <si>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</si>
  <si>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</si>
  <si>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</si>
  <si>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</si>
  <si>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</si>
  <si>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</si>
  <si>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</si>
  <si>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</si>
  <si>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</si>
  <si>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</si>
  <si>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</si>
  <si>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</si>
  <si>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</si>
  <si>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</si>
  <si>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</si>
  <si>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</si>
  <si>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</si>
  <si>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</si>
  <si>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</si>
  <si>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</si>
  <si>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</si>
  <si>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</si>
  <si>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</si>
  <si>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</si>
  <si>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</si>
  <si>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</si>
  <si>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</si>
  <si>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</si>
  <si>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</si>
  <si>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</si>
  <si>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</si>
  <si>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</si>
  <si>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</si>
  <si>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</si>
  <si>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</si>
  <si>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</si>
  <si>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</si>
  <si>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</si>
  <si>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</si>
  <si>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</si>
  <si>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</si>
  <si>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</si>
  <si>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</si>
  <si>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</si>
  <si>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</si>
  <si>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</si>
  <si>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</si>
  <si>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</si>
  <si>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</si>
  <si>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</si>
  <si>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</si>
  <si>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</si>
  <si>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</si>
  <si>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</si>
  <si>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</si>
  <si>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</si>
  <si>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</si>
  <si>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</si>
  <si>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</si>
  <si>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</si>
  <si>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</si>
  <si>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</si>
  <si>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</si>
  <si>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</si>
  <si>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</si>
  <si>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</si>
  <si>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</si>
  <si>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</si>
  <si>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</si>
  <si>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</si>
  <si>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</si>
  <si>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</si>
  <si>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</si>
  <si>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</si>
  <si>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</si>
  <si>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</si>
  <si>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</si>
  <si>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</si>
  <si>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</si>
  <si>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</si>
  <si>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</si>
  <si>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</si>
  <si>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</si>
  <si>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</si>
  <si>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</si>
  <si>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</si>
  <si>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</si>
  <si>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</si>
  <si>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</si>
  <si>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</si>
  <si>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</si>
  <si>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</si>
  <si>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</si>
  <si>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</si>
  <si>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</si>
  <si>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</si>
  <si>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</si>
  <si>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</si>
  <si>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</si>
  <si>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</si>
  <si>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</si>
  <si>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</si>
  <si>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</si>
  <si>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</si>
  <si>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</si>
  <si>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</si>
  <si>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</si>
  <si>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</si>
  <si>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</si>
  <si>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</si>
  <si>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</si>
  <si>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</si>
  <si>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</si>
  <si>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</si>
  <si>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</si>
  <si>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</si>
  <si>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</si>
  <si>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</si>
  <si>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</si>
  <si>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</si>
  <si>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</si>
  <si>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</si>
  <si>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</si>
  <si>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</si>
  <si>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</si>
  <si>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</si>
  <si>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</si>
  <si>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</si>
  <si>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</si>
  <si>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</si>
  <si>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</si>
  <si>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</si>
  <si>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</si>
  <si>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</si>
  <si>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</si>
  <si>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</si>
  <si>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</si>
  <si>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</si>
  <si>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</si>
  <si>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</si>
  <si>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</si>
  <si>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</si>
  <si>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</si>
  <si>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</si>
  <si>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</si>
  <si>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</si>
  <si>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</si>
  <si>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</si>
  <si>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</si>
  <si>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</si>
  <si>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</si>
  <si>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</si>
  <si>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</si>
  <si>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</si>
  <si>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</si>
  <si>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</si>
  <si>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</si>
  <si>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</si>
  <si>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</si>
  <si>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</si>
  <si>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</si>
  <si>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</si>
  <si>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</si>
  <si>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</si>
  <si>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</si>
  <si>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</si>
  <si>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</si>
  <si>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</si>
  <si>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</si>
  <si>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</si>
  <si>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</si>
  <si>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</si>
  <si>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</si>
  <si>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</si>
  <si>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</si>
  <si>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</si>
  <si>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</si>
  <si>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</si>
  <si>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</si>
  <si>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</si>
  <si>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</si>
  <si>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</si>
  <si>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</si>
  <si>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</si>
  <si>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</si>
  <si>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</si>
  <si>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</si>
  <si>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</si>
  <si>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</si>
  <si>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</si>
  <si>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</si>
  <si>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</si>
  <si>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</si>
  <si>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</si>
  <si>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</si>
  <si>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</si>
  <si>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</si>
  <si>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</si>
  <si>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</si>
  <si>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</si>
  <si>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</si>
  <si>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</si>
  <si>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</si>
  <si>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</si>
  <si>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</si>
  <si>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</si>
  <si>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</si>
  <si>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</si>
  <si>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</si>
  <si>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</si>
  <si>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</si>
  <si>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</si>
  <si>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</si>
  <si>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</si>
  <si>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</si>
  <si>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</si>
  <si>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</si>
  <si>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</si>
  <si>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</si>
  <si>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</si>
  <si>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</si>
  <si>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</si>
  <si>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</si>
  <si>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</si>
  <si>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</si>
  <si>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</si>
  <si>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</si>
  <si>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</si>
  <si>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</si>
  <si>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</si>
  <si>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</si>
  <si>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</si>
  <si>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</si>
  <si>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</si>
  <si>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</si>
  <si>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</si>
  <si>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</si>
  <si>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</si>
  <si>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</si>
  <si>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</si>
  <si>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</si>
  <si>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</si>
  <si>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</si>
  <si>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</si>
  <si>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</si>
  <si>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</si>
  <si>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</si>
  <si>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</si>
  <si>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</si>
  <si>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</si>
  <si>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</si>
  <si>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</si>
  <si>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</si>
  <si>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</si>
  <si>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</si>
  <si>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</si>
  <si>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</si>
  <si>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</si>
  <si>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</si>
  <si>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</si>
  <si>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</si>
  <si>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</si>
  <si>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</si>
  <si>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</si>
  <si>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</si>
  <si>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</si>
  <si>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</si>
  <si>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</si>
  <si>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</si>
  <si>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</si>
  <si>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</si>
  <si>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</si>
  <si>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</si>
  <si>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</si>
  <si>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</si>
  <si>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</si>
  <si>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</si>
  <si>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</si>
  <si>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</si>
  <si>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</si>
  <si>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</si>
  <si>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</si>
  <si>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</si>
  <si>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</si>
  <si>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</si>
  <si>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</si>
  <si>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</si>
  <si>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</si>
  <si>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</si>
  <si>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</si>
  <si>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</si>
  <si>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</si>
  <si>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</si>
  <si>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</si>
  <si>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</si>
  <si>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</si>
  <si>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</si>
  <si>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</si>
  <si>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</si>
  <si>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</si>
  <si>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</si>
  <si>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</si>
  <si>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</si>
  <si>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</si>
  <si>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</si>
  <si>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</si>
  <si>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</si>
  <si>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</si>
  <si>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</si>
  <si>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</si>
  <si>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</si>
  <si>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</si>
  <si>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</si>
  <si>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</si>
  <si>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</si>
  <si>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</si>
  <si>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</si>
  <si>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</si>
  <si>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</si>
  <si>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</si>
  <si>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</si>
  <si>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</si>
  <si>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</si>
  <si>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</si>
  <si>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</si>
  <si>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</si>
  <si>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</si>
  <si>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</si>
  <si>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</si>
  <si>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</si>
  <si>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</si>
  <si>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</si>
  <si>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</si>
  <si>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</si>
  <si>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</si>
  <si>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</si>
  <si>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</si>
  <si>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</si>
  <si>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</si>
  <si>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</si>
  <si>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</si>
  <si>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</si>
  <si>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</si>
  <si>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</si>
  <si>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</si>
  <si>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</si>
  <si>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</si>
  <si>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</si>
  <si>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</si>
  <si>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</si>
  <si>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</si>
  <si>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</si>
  <si>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</si>
  <si>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</si>
  <si>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</si>
  <si>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</si>
  <si>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</si>
  <si>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</si>
  <si>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</si>
  <si>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</si>
  <si>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</si>
  <si>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</si>
  <si>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</si>
  <si>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</si>
  <si>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</si>
  <si>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</si>
  <si>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</si>
  <si>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</si>
  <si>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</si>
  <si>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</si>
  <si>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</si>
  <si>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</si>
  <si>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</si>
  <si>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</si>
  <si>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</si>
  <si>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</si>
  <si>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</si>
  <si>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</si>
  <si>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</si>
  <si>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</si>
  <si>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</si>
  <si>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</si>
  <si>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</si>
  <si>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</si>
  <si>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</si>
  <si>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</si>
  <si>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</si>
  <si>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</si>
  <si>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</si>
  <si>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</si>
  <si>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</si>
  <si>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</si>
  <si>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</si>
  <si>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</si>
  <si>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</si>
  <si>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</si>
  <si>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</si>
  <si>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</si>
  <si>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</si>
  <si>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</si>
  <si>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</si>
  <si>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</si>
  <si>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</si>
  <si>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</si>
  <si>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</si>
  <si>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</si>
  <si>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</si>
  <si>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</si>
  <si>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</si>
  <si>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</si>
  <si>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</si>
  <si>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</si>
  <si>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</si>
  <si>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</si>
  <si>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</si>
  <si>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</si>
  <si>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</si>
  <si>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</si>
  <si>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</si>
  <si>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</si>
  <si>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</si>
  <si>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</si>
  <si>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</si>
  <si>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</si>
  <si>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</si>
  <si>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</si>
  <si>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</si>
  <si>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</si>
  <si>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</si>
  <si>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</si>
  <si>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</si>
  <si>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</si>
  <si>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</si>
  <si>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</si>
  <si>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</si>
  <si>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</si>
  <si>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</si>
  <si>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</si>
  <si>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</si>
  <si>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</si>
  <si>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</si>
  <si>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</si>
  <si>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</si>
  <si>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</si>
  <si>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</si>
  <si>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</si>
  <si>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</si>
  <si>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</si>
  <si>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</si>
  <si>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</si>
  <si>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</si>
  <si>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</si>
  <si>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</si>
  <si>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</si>
  <si>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</si>
  <si>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</si>
  <si>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</si>
  <si>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</si>
  <si>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</si>
  <si>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</si>
  <si>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</si>
  <si>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</si>
  <si>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</si>
  <si>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</si>
  <si>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</si>
  <si>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</si>
  <si>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</si>
  <si>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</si>
  <si>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</si>
  <si>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</si>
  <si>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</si>
  <si>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</si>
  <si>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</si>
  <si>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</si>
  <si>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</si>
  <si>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</si>
  <si>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</si>
  <si>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</si>
  <si>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</si>
  <si>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</si>
  <si>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</si>
  <si>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</si>
  <si>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</si>
  <si>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</si>
  <si>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</si>
  <si>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</si>
  <si>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</si>
  <si>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</si>
  <si>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</si>
  <si>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</si>
  <si>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</si>
  <si>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</si>
  <si>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</si>
  <si>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</si>
  <si>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</si>
  <si>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</si>
  <si>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</si>
  <si>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</si>
  <si>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</si>
  <si>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</si>
  <si>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</si>
  <si>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</si>
  <si>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</si>
  <si>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</si>
  <si>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</si>
  <si>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</si>
  <si>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</si>
  <si>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</si>
  <si>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</si>
  <si>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</si>
  <si>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</si>
  <si>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</si>
  <si>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</si>
  <si>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</si>
  <si>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</si>
  <si>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</si>
  <si>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</si>
  <si>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</si>
  <si>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</si>
  <si>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</si>
  <si>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</si>
  <si>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</si>
  <si>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</si>
  <si>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</si>
  <si>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</si>
  <si>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</si>
  <si>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</si>
  <si>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</si>
  <si>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</si>
  <si>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</si>
  <si>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</si>
  <si>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</si>
  <si>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</si>
  <si>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</si>
  <si>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</si>
  <si>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</si>
  <si>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</si>
  <si>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</si>
  <si>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</si>
  <si>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</si>
  <si>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</si>
  <si>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</si>
  <si>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</si>
  <si>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</si>
  <si>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</si>
  <si>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</si>
  <si>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</si>
  <si>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</si>
  <si>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</si>
  <si>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</si>
  <si>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</si>
  <si>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</si>
  <si>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</si>
  <si>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</si>
  <si>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</si>
  <si>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</si>
  <si>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</si>
  <si>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</si>
  <si>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</si>
  <si>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</si>
  <si>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</si>
  <si>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</si>
  <si>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</si>
  <si>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</si>
  <si>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</si>
  <si>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</si>
  <si>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</si>
  <si>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</si>
  <si>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</si>
  <si>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</si>
  <si>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</si>
  <si>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</si>
  <si>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</si>
  <si>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</si>
  <si>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</si>
  <si>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</si>
  <si>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</si>
  <si>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</si>
  <si>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</si>
  <si>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</si>
  <si>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</si>
  <si>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</si>
  <si>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</si>
  <si>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</si>
  <si>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</si>
  <si>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</si>
  <si>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</si>
  <si>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</si>
  <si>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</si>
  <si>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</si>
  <si>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</si>
  <si>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</si>
  <si>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</si>
  <si>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</si>
  <si>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</si>
  <si>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</si>
  <si>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</si>
  <si>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</si>
  <si>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</si>
  <si>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</si>
  <si>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</si>
  <si>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</si>
  <si>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</si>
  <si>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</si>
  <si>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</si>
  <si>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</si>
  <si>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</si>
  <si>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</si>
  <si>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</si>
  <si>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</si>
  <si>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</si>
  <si>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</si>
  <si>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</si>
  <si>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</si>
  <si>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</si>
  <si>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</si>
  <si>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</si>
  <si>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</si>
  <si>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</si>
  <si>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</si>
  <si>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</si>
  <si>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</si>
  <si>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</si>
  <si>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</si>
  <si>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</si>
  <si>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</si>
  <si>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</si>
  <si>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</si>
  <si>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</si>
  <si>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</si>
  <si>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</si>
  <si>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</si>
  <si>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</si>
  <si>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</si>
  <si>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</si>
  <si>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</si>
  <si>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</si>
  <si>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</si>
  <si>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</si>
  <si>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</si>
  <si>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</si>
  <si>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</si>
  <si>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</si>
  <si>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</si>
  <si>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</si>
  <si>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</si>
  <si>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</si>
  <si>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</si>
  <si>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</si>
  <si>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</si>
  <si>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</si>
  <si>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</si>
  <si>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</si>
  <si>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</si>
  <si>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</si>
  <si>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</si>
  <si>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</si>
  <si>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</si>
  <si>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</si>
  <si>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</si>
  <si>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</si>
  <si>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</si>
  <si>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</si>
  <si>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</si>
  <si>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</si>
  <si>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</si>
  <si>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</si>
  <si>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</si>
  <si>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</si>
  <si>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</si>
  <si>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</si>
  <si>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</si>
  <si>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</si>
  <si>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</si>
  <si>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</si>
  <si>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</si>
  <si>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</si>
  <si>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</si>
  <si>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</si>
  <si>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</si>
  <si>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</si>
  <si>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</si>
  <si>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</si>
  <si>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</si>
  <si>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</si>
  <si>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</si>
  <si>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</si>
  <si>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</si>
  <si>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</si>
  <si>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</si>
  <si>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</si>
  <si>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</si>
  <si>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</si>
  <si>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</si>
  <si>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</si>
  <si>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</si>
  <si>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</si>
  <si>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</si>
  <si>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</si>
  <si>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</si>
  <si>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</si>
  <si>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</si>
  <si>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</si>
  <si>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</si>
  <si>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</si>
  <si>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</si>
  <si>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</si>
  <si>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</si>
  <si>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</si>
  <si>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</si>
  <si>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</si>
  <si>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</si>
  <si>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</si>
  <si>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</si>
  <si>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</si>
  <si>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</si>
  <si>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</si>
  <si>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</si>
  <si>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</si>
  <si>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</si>
  <si>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</si>
  <si>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</si>
  <si>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</si>
  <si>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</si>
  <si>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</si>
  <si>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</si>
  <si>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</si>
  <si>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</si>
  <si>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</si>
  <si>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</si>
  <si>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</si>
  <si>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</si>
  <si>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</si>
  <si>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</si>
  <si>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</si>
  <si>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</si>
  <si>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</si>
  <si>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</si>
  <si>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</si>
  <si>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</si>
  <si>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</si>
  <si>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</si>
  <si>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</si>
  <si>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</si>
  <si>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</si>
  <si>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</si>
  <si>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</si>
  <si>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</si>
  <si>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</si>
  <si>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</si>
  <si>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</si>
  <si>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</si>
  <si>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</si>
  <si>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</si>
  <si>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</si>
  <si>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</si>
  <si>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</si>
  <si>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</si>
  <si>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</si>
  <si>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</si>
  <si>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</si>
  <si>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</si>
  <si>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</si>
  <si>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</si>
  <si>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</si>
  <si>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</si>
  <si>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</si>
  <si>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</si>
  <si>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</si>
  <si>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</si>
  <si>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</si>
  <si>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</si>
  <si>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</si>
  <si>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</si>
  <si>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</si>
  <si>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</si>
  <si>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</si>
  <si>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</si>
  <si>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</si>
  <si>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</si>
  <si>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</si>
  <si>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</si>
  <si>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</si>
  <si>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</si>
  <si>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</si>
  <si>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</si>
  <si>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</si>
  <si>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</si>
  <si>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</si>
  <si>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</si>
  <si>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</si>
  <si>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</si>
  <si>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</si>
  <si>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</si>
  <si>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</si>
  <si>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</si>
  <si>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</si>
  <si>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</si>
  <si>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</si>
  <si>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</si>
  <si>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</si>
  <si>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</si>
  <si>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</si>
  <si>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</si>
  <si>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</si>
  <si>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</si>
  <si>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</si>
  <si>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</si>
  <si>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</si>
  <si>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</si>
  <si>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</si>
  <si>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</si>
  <si>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</si>
  <si>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</si>
  <si>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</si>
  <si>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</si>
  <si>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</si>
  <si>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</si>
  <si>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</si>
  <si>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</si>
  <si>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</si>
  <si>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</si>
  <si>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</si>
  <si>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</si>
  <si>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</si>
  <si>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</si>
  <si>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</si>
  <si>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</si>
  <si>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</si>
  <si>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</si>
  <si>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</si>
  <si>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</si>
  <si>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</si>
  <si>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</si>
  <si>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</si>
  <si>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</si>
  <si>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</si>
  <si>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</si>
  <si>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</si>
  <si>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</si>
  <si>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</si>
  <si>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</si>
  <si>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</si>
  <si>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</si>
  <si>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</si>
  <si>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</si>
  <si>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</si>
  <si>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</si>
  <si>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</si>
  <si>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</si>
  <si>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</si>
  <si>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</si>
  <si>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</si>
  <si>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</si>
  <si>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</si>
  <si>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</si>
  <si>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</si>
  <si>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</si>
  <si>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</si>
  <si>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</si>
  <si>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</si>
  <si>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</si>
  <si>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</si>
  <si>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</si>
  <si>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</si>
  <si>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</si>
  <si>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</si>
  <si>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</si>
  <si>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</si>
  <si>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</si>
  <si>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</si>
  <si>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</si>
  <si>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</si>
  <si>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</si>
  <si>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</si>
  <si>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</si>
  <si>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</si>
  <si>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</si>
  <si>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</si>
  <si>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</si>
  <si>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</si>
  <si>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</si>
  <si>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</si>
  <si>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</si>
  <si>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</si>
  <si>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</si>
  <si>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</si>
  <si>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</si>
  <si>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</si>
  <si>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</si>
  <si>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</si>
  <si>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</si>
  <si>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</si>
  <si>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</si>
  <si>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</si>
  <si>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</si>
  <si>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</si>
  <si>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</si>
  <si>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</si>
  <si>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</si>
  <si>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</si>
  <si>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</si>
  <si>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</si>
  <si>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</si>
  <si>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</si>
  <si>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</si>
  <si>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</si>
  <si>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</si>
  <si>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</si>
  <si>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</si>
  <si>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</si>
  <si>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</si>
  <si>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</si>
  <si>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</si>
  <si>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</si>
  <si>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</si>
  <si>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</si>
  <si>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</si>
  <si>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</si>
  <si>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</si>
  <si>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</si>
  <si>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</si>
  <si>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</si>
  <si>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</si>
  <si>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</si>
  <si>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</si>
  <si>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</si>
  <si>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</si>
  <si>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</si>
  <si>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</si>
  <si>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</si>
  <si>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</si>
  <si>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</si>
  <si>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</si>
  <si>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</si>
  <si>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</si>
  <si>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</si>
  <si>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</si>
  <si>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</si>
  <si>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</si>
  <si>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</si>
  <si>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</si>
  <si>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</si>
  <si>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</si>
  <si>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</si>
  <si>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</si>
  <si>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</si>
  <si>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</si>
  <si>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</si>
  <si>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</si>
  <si>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</si>
  <si>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</si>
  <si>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</si>
  <si>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</si>
  <si>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</si>
  <si>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</si>
  <si>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</si>
  <si>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</si>
  <si>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</si>
  <si>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</si>
  <si>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</si>
  <si>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</si>
  <si>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</si>
  <si>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</si>
  <si>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</si>
  <si>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</si>
  <si>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</si>
  <si>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</si>
  <si>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</si>
  <si>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</si>
  <si>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</si>
  <si>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</si>
  <si>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</si>
  <si>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</si>
  <si>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</si>
  <si>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</si>
  <si>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</si>
  <si>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</si>
  <si>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</si>
  <si>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</si>
  <si>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</si>
  <si>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</si>
  <si>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</si>
  <si>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</si>
  <si>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</si>
  <si>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</si>
  <si>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</si>
  <si>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</si>
  <si>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</si>
  <si>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</si>
  <si>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</si>
  <si>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</si>
  <si>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</si>
  <si>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</si>
  <si>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</si>
  <si>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</si>
  <si>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</si>
  <si>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</si>
  <si>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</si>
  <si>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</si>
  <si>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</si>
  <si>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</si>
  <si>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</si>
  <si>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</si>
  <si>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</si>
  <si>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</si>
  <si>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</si>
  <si>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</si>
  <si>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</si>
  <si>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</si>
  <si>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</si>
  <si>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</si>
  <si>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</si>
  <si>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</si>
  <si>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</si>
  <si>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</si>
  <si>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</si>
  <si>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</si>
  <si>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</si>
  <si>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</si>
  <si>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</si>
  <si>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</si>
  <si>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</si>
  <si>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</si>
  <si>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</si>
  <si>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</si>
  <si>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</si>
  <si>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</si>
  <si>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</si>
  <si>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</si>
  <si>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</si>
  <si>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</si>
  <si>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</si>
  <si>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</si>
  <si>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</si>
  <si>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</si>
  <si>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</si>
  <si>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</si>
  <si>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</si>
  <si>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</si>
  <si>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</si>
  <si>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</si>
  <si>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</si>
  <si>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</si>
  <si>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</si>
  <si>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</si>
  <si>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</si>
  <si>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</si>
  <si>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</si>
  <si>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</si>
  <si>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</si>
  <si>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</si>
  <si>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</si>
  <si>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</si>
  <si>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</si>
  <si>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</si>
  <si>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</si>
  <si>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</si>
  <si>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</si>
  <si>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</si>
  <si>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</si>
  <si>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</si>
  <si>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</si>
  <si>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</si>
  <si>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</si>
  <si>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</si>
  <si>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</si>
  <si>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</si>
  <si>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</si>
  <si>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</si>
  <si>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</si>
  <si>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</si>
  <si>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</si>
  <si>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</si>
  <si>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</si>
  <si>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</si>
  <si>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</si>
  <si>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</si>
  <si>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</si>
  <si>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</si>
  <si>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</si>
  <si>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</si>
  <si>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</si>
  <si>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</si>
  <si>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</si>
  <si>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</si>
  <si>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</si>
  <si>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</si>
  <si>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</si>
  <si>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</si>
  <si>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</si>
  <si>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</si>
  <si>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</si>
  <si>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</si>
  <si>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</si>
  <si>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</si>
  <si>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</si>
  <si>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</si>
  <si>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</si>
  <si>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</si>
  <si>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</si>
  <si>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</si>
  <si>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</si>
  <si>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</si>
  <si>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</si>
  <si>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</si>
  <si>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</si>
  <si>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</si>
  <si>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</si>
  <si>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</si>
  <si>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</si>
  <si>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</si>
  <si>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</si>
  <si>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</si>
  <si>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</si>
  <si>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</si>
  <si>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</si>
  <si>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</si>
  <si>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</si>
  <si>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</si>
  <si>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</si>
  <si>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</si>
  <si>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</si>
  <si>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</si>
  <si>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</si>
  <si>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</si>
  <si>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</si>
  <si>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</si>
  <si>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</si>
  <si>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</si>
  <si>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</si>
  <si>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</si>
  <si>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</si>
  <si>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</si>
  <si>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</si>
  <si>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</si>
  <si>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</si>
  <si>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</si>
  <si>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</si>
  <si>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</si>
  <si>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</si>
  <si>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</si>
  <si>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</si>
  <si>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</si>
  <si>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</si>
  <si>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</si>
  <si>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</si>
  <si>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</si>
  <si>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</si>
  <si>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</si>
  <si>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</si>
  <si>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</si>
  <si>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</si>
  <si>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</si>
  <si>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</si>
  <si>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</si>
  <si>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</si>
  <si>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</si>
  <si>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</si>
  <si>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</si>
  <si>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</si>
  <si>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</si>
  <si>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</si>
  <si>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</si>
  <si>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</si>
  <si>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</si>
  <si>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</si>
  <si>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</si>
  <si>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</si>
  <si>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</si>
  <si>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</si>
  <si>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</si>
  <si>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</si>
  <si>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</si>
  <si>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</si>
  <si>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</si>
  <si>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</si>
  <si>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</si>
  <si>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</si>
  <si>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</si>
  <si>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</si>
  <si>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</si>
  <si>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</si>
  <si>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</si>
  <si>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</si>
  <si>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</si>
  <si>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</si>
  <si>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</si>
  <si>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</si>
  <si>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</si>
  <si>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</si>
  <si>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</si>
  <si>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</si>
  <si>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</si>
  <si>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</si>
  <si>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</si>
  <si>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</si>
  <si>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</si>
  <si>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</si>
  <si>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</si>
  <si>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</si>
  <si>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</si>
  <si>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</si>
  <si>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</si>
  <si>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</si>
  <si>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</si>
  <si>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</si>
  <si>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</si>
  <si>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</si>
  <si>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</si>
  <si>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</si>
  <si>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</si>
  <si>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</si>
  <si>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</si>
  <si>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</si>
  <si>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</si>
  <si>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</si>
  <si>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</si>
  <si>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</si>
  <si>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</si>
  <si>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</si>
  <si>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</si>
  <si>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</si>
  <si>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</si>
  <si>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</si>
  <si>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</si>
  <si>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</si>
  <si>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</si>
  <si>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</si>
  <si>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</si>
  <si>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</si>
  <si>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</si>
  <si>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</si>
  <si>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</si>
  <si>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</si>
  <si>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</si>
  <si>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</si>
  <si>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</si>
  <si>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</si>
  <si>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</si>
  <si>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</si>
  <si>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</si>
  <si>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</si>
  <si>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</si>
  <si>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</si>
  <si>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</si>
  <si>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</si>
  <si>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</si>
  <si>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</si>
  <si>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</si>
  <si>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</si>
  <si>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</si>
  <si>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</si>
  <si>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</si>
  <si>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</si>
  <si>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</si>
  <si>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</si>
  <si>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</si>
  <si>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</si>
  <si>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</si>
  <si>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</si>
  <si>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</si>
  <si>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</si>
  <si>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</si>
  <si>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</si>
  <si>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</si>
  <si>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</si>
  <si>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</si>
  <si>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</si>
  <si>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</si>
  <si>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</si>
  <si>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</si>
  <si>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</si>
  <si>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</si>
  <si>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</si>
  <si>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</si>
  <si>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</si>
  <si>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</si>
  <si>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</si>
  <si>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</si>
  <si>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</si>
  <si>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</si>
  <si>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</si>
  <si>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</si>
  <si>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</si>
  <si>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</si>
  <si>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</si>
  <si>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</si>
  <si>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</si>
  <si>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</si>
  <si>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</si>
  <si>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</si>
  <si>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</si>
  <si>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</si>
  <si>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</si>
  <si>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</si>
  <si>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</si>
  <si>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</si>
  <si>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</si>
  <si>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</si>
  <si>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</si>
  <si>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</si>
  <si>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</si>
  <si>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</si>
  <si>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</si>
  <si>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</si>
  <si>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</si>
  <si>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</si>
  <si>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</si>
  <si>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</si>
  <si>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</si>
  <si>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</si>
  <si>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</si>
  <si>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</si>
  <si>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</si>
  <si>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</si>
  <si>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</si>
  <si>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</si>
  <si>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</si>
  <si>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</si>
  <si>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</si>
  <si>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</si>
  <si>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</si>
  <si>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</si>
  <si>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</si>
  <si>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</si>
  <si>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</si>
  <si>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</si>
  <si>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</si>
  <si>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</si>
  <si>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</si>
  <si>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</si>
  <si>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</si>
  <si>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</si>
  <si>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</si>
  <si>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</si>
  <si>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</si>
  <si>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</si>
  <si>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</si>
  <si>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</si>
  <si>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</si>
  <si>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</si>
  <si>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</si>
  <si>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</si>
  <si>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</si>
  <si>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</si>
  <si>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</si>
  <si>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</si>
  <si>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</si>
  <si>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</si>
  <si>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</si>
  <si>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</si>
  <si>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</si>
  <si>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</si>
  <si>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</si>
  <si>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</si>
  <si>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</si>
  <si>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</si>
  <si>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</si>
  <si>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</si>
  <si>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</si>
  <si>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</si>
  <si>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</si>
  <si>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</si>
  <si>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</si>
  <si>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</si>
  <si>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</si>
  <si>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</si>
  <si>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</si>
  <si>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</si>
  <si>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</si>
  <si>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</si>
  <si>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</si>
  <si>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</si>
  <si>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</si>
  <si>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</si>
  <si>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</si>
  <si>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</si>
  <si>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</si>
  <si>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</si>
  <si>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</si>
  <si>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</si>
  <si>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</si>
  <si>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</si>
  <si>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</si>
  <si>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</si>
  <si>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</si>
  <si>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</si>
  <si>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</si>
  <si>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</si>
  <si>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</si>
  <si>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</si>
  <si>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</si>
  <si>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</si>
  <si>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</si>
  <si>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</si>
  <si>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</si>
  <si>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</si>
  <si>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</si>
  <si>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</si>
  <si>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</si>
  <si>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</si>
  <si>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</si>
  <si>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</si>
  <si>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</si>
  <si>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</si>
  <si>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</si>
  <si>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</si>
  <si>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</si>
  <si>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</si>
  <si>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</si>
  <si>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</si>
  <si>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</si>
  <si>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</si>
  <si>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</si>
  <si>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</si>
  <si>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</si>
  <si>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</si>
  <si>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</si>
  <si>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</si>
  <si>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</si>
  <si>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</si>
  <si>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</si>
  <si>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</si>
  <si>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</si>
  <si>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</si>
  <si>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</si>
  <si>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</si>
  <si>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</si>
  <si>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</si>
  <si>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</si>
  <si>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</si>
  <si>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</si>
  <si>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</si>
  <si>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</si>
  <si>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</si>
  <si>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</si>
  <si>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</si>
  <si>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</si>
  <si>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</si>
  <si>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</si>
  <si>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</si>
  <si>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</si>
  <si>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</si>
  <si>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</si>
  <si>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</si>
  <si>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</si>
  <si>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</si>
  <si>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</si>
  <si>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</si>
  <si>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</si>
  <si>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</si>
  <si>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</si>
  <si>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</si>
  <si>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</si>
  <si>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</si>
  <si>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</si>
  <si>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</si>
  <si>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</si>
  <si>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</si>
  <si>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</si>
  <si>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</si>
  <si>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</si>
  <si>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</si>
  <si>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</si>
  <si>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</si>
  <si>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</si>
  <si>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</si>
  <si>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</si>
  <si>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</si>
  <si>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</si>
  <si>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</si>
  <si>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</si>
  <si>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</si>
  <si>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</si>
  <si>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</si>
  <si>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</si>
  <si>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</si>
  <si>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</si>
  <si>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</si>
  <si>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</si>
  <si>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</si>
  <si>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</si>
  <si>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</si>
  <si>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</si>
  <si>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</si>
  <si>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</si>
  <si>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</si>
  <si>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</si>
  <si>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</si>
  <si>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</si>
  <si>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</si>
  <si>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</si>
  <si>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</si>
  <si>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</si>
  <si>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</si>
  <si>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</si>
  <si>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</si>
  <si>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</si>
  <si>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</si>
  <si>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</si>
  <si>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</si>
  <si>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</si>
  <si>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</si>
  <si>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</si>
  <si>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</si>
  <si>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</si>
  <si>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</si>
  <si>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</si>
  <si>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</si>
  <si>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</si>
  <si>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</si>
  <si>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</si>
  <si>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</si>
  <si>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</si>
  <si>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</si>
  <si>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</si>
  <si>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</si>
  <si>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</si>
  <si>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</si>
  <si>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</si>
  <si>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</si>
  <si>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</si>
  <si>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</si>
  <si>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</si>
  <si>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</si>
  <si>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</si>
  <si>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</si>
  <si>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</si>
  <si>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</si>
  <si>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</si>
  <si>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</si>
  <si>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</si>
  <si>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</si>
  <si>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</si>
  <si>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</si>
  <si>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</si>
  <si>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</si>
  <si>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</si>
  <si>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</si>
  <si>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</si>
  <si>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</si>
  <si>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</si>
  <si>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</si>
  <si>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</si>
  <si>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</si>
  <si>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</si>
  <si>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</si>
  <si>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</si>
  <si>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</si>
  <si>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</si>
  <si>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</si>
  <si>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</si>
  <si>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</si>
  <si>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</si>
  <si>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</si>
  <si>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</si>
  <si>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</si>
  <si>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</si>
  <si>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</si>
  <si>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</si>
  <si>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</si>
  <si>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</si>
  <si>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</si>
  <si>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</si>
  <si>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</si>
  <si>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</si>
  <si>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</si>
  <si>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</si>
  <si>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</si>
  <si>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</si>
  <si>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</si>
  <si>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</si>
  <si>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</si>
  <si>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</si>
  <si>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</si>
  <si>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</si>
  <si>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</si>
  <si>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</si>
  <si>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</si>
  <si>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</si>
  <si>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</si>
  <si>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</si>
  <si>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</si>
  <si>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</si>
  <si>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</si>
  <si>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</si>
  <si>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</si>
  <si>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</si>
  <si>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</si>
  <si>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</si>
  <si>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</si>
  <si>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</si>
  <si>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</si>
  <si>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</si>
  <si>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</si>
  <si>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</si>
  <si>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</si>
  <si>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</si>
  <si>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</si>
  <si>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</si>
  <si>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</si>
  <si>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</si>
  <si>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</si>
  <si>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</si>
  <si>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</si>
  <si>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</si>
  <si>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</si>
  <si>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</si>
  <si>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</si>
  <si>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</si>
  <si>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</si>
  <si>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</si>
  <si>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</si>
  <si>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</si>
  <si>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</si>
  <si>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</si>
  <si>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</si>
  <si>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</si>
  <si>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</si>
  <si>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</si>
  <si>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</si>
  <si>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</si>
  <si>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</si>
  <si>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</si>
  <si>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</si>
  <si>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</si>
  <si>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</si>
  <si>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</si>
  <si>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</si>
  <si>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</si>
  <si>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</si>
  <si>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</si>
  <si>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</si>
  <si>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</si>
  <si>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</si>
  <si>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</si>
  <si>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</si>
  <si>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</si>
  <si>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</si>
  <si>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</si>
  <si>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</si>
  <si>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</si>
  <si>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</si>
  <si>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</si>
  <si>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</si>
  <si>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</si>
  <si>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</si>
  <si>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</si>
  <si>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</si>
  <si>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</si>
  <si>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</si>
  <si>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</si>
  <si>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</si>
  <si>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</si>
  <si>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</si>
  <si>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</si>
  <si>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</si>
  <si>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</si>
  <si>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</si>
  <si>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</si>
  <si>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</si>
  <si>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</si>
  <si>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</si>
  <si>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</si>
  <si>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</si>
  <si>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</si>
  <si>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</si>
  <si>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</si>
  <si>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</si>
  <si>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</si>
  <si>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</si>
  <si>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</si>
  <si>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</si>
  <si>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</si>
  <si>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</si>
  <si>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</si>
  <si>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</si>
  <si>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</si>
  <si>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</si>
  <si>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</si>
  <si>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</si>
  <si>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</si>
  <si>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</si>
  <si>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</si>
  <si>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</si>
  <si>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</si>
  <si>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</si>
  <si>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</si>
  <si>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</si>
  <si>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</si>
  <si>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</si>
  <si>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</si>
  <si>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</si>
  <si>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</si>
  <si>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</si>
  <si>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</si>
  <si>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</si>
  <si>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</si>
  <si>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</si>
  <si>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</si>
  <si>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</si>
  <si>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</si>
  <si>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</si>
  <si>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</si>
  <si>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</si>
  <si>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</si>
  <si>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</si>
  <si>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</si>
  <si>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</si>
  <si>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</si>
  <si>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</si>
  <si>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</si>
  <si>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</si>
  <si>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</si>
  <si>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</si>
  <si>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</si>
  <si>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</si>
  <si>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</si>
  <si>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</si>
  <si>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</si>
  <si>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</si>
  <si>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</si>
  <si>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</si>
  <si>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</si>
  <si>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</si>
  <si>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</si>
  <si>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</si>
  <si>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</si>
  <si>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</si>
  <si>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</si>
  <si>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</si>
  <si>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</si>
  <si>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</si>
  <si>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</si>
  <si>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</si>
  <si>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</si>
  <si>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</si>
  <si>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</si>
  <si>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</si>
  <si>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</si>
  <si>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</si>
  <si>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</si>
  <si>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</si>
  <si>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</si>
  <si>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</si>
  <si>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</si>
  <si>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</si>
  <si>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</si>
  <si>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</si>
  <si>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</si>
  <si>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</si>
  <si>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</si>
  <si>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</si>
  <si>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</si>
  <si>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</si>
  <si>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</si>
  <si>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</si>
  <si>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</si>
  <si>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</si>
  <si>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</si>
  <si>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</si>
  <si>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</si>
  <si>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</si>
  <si>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</si>
  <si>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</si>
  <si>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</si>
  <si>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</si>
  <si>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</si>
  <si>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</si>
  <si>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</si>
  <si>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</si>
  <si>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</si>
  <si>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</si>
  <si>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</si>
  <si>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</si>
  <si>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</si>
  <si>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</si>
  <si>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</si>
  <si>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</si>
  <si>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</si>
  <si>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</si>
  <si>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</si>
  <si>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</si>
  <si>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</si>
  <si>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</si>
  <si>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</si>
  <si>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</si>
  <si>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</si>
  <si>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</si>
  <si>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</si>
  <si>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</si>
  <si>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</si>
  <si>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</si>
  <si>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</si>
  <si>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</si>
  <si>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</si>
  <si>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</si>
  <si>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</si>
  <si>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</si>
  <si>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</si>
  <si>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</si>
  <si>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</si>
  <si>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</si>
  <si>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</si>
  <si>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</si>
  <si>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</si>
  <si>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</si>
  <si>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</si>
  <si>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</si>
  <si>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</si>
  <si>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</si>
  <si>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</si>
  <si>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</si>
  <si>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</si>
  <si>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</si>
  <si>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</si>
  <si>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</si>
  <si>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</si>
  <si>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</si>
  <si>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</si>
  <si>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</si>
  <si>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</si>
  <si>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</si>
  <si>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</si>
  <si>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</si>
  <si>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</si>
  <si>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</si>
  <si>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</si>
  <si>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</si>
  <si>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</si>
  <si>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</si>
  <si>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</si>
  <si>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</si>
  <si>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</si>
  <si>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</si>
  <si>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</si>
  <si>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</si>
  <si>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</si>
  <si>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</si>
  <si>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</si>
  <si>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</si>
  <si>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</si>
  <si>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</si>
  <si>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</si>
  <si>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</si>
  <si>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</si>
  <si>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</si>
  <si>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</si>
  <si>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</si>
  <si>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</si>
  <si>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</si>
  <si>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</si>
  <si>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</si>
  <si>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</si>
  <si>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</si>
  <si>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</si>
  <si>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</si>
  <si>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</si>
  <si>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</si>
  <si>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</si>
  <si>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</si>
  <si>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</si>
  <si>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</si>
  <si>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</si>
  <si>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</si>
  <si>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</si>
  <si>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</si>
  <si>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</si>
  <si>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</si>
  <si>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</si>
  <si>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</si>
  <si>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</si>
  <si>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</si>
  <si>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</si>
  <si>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</si>
  <si>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</si>
  <si>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</si>
  <si>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</si>
  <si>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</si>
  <si>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</si>
  <si>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</si>
  <si>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</si>
  <si>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</si>
  <si>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</si>
  <si>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</si>
  <si>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</si>
  <si>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</si>
  <si>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</si>
  <si>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</si>
  <si>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</si>
  <si>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</si>
  <si>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</si>
  <si>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</si>
  <si>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</si>
  <si>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</si>
  <si>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</si>
  <si>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</si>
  <si>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</si>
  <si>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</si>
  <si>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</si>
  <si>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</si>
  <si>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</si>
  <si>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</si>
  <si>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</si>
  <si>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</si>
  <si>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</si>
  <si>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</si>
  <si>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</si>
  <si>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</si>
  <si>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</si>
  <si>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</si>
  <si>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</si>
  <si>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</si>
  <si>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</si>
  <si>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</si>
  <si>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</si>
  <si>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</si>
  <si>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</si>
  <si>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</si>
  <si>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</si>
  <si>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</si>
  <si>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</si>
  <si>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</si>
  <si>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</si>
  <si>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</si>
  <si>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</si>
  <si>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</si>
  <si>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</si>
  <si>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</si>
  <si>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</si>
  <si>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</si>
  <si>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</si>
  <si>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</si>
  <si>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</si>
  <si>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</si>
  <si>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</si>
  <si>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</si>
  <si>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</si>
  <si>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</si>
  <si>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</si>
  <si>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</si>
  <si>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</si>
  <si>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</si>
  <si>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</si>
  <si>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</si>
  <si>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</si>
  <si>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</si>
  <si>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</si>
  <si>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</si>
  <si>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</si>
  <si>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</si>
  <si>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</si>
  <si>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</si>
  <si>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</si>
  <si>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</si>
  <si>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</si>
  <si>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</si>
  <si>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</si>
  <si>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</si>
  <si>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</si>
  <si>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</si>
  <si>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</si>
  <si>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</si>
  <si>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</si>
  <si>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</si>
  <si>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</si>
  <si>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</si>
  <si>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</si>
  <si>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</si>
  <si>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</si>
  <si>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</si>
  <si>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</si>
  <si>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</si>
  <si>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</si>
  <si>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</si>
  <si>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</si>
  <si>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</si>
  <si>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</si>
  <si>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</si>
  <si>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</si>
  <si>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</si>
  <si>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</si>
  <si>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</si>
  <si>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</si>
  <si>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</si>
  <si>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</si>
  <si>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</si>
  <si>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</si>
  <si>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</si>
  <si>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</si>
  <si>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</si>
  <si>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</si>
  <si>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</si>
  <si>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</si>
  <si>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</si>
  <si>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</si>
  <si>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</si>
  <si>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</si>
  <si>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</si>
  <si>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</si>
  <si>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</si>
  <si>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</si>
  <si>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</si>
  <si>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</si>
  <si>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</si>
  <si>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</si>
  <si>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</si>
  <si>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</si>
  <si>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</si>
  <si>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</si>
  <si>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</si>
  <si>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</si>
  <si>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</si>
  <si>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</si>
  <si>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</si>
  <si>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</si>
  <si>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</si>
  <si>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</si>
  <si>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</si>
  <si>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</si>
  <si>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</si>
  <si>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</si>
  <si>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</si>
  <si>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</si>
  <si>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</si>
  <si>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</si>
  <si>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</si>
  <si>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</si>
  <si>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</si>
  <si>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</si>
  <si>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</si>
  <si>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</si>
  <si>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</si>
  <si>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</si>
  <si>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</si>
  <si>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</si>
  <si>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</si>
  <si>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</si>
  <si>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</si>
  <si>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</si>
  <si>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</si>
  <si>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</si>
  <si>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</si>
  <si>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</si>
  <si>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</si>
  <si>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</si>
  <si>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</si>
  <si>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</si>
  <si>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</si>
  <si>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</si>
  <si>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</si>
  <si>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</si>
  <si>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</si>
  <si>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</si>
  <si>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</si>
  <si>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</si>
  <si>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</si>
  <si>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</si>
  <si>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</si>
  <si>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</si>
  <si>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</si>
  <si>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</si>
  <si>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</si>
  <si>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</si>
  <si>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</si>
  <si>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</si>
  <si>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</si>
  <si>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</si>
  <si>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</si>
  <si>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</si>
  <si>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</si>
  <si>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</si>
  <si>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</si>
  <si>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</si>
  <si>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</si>
  <si>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</si>
  <si>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</si>
  <si>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</si>
  <si>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</si>
  <si>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</si>
  <si>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</si>
  <si>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</si>
  <si>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</si>
  <si>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</si>
  <si>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</si>
  <si>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</si>
  <si>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</si>
  <si>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</si>
  <si>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</si>
  <si>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</si>
  <si>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</si>
  <si>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</si>
  <si>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</si>
  <si>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</si>
  <si>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</si>
  <si>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</si>
  <si>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</si>
  <si>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</si>
  <si>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</si>
  <si>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</si>
  <si>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</si>
  <si>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</si>
  <si>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</si>
  <si>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</si>
  <si>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</si>
  <si>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</si>
  <si>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</si>
  <si>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</si>
  <si>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</si>
  <si>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</si>
  <si>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</si>
  <si>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</si>
  <si>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</si>
  <si>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</si>
  <si>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</si>
  <si>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</si>
  <si>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</si>
  <si>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</si>
  <si>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</si>
  <si>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</si>
  <si>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</si>
  <si>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</si>
  <si>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</si>
  <si>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</si>
  <si>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</si>
  <si>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</si>
  <si>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</si>
  <si>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</si>
  <si>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</si>
  <si>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</si>
  <si>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</si>
  <si>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</si>
  <si>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</si>
  <si>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</si>
  <si>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</si>
  <si>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</si>
  <si>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</si>
  <si>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</si>
  <si>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</si>
  <si>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</si>
  <si>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</si>
  <si>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</si>
  <si>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</si>
  <si>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</si>
  <si>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</si>
  <si>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</si>
  <si>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</si>
  <si>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</si>
  <si>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</si>
  <si>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</si>
  <si>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</si>
  <si>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</si>
  <si>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</si>
  <si>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</si>
  <si>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</si>
  <si>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</si>
  <si>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</si>
  <si>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</si>
  <si>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</si>
  <si>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</si>
  <si>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</si>
  <si>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</si>
  <si>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</si>
  <si>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</si>
  <si>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</si>
  <si>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</si>
  <si>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</si>
  <si>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</si>
  <si>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</si>
  <si>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</si>
  <si>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</si>
  <si>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</si>
  <si>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</si>
  <si>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</si>
  <si>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</si>
  <si>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</si>
  <si>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</si>
  <si>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</si>
  <si>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</si>
  <si>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</si>
  <si>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</si>
  <si>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</si>
  <si>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</si>
  <si>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</si>
  <si>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</si>
  <si>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</si>
  <si>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</si>
  <si>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</si>
  <si>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</si>
  <si>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</si>
  <si>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</si>
  <si>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</si>
  <si>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</si>
  <si>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</si>
  <si>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</si>
  <si>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</si>
  <si>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</si>
  <si>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</si>
  <si>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</si>
  <si>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</si>
  <si>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</si>
  <si>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</si>
  <si>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</si>
  <si>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</si>
  <si>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</si>
  <si>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</si>
  <si>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</si>
  <si>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</si>
  <si>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</si>
  <si>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</si>
  <si>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</si>
  <si>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</si>
  <si>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</si>
  <si>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</si>
  <si>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</si>
  <si>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</si>
  <si>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</si>
  <si>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</si>
  <si>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</si>
  <si>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</si>
  <si>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</si>
  <si>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</si>
  <si>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</si>
  <si>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</si>
  <si>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</si>
  <si>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</si>
  <si>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</si>
  <si>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</si>
  <si>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</si>
  <si>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</si>
  <si>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</si>
  <si>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</si>
  <si>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</si>
  <si>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</si>
  <si>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</si>
  <si>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</si>
  <si>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</si>
  <si>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</si>
  <si>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</si>
  <si>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</si>
  <si>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</si>
  <si>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</si>
  <si>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</si>
  <si>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</si>
  <si>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</si>
  <si>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</si>
  <si>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</si>
  <si>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</si>
  <si>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</si>
  <si>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</si>
  <si>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</si>
  <si>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</si>
  <si>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</si>
  <si>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</si>
  <si>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</si>
  <si>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</si>
  <si>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</si>
  <si>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</si>
  <si>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</si>
  <si>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</si>
  <si>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</si>
  <si>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</si>
  <si>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</si>
  <si>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</si>
  <si>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</si>
  <si>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</si>
  <si>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</si>
  <si>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</si>
  <si>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</si>
  <si>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</si>
  <si>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</si>
  <si>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</si>
  <si>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</si>
  <si>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</si>
  <si>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</si>
  <si>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</si>
  <si>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</si>
  <si>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</si>
  <si>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</si>
  <si>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</si>
  <si>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</si>
  <si>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</si>
  <si>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</si>
  <si>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</si>
  <si>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</si>
  <si>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</si>
  <si>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</si>
  <si>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</si>
  <si>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</si>
  <si>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</si>
  <si>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</si>
  <si>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</si>
  <si>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</si>
  <si>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</si>
  <si>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</si>
  <si>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</si>
  <si>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</si>
  <si>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</si>
  <si>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</si>
  <si>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</si>
  <si>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</si>
  <si>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</si>
  <si>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</si>
  <si>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</si>
  <si>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</si>
  <si>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</si>
  <si>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</si>
  <si>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</si>
  <si>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</si>
  <si>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</si>
  <si>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</si>
  <si>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</si>
  <si>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</si>
  <si>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</si>
  <si>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</si>
  <si>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</si>
  <si>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</si>
  <si>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</si>
  <si>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</si>
  <si>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</si>
  <si>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</si>
  <si>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</si>
  <si>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</si>
  <si>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</si>
  <si>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</si>
  <si>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</si>
  <si>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</si>
  <si>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</si>
  <si>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</si>
  <si>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</si>
  <si>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</si>
  <si>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</si>
  <si>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</si>
  <si>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</si>
  <si>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</si>
  <si>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</si>
  <si>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</si>
  <si>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</si>
  <si>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</si>
  <si>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</si>
  <si>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</si>
  <si>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</si>
  <si>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</si>
  <si>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</si>
  <si>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</si>
  <si>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</si>
  <si>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</si>
  <si>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</si>
  <si>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</si>
  <si>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</si>
  <si>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</si>
  <si>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</si>
  <si>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</si>
  <si>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</si>
  <si>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</si>
  <si>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</si>
  <si>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</si>
  <si>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</si>
  <si>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</si>
  <si>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</si>
  <si>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</si>
  <si>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</si>
  <si>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</si>
  <si>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</si>
  <si>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</si>
  <si>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</si>
  <si>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</si>
  <si>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</si>
  <si>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</si>
  <si>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</si>
  <si>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</si>
  <si>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</si>
  <si>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</si>
  <si>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</si>
  <si>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</si>
  <si>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</si>
  <si>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</si>
  <si>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</si>
  <si>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</si>
  <si>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</si>
  <si>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</si>
  <si>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</si>
  <si>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</si>
  <si>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</si>
  <si>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</si>
  <si>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</si>
  <si>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</si>
  <si>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</si>
  <si>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</si>
  <si>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</si>
  <si>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</si>
  <si>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</si>
  <si>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</si>
  <si>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</si>
  <si>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</si>
  <si>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</si>
  <si>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</si>
  <si>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</si>
  <si>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</si>
  <si>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</si>
  <si>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</si>
  <si>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</si>
  <si>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</si>
  <si>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</si>
  <si>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</si>
  <si>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</si>
  <si>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</si>
  <si>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</si>
  <si>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</si>
  <si>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</si>
  <si>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</si>
  <si>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</si>
  <si>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</si>
  <si>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</si>
  <si>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</si>
  <si>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</si>
  <si>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</si>
  <si>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</si>
  <si>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</si>
  <si>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</si>
  <si>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</si>
  <si>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</si>
  <si>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</si>
  <si>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</si>
  <si>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</si>
  <si>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</si>
  <si>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</si>
  <si>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</si>
  <si>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</si>
  <si>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</si>
  <si>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</si>
  <si>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</si>
  <si>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</si>
  <si>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</si>
  <si>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</si>
  <si>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</si>
  <si>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</si>
  <si>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</si>
  <si>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</si>
  <si>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</si>
  <si>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</si>
  <si>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</si>
  <si>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</si>
  <si>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</si>
  <si>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</si>
  <si>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</si>
  <si>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</si>
  <si>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</si>
  <si>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</si>
  <si>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</si>
  <si>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</si>
  <si>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</si>
  <si>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</si>
  <si>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</si>
  <si>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</si>
  <si>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</si>
  <si>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</si>
  <si>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</si>
  <si>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</si>
  <si>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</si>
  <si>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</si>
  <si>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</si>
  <si>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</si>
  <si>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</si>
  <si>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</si>
  <si>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</si>
  <si>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</si>
  <si>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</si>
  <si>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</si>
  <si>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</si>
  <si>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</si>
  <si>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</si>
  <si>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</si>
  <si>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</si>
  <si>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</si>
  <si>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</si>
  <si>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</si>
  <si>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</si>
  <si>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</si>
  <si>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</si>
  <si>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</si>
  <si>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</si>
  <si>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</si>
  <si>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</si>
  <si>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</si>
  <si>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</si>
  <si>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</si>
  <si>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</si>
  <si>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</si>
  <si>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</si>
  <si>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</si>
  <si>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</si>
  <si>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</si>
  <si>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</si>
  <si>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</si>
  <si>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</si>
  <si>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</si>
  <si>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</si>
  <si>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</si>
  <si>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</si>
  <si>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</si>
  <si>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</si>
  <si>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</si>
  <si>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</si>
  <si>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</si>
  <si>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</si>
  <si>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</si>
  <si>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</si>
  <si>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</si>
  <si>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</si>
  <si>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</si>
  <si>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</si>
  <si>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</si>
  <si>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</si>
  <si>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</si>
  <si>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</si>
  <si>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</si>
  <si>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</si>
  <si>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</si>
  <si>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</si>
  <si>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</si>
  <si>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</si>
  <si>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</si>
  <si>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</si>
  <si>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</si>
  <si>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</si>
  <si>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</si>
  <si>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</si>
  <si>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</si>
  <si>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</si>
  <si>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</si>
  <si>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</si>
  <si>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</si>
  <si>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</si>
  <si>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</si>
  <si>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</si>
  <si>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</si>
  <si>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</si>
  <si>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</si>
  <si>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</si>
  <si>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</si>
  <si>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</si>
  <si>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</si>
  <si>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</si>
  <si>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</si>
  <si>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</si>
  <si>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</si>
  <si>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</si>
  <si>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</si>
  <si>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</si>
  <si>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</si>
  <si>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</si>
  <si>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</si>
  <si>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</si>
  <si>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</si>
  <si>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</si>
  <si>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</si>
  <si>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</si>
  <si>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</si>
  <si>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</si>
  <si>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</si>
  <si>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</si>
  <si>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</si>
  <si>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</si>
  <si>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</si>
  <si>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</si>
  <si>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</si>
  <si>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</si>
  <si>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</si>
  <si>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</si>
  <si>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</si>
  <si>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</si>
  <si>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</si>
  <si>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</si>
  <si>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</si>
  <si>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</si>
  <si>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</si>
  <si>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</si>
  <si>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</si>
  <si>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</si>
  <si>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</si>
  <si>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</si>
  <si>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</si>
  <si>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</si>
  <si>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</si>
  <si>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</si>
  <si>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</si>
  <si>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</si>
  <si>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</si>
  <si>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</si>
  <si>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</si>
  <si>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</si>
  <si>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</si>
  <si>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</si>
  <si>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</si>
  <si>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</si>
  <si>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</si>
  <si>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</si>
  <si>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</si>
  <si>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</si>
  <si>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</si>
  <si>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</si>
  <si>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</si>
  <si>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</si>
  <si>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</si>
  <si>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</si>
  <si>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</si>
  <si>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</si>
  <si>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</si>
  <si>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</si>
  <si>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</si>
  <si>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</si>
  <si>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</si>
  <si>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</si>
  <si>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</si>
  <si>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</si>
  <si>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</si>
  <si>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</si>
  <si>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</si>
  <si>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</si>
  <si>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</si>
  <si>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</si>
  <si>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</si>
  <si>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</si>
  <si>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</si>
  <si>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</si>
  <si>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</si>
  <si>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</si>
  <si>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</si>
  <si>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</si>
  <si>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</si>
  <si>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</si>
  <si>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</si>
  <si>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</si>
  <si>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</si>
  <si>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</si>
  <si>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</si>
  <si>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</si>
  <si>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</si>
  <si>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</si>
  <si>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</si>
  <si>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</si>
  <si>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</si>
  <si>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</si>
  <si>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</si>
  <si>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</si>
  <si>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</si>
  <si>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</si>
  <si>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</si>
  <si>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</si>
  <si>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</si>
  <si>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</si>
  <si>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</si>
  <si>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</si>
  <si>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</si>
  <si>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</si>
  <si>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</si>
  <si>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</si>
  <si>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</si>
  <si>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</si>
  <si>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</si>
  <si>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</si>
  <si>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</si>
  <si>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</si>
  <si>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</si>
  <si>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</si>
  <si>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</si>
  <si>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</si>
  <si>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</si>
  <si>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</si>
  <si>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</si>
  <si>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</si>
  <si>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</si>
  <si>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</si>
  <si>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</si>
  <si>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</si>
  <si>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</si>
  <si>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</si>
  <si>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</si>
  <si>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</si>
  <si>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</si>
  <si>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</si>
  <si>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</si>
  <si>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</si>
  <si>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</si>
  <si>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</si>
  <si>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</si>
  <si>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</si>
  <si>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</si>
  <si>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</si>
  <si>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</si>
  <si>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</si>
  <si>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</si>
  <si>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</si>
  <si>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</si>
  <si>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</si>
  <si>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</si>
  <si>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</si>
  <si>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</si>
  <si>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</si>
  <si>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</si>
  <si>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</si>
  <si>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</si>
  <si>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</si>
  <si>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</si>
  <si>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</si>
  <si>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</si>
  <si>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</si>
  <si>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</si>
  <si>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</si>
  <si>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</si>
  <si>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</si>
  <si>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</si>
  <si>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</si>
  <si>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</si>
  <si>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</si>
  <si>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</si>
  <si>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</si>
  <si>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</si>
  <si>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</si>
  <si>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</si>
  <si>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</si>
  <si>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</si>
  <si>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</si>
  <si>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</si>
  <si>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</si>
  <si>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</si>
  <si>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</si>
  <si>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</si>
  <si>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</si>
  <si>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</si>
  <si>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</si>
  <si>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</si>
  <si>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</si>
  <si>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</si>
  <si>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</si>
  <si>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</si>
  <si>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</si>
  <si>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</si>
  <si>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</si>
  <si>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</si>
  <si>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</si>
  <si>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</si>
  <si>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</si>
  <si>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</si>
  <si>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</si>
  <si>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</si>
  <si>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</si>
  <si>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</si>
  <si>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</si>
  <si>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</si>
  <si>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</si>
  <si>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</si>
  <si>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</si>
  <si>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</si>
  <si>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</si>
  <si>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</si>
  <si>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</si>
  <si>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</si>
  <si>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</si>
  <si>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</si>
  <si>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</si>
  <si>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</si>
  <si>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</si>
  <si>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</si>
  <si>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</si>
  <si>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</si>
  <si>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</si>
  <si>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</si>
  <si>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</si>
  <si>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</si>
  <si>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</si>
  <si>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</si>
  <si>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</si>
  <si>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</si>
  <si>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</si>
  <si>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</si>
  <si>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</si>
  <si>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</si>
  <si>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</si>
  <si>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</si>
  <si>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</si>
  <si>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</si>
  <si>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</si>
  <si>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</si>
  <si>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</si>
  <si>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</si>
  <si>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</si>
  <si>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</si>
  <si>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</si>
  <si>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</si>
  <si>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</si>
  <si>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</si>
  <si>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</si>
  <si>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</si>
  <si>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</si>
  <si>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</si>
  <si>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</si>
  <si>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</si>
  <si>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</si>
  <si>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</si>
  <si>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</si>
  <si>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</si>
  <si>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</si>
  <si>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</si>
  <si>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</si>
  <si>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</si>
  <si>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</si>
  <si>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</si>
  <si>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</si>
  <si>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</si>
  <si>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</si>
  <si>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</si>
  <si>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</si>
  <si>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</si>
  <si>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</si>
  <si>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</si>
  <si>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</si>
  <si>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</si>
  <si>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</si>
  <si>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</si>
  <si>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</si>
  <si>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</si>
  <si>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</si>
  <si>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</si>
  <si>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</si>
  <si>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</si>
  <si>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</si>
  <si>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</si>
  <si>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</si>
  <si>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</si>
  <si>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</si>
  <si>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</si>
  <si>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</si>
  <si>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</si>
  <si>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</si>
  <si>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</si>
  <si>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</si>
  <si>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</si>
  <si>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</si>
  <si>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</si>
  <si>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</si>
  <si>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</si>
  <si>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</si>
  <si>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</si>
  <si>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</si>
  <si>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</si>
  <si>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</si>
  <si>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</si>
  <si>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</si>
  <si>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</si>
  <si>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</si>
  <si>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</si>
  <si>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</si>
  <si>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</si>
  <si>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</si>
  <si>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</si>
  <si>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</si>
  <si>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</si>
  <si>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</si>
  <si>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</si>
  <si>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</si>
  <si>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</si>
  <si>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</si>
  <si>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</si>
  <si>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</si>
  <si>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</si>
  <si>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</si>
  <si>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</si>
  <si>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</si>
  <si>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</si>
  <si>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</si>
  <si>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</si>
  <si>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</si>
  <si>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</si>
  <si>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</si>
  <si>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</si>
  <si>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</si>
  <si>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</si>
  <si>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</si>
  <si>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</si>
  <si>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</si>
  <si>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</si>
  <si>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</si>
  <si>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</si>
  <si>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</si>
  <si>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</si>
  <si>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</si>
  <si>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</si>
  <si>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</si>
  <si>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</si>
  <si>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</si>
  <si>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</si>
  <si>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</si>
  <si>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</si>
  <si>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</si>
  <si>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</si>
  <si>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</si>
  <si>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</si>
  <si>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</si>
  <si>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</si>
  <si>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</si>
  <si>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</si>
  <si>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</si>
  <si>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</si>
  <si>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</si>
  <si>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</si>
  <si>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</si>
  <si>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</si>
  <si>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</si>
  <si>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</si>
  <si>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</si>
  <si>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</si>
  <si>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</si>
  <si>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</si>
  <si>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</si>
  <si>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</si>
  <si>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</si>
  <si>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</si>
  <si>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</si>
  <si>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</si>
  <si>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</si>
  <si>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</si>
  <si>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</si>
  <si>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</si>
  <si>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</si>
  <si>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</si>
  <si>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</si>
  <si>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</si>
  <si>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</si>
  <si>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</si>
  <si>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</si>
  <si>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</si>
  <si>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</si>
  <si>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</si>
  <si>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</si>
  <si>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</si>
  <si>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</si>
  <si>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</si>
  <si>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</si>
  <si>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</si>
  <si>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</si>
  <si>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</si>
  <si>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</si>
  <si>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</si>
  <si>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</si>
  <si>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</si>
  <si>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</si>
  <si>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</si>
  <si>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</si>
  <si>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</si>
  <si>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</si>
  <si>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</si>
  <si>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</si>
  <si>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</si>
  <si>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</si>
  <si>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</si>
  <si>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</si>
  <si>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</si>
  <si>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</si>
  <si>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</si>
  <si>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</si>
  <si>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</si>
  <si>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</si>
  <si>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</si>
  <si>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</si>
  <si>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</si>
  <si>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</si>
  <si>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</si>
  <si>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</si>
  <si>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</si>
  <si>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</si>
  <si>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</si>
  <si>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</si>
  <si>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</si>
  <si>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</si>
  <si>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</si>
  <si>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</si>
  <si>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</si>
  <si>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</si>
  <si>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</si>
  <si>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</si>
  <si>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</si>
  <si>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</si>
  <si>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</si>
  <si>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</si>
  <si>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</si>
  <si>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</si>
  <si>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</si>
  <si>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</si>
  <si>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</si>
  <si>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</si>
  <si>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</si>
  <si>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</si>
  <si>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</si>
  <si>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</si>
  <si>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</si>
  <si>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</si>
  <si>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</si>
  <si>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</si>
  <si>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</si>
  <si>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</si>
  <si>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</si>
  <si>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</si>
  <si>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</si>
  <si>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</si>
  <si>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</si>
  <si>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</si>
  <si>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</si>
  <si>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</si>
  <si>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</si>
  <si>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</si>
  <si>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</si>
  <si>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</si>
  <si>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</si>
  <si>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</si>
  <si>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</si>
  <si>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</si>
  <si>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</si>
  <si>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</si>
  <si>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</si>
  <si>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</si>
  <si>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</si>
  <si>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</si>
  <si>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</si>
  <si>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</si>
  <si>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</si>
  <si>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</si>
  <si>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</si>
  <si>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</si>
  <si>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</si>
  <si>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</si>
  <si>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</si>
  <si>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</si>
  <si>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</si>
  <si>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</si>
  <si>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</si>
  <si>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</si>
  <si>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</si>
  <si>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</si>
  <si>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</si>
  <si>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</si>
  <si>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</si>
  <si>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</si>
  <si>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</si>
  <si>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</si>
  <si>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</si>
  <si>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</si>
  <si>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</si>
  <si>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</si>
  <si>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</si>
  <si>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</si>
  <si>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</si>
  <si>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</si>
  <si>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</si>
  <si>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</si>
  <si>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</si>
  <si>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</si>
  <si>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</si>
  <si>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</si>
  <si>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</si>
  <si>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</si>
  <si>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</si>
  <si>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</si>
  <si>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</si>
  <si>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</si>
  <si>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</si>
  <si>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</si>
  <si>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</si>
  <si>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</si>
  <si>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</si>
  <si>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</si>
  <si>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</si>
  <si>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</si>
  <si>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</si>
  <si>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</si>
  <si>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</si>
  <si>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</si>
  <si>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</si>
  <si>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</si>
  <si>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</si>
  <si>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</si>
  <si>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</si>
  <si>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</si>
  <si>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</si>
  <si>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</si>
  <si>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</si>
  <si>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</si>
  <si>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</si>
  <si>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</si>
  <si>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</si>
  <si>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</si>
  <si>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</si>
  <si>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</si>
  <si>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</si>
  <si>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</si>
  <si>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</si>
  <si>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</si>
  <si>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</si>
  <si>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</si>
  <si>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</si>
  <si>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</si>
  <si>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</si>
  <si>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</si>
  <si>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</si>
  <si>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</si>
  <si>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</si>
  <si>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</si>
  <si>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</si>
  <si>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</si>
  <si>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</si>
  <si>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</si>
  <si>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</si>
  <si>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</si>
  <si>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</si>
  <si>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</si>
  <si>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</si>
  <si>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</si>
  <si>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</si>
  <si>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</si>
  <si>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</si>
  <si>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</si>
  <si>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</si>
  <si>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</si>
  <si>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</si>
  <si>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</si>
  <si>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</si>
  <si>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</si>
  <si>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</si>
  <si>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</si>
  <si>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</si>
  <si>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</si>
  <si>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</si>
  <si>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</si>
  <si>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</si>
  <si>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</si>
  <si>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</si>
  <si>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</si>
  <si>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</si>
  <si>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</si>
  <si>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</si>
  <si>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</si>
  <si>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</si>
  <si>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</si>
  <si>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</si>
  <si>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</si>
  <si>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</si>
  <si>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</si>
  <si>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</si>
  <si>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</si>
  <si>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</si>
  <si>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</si>
  <si>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</si>
  <si>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</si>
  <si>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</si>
  <si>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</si>
  <si>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</si>
  <si>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</si>
  <si>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</si>
  <si>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</si>
  <si>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</si>
  <si>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</si>
  <si>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</si>
  <si>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</si>
  <si>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</si>
  <si>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</si>
  <si>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</si>
  <si>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</si>
  <si>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</si>
  <si>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</si>
  <si>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</si>
  <si>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</si>
  <si>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</si>
  <si>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</si>
  <si>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</si>
  <si>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</si>
  <si>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</si>
  <si>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</si>
  <si>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</si>
  <si>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</si>
  <si>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</si>
  <si>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</si>
  <si>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</si>
  <si>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</si>
  <si>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</si>
  <si>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</si>
  <si>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</si>
  <si>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</si>
  <si>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</si>
  <si>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</si>
  <si>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</si>
  <si>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</si>
  <si>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</si>
  <si>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</si>
  <si>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</si>
  <si>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</si>
  <si>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</si>
  <si>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</si>
  <si>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</si>
  <si>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</si>
  <si>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</si>
  <si>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</si>
  <si>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</si>
  <si>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</si>
  <si>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</si>
  <si>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</si>
  <si>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</si>
  <si>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</si>
  <si>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</si>
  <si>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</si>
  <si>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</si>
  <si>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</si>
  <si>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</si>
  <si>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</si>
  <si>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</si>
  <si>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</si>
  <si>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</si>
  <si>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</si>
  <si>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</si>
  <si>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</si>
  <si>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</si>
  <si>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</si>
  <si>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</si>
  <si>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</si>
  <si>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</si>
  <si>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</si>
  <si>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</si>
  <si>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</si>
  <si>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</si>
  <si>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</si>
  <si>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</si>
  <si>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</si>
  <si>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</si>
  <si>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</si>
  <si>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</si>
  <si>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</si>
  <si>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</si>
  <si>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</si>
  <si>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</si>
  <si>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</si>
  <si>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</si>
  <si>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</si>
  <si>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</si>
  <si>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</si>
  <si>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</si>
  <si>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</si>
  <si>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</si>
  <si>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</si>
  <si>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</si>
  <si>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</si>
  <si>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</si>
  <si>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</si>
  <si>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</si>
  <si>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</si>
  <si>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</si>
  <si>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</si>
  <si>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</si>
  <si>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</si>
  <si>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</si>
  <si>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</si>
  <si>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</si>
  <si>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</si>
  <si>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</si>
  <si>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</si>
  <si>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</si>
  <si>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</si>
  <si>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</si>
  <si>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</si>
  <si>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</si>
  <si>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</si>
  <si>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</si>
  <si>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</si>
  <si>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</si>
  <si>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</si>
  <si>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</si>
  <si>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</si>
  <si>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</si>
  <si>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</si>
  <si>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</si>
  <si>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</si>
  <si>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</si>
  <si>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</si>
  <si>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</si>
  <si>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</si>
  <si>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</si>
  <si>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</si>
  <si>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</si>
  <si>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</si>
  <si>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</si>
  <si>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</si>
  <si>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</si>
  <si>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</si>
  <si>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</si>
  <si>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</si>
  <si>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</si>
  <si>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</si>
  <si>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</si>
  <si>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</si>
  <si>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</si>
  <si>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</si>
  <si>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</si>
  <si>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</si>
  <si>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</si>
  <si>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</si>
  <si>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</si>
  <si>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</si>
  <si>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</si>
  <si>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</si>
  <si>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</si>
  <si>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</si>
  <si>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</si>
  <si>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</si>
  <si>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</si>
  <si>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</si>
  <si>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</si>
  <si>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</si>
  <si>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</si>
  <si>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</si>
  <si>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</si>
  <si>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</si>
  <si>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</si>
  <si>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</si>
  <si>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</si>
  <si>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</si>
  <si>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</si>
  <si>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</si>
  <si>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</si>
  <si>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</si>
  <si>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</si>
  <si>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</si>
  <si>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</si>
  <si>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</si>
  <si>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</si>
  <si>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</si>
  <si>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</si>
  <si>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</si>
  <si>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</si>
  <si>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</si>
  <si>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</si>
  <si>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</si>
  <si>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</si>
  <si>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</si>
  <si>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</si>
  <si>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</si>
  <si>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</si>
  <si>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</si>
  <si>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</si>
  <si>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</si>
  <si>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</si>
  <si>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</si>
  <si>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</si>
  <si>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</si>
  <si>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</si>
  <si>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</si>
  <si>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</si>
  <si>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</si>
  <si>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</si>
  <si>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</si>
  <si>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</si>
  <si>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</si>
  <si>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</si>
  <si>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</si>
  <si>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</si>
  <si>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</si>
  <si>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</si>
  <si>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</si>
  <si>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</si>
  <si>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</si>
  <si>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</si>
  <si>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</si>
  <si>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</si>
  <si>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</si>
  <si>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</si>
  <si>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</si>
  <si>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</si>
  <si>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</si>
  <si>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</si>
  <si>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</si>
  <si>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</si>
  <si>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</si>
  <si>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</si>
  <si>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</si>
  <si>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</si>
  <si>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</si>
  <si>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</si>
  <si>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</si>
  <si>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</si>
  <si>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</si>
  <si>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</si>
  <si>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</si>
  <si>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</si>
  <si>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</si>
  <si>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</si>
  <si>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</si>
  <si>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</si>
  <si>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</si>
  <si>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</si>
  <si>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</si>
  <si>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</si>
  <si>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</si>
  <si>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</si>
  <si>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</si>
  <si>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</si>
  <si>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</si>
  <si>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</si>
  <si>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</si>
  <si>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</si>
  <si>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</si>
  <si>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</si>
  <si>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</si>
  <si>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</si>
  <si>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</si>
  <si>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</si>
  <si>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</si>
  <si>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</si>
  <si>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</si>
  <si>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</si>
  <si>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</si>
  <si>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</si>
  <si>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</si>
  <si>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</si>
  <si>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</si>
  <si>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</si>
  <si>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</si>
  <si>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</si>
  <si>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</si>
  <si>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</si>
  <si>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</si>
  <si>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</si>
  <si>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</si>
  <si>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</si>
  <si>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</si>
  <si>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</si>
  <si>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</si>
  <si>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</si>
  <si>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</si>
  <si>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</si>
  <si>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</si>
  <si>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</si>
  <si>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</si>
  <si>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</si>
  <si>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</si>
  <si>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</si>
  <si>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</si>
  <si>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</si>
  <si>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</si>
  <si>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</si>
  <si>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</si>
  <si>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</si>
  <si>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</si>
  <si>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</si>
  <si>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</si>
  <si>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</si>
  <si>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</si>
  <si>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</si>
  <si>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</si>
  <si>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</si>
  <si>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</si>
  <si>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</si>
  <si>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</si>
  <si>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</si>
  <si>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</si>
  <si>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</si>
  <si>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</si>
  <si>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</si>
  <si>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</si>
  <si>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</si>
  <si>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</si>
  <si>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</si>
  <si>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</si>
  <si>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</si>
  <si>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</si>
  <si>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</si>
  <si>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</si>
  <si>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</si>
  <si>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</si>
  <si>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</si>
  <si>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</si>
  <si>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</si>
  <si>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</si>
  <si>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</si>
  <si>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</si>
  <si>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</si>
  <si>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</si>
  <si>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</si>
  <si>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</si>
  <si>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</si>
  <si>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</si>
  <si>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</si>
  <si>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</si>
  <si>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</si>
  <si>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</si>
  <si>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</si>
  <si>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</si>
  <si>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</si>
  <si>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</si>
  <si>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</si>
  <si>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</si>
  <si>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</si>
  <si>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</si>
  <si>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</si>
  <si>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</si>
  <si>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</si>
  <si>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</si>
  <si>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</si>
  <si>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</si>
  <si>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</si>
  <si>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</si>
  <si>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</si>
  <si>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</si>
  <si>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</si>
  <si>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</si>
  <si>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</si>
  <si>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</si>
  <si>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</si>
  <si>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</si>
  <si>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</si>
  <si>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</si>
  <si>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</si>
  <si>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</si>
  <si>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</si>
  <si>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</si>
  <si>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</si>
  <si>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</si>
  <si>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</si>
  <si>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</si>
  <si>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</si>
  <si>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</si>
  <si>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</si>
  <si>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</si>
  <si>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</si>
  <si>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</si>
  <si>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</si>
  <si>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</si>
  <si>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</si>
  <si>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</si>
  <si>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</si>
  <si>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</si>
  <si>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</si>
  <si>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</si>
  <si>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</si>
  <si>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</si>
  <si>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</si>
  <si>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</si>
  <si>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</si>
  <si>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</si>
  <si>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</si>
  <si>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</si>
  <si>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</si>
  <si>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</si>
  <si>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</si>
  <si>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</si>
  <si>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</si>
  <si>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</si>
  <si>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</si>
  <si>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</si>
  <si>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</si>
  <si>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</si>
  <si>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</si>
  <si>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</si>
  <si>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</si>
  <si>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</si>
  <si>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</si>
  <si>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</si>
  <si>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</si>
  <si>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</si>
  <si>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</si>
  <si>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</si>
  <si>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</si>
  <si>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</si>
  <si>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</si>
  <si>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</si>
  <si>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</si>
  <si>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</si>
  <si>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</si>
  <si>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</si>
  <si>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</si>
  <si>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</si>
  <si>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</si>
  <si>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</si>
  <si>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</si>
  <si>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</si>
  <si>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</si>
  <si>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</si>
  <si>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</si>
  <si>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</si>
  <si>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</si>
  <si>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</si>
  <si>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</si>
  <si>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</si>
  <si>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</si>
  <si>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</si>
  <si>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</si>
  <si>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</si>
  <si>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</si>
  <si>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</si>
  <si>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</si>
  <si>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</si>
  <si>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</si>
  <si>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</si>
  <si>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</si>
  <si>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</si>
  <si>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</si>
  <si>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</si>
  <si>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</si>
  <si>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</si>
  <si>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</si>
  <si>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</si>
  <si>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</si>
  <si>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</si>
  <si>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</si>
  <si>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</si>
  <si>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</si>
  <si>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</si>
  <si>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</si>
  <si>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</si>
  <si>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</si>
  <si>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</si>
  <si>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</si>
  <si>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</si>
  <si>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</si>
  <si>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</si>
  <si>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</si>
  <si>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</si>
  <si>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</si>
  <si>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</si>
  <si>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</si>
  <si>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</si>
  <si>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</si>
  <si>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</si>
  <si>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OGLs 1-30</t>
  </si>
  <si>
    <t>2356/0001, 2356/0200, 2357/0001, 2357/0474</t>
  </si>
  <si>
    <t>10</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</si>
  <si>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</si>
  <si>
    <t>Ratification of OGL 34</t>
  </si>
  <si>
    <t>18 months</t>
  </si>
  <si>
    <t>Stride Bank, Trustee of the Umbrella Trust</t>
  </si>
  <si>
    <t>CHECK NOTE</t>
  </si>
  <si>
    <t>CHECK</t>
  </si>
  <si>
    <t>SOURCE</t>
  </si>
  <si>
    <t>WI / NRI</t>
  </si>
  <si>
    <t>PARTY / SOURCE</t>
  </si>
  <si>
    <t>Mitchell Buonaccorsi Living Trust / Carrie Leeann Mitchell, Trustee</t>
  </si>
  <si>
    <t>Gena W. Moore / Gena Mitchell Williams</t>
  </si>
  <si>
    <t>Keri Lee Daigle Tucker Trust</t>
  </si>
  <si>
    <t>STATUS / ACTION</t>
  </si>
  <si>
    <t>Deep-rights leasehold</t>
  </si>
  <si>
    <t>64-69</t>
  </si>
  <si>
    <t>4, 66</t>
  </si>
  <si>
    <t>1, 64</t>
  </si>
  <si>
    <t>2, 65</t>
  </si>
  <si>
    <t>Open</t>
  </si>
  <si>
    <t>open</t>
  </si>
  <si>
    <t>Gene G. Williams
P.O. Box 763
Hobart, OK 73564</t>
  </si>
  <si>
    <t xml:space="preserve">First City National Bank of Midland, Trustee of the ETA-Flag Royalty Trust
Address unknown
</t>
  </si>
  <si>
    <t>DEED</t>
  </si>
  <si>
    <t>DECREE</t>
  </si>
  <si>
    <t xml:space="preserve">REPORT IS A CURSORY REPORT </t>
  </si>
  <si>
    <t>ASSN</t>
  </si>
  <si>
    <t>24, 67</t>
  </si>
  <si>
    <t>24, 68</t>
  </si>
  <si>
    <t>24, 69</t>
  </si>
  <si>
    <t>56 or 57</t>
  </si>
  <si>
    <t>64, 65, 66</t>
  </si>
  <si>
    <t>Insofar as the Alexander #1-31 / wellbore and all-section leasehold items; exact WI/NRI not determined of record — assignment exhibits/OCC review required</t>
  </si>
  <si>
    <t>64, 65, 66, 67, 68, 69</t>
  </si>
  <si>
    <t>PARENT-CHAIN (TRACT 5) SEVERANCE COLUMNS — documentation only; no interest booked against this strip (allocation unresolved of record; see Title Tract 6 note and Runsheet)</t>
  </si>
  <si>
    <t>PARENT-CHAIN (TRACT 5) SEVERANCE COLUMNS — documentation only; no interest booked against this strip (allocation unresolved of record; see Title Tract 8 note and Runsheet)</t>
  </si>
  <si>
    <t>Comanche Oil &amp; Gas, Inc. ("COG"), c/o Kandletop Operating, LLC, 301 W. Britton Rd. #13190, Oklahoma City, OK 73113</t>
  </si>
  <si>
    <t>Redhawk Asset Series, LLC ("RAS"), 1629 N. Marion Ave., Oklahoma City, OK 73106</t>
  </si>
  <si>
    <t>Redhawk Resources - Fund II, LP ("RRF"), 4131 N. Central Expwy, Ste. 900, Dallas, TX 75204</t>
  </si>
  <si>
    <t>Rumrich, LLC, 6608 N. Western Ave., Ste. 236, Oklahoma City, OK 73116</t>
  </si>
  <si>
    <t>Brr OK III LLC ("BRR"), PO Box 6310, Edmond, OK 73083</t>
  </si>
  <si>
    <t>Cummins Minerals, Limited</t>
  </si>
  <si>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</si>
  <si>
    <t xml:space="preserve">Margaret Kirk 
1105 West Avenue C
Elk City, OK 73648
</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</si>
  <si>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</si>
  <si>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</si>
  <si>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</si>
  <si>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2.30769 min. ac. In 31-12N-24W
all right, title and interest of Grantor in the oil, gas and other minerals and mineral rights in and under 2 sections</t>
  </si>
  <si>
    <t>Bhp Billiton Petroleum Properties (N.A.), LP, a Texas limited partnership,
Bhp Billiton Petroleum (KCS Resources), LLC, a Delaware limited liability company</t>
  </si>
  <si>
    <t>ARTI, An undivided 10/115 34 interest in and to all of the oil, gas, and other minerals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</si>
  <si>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</si>
  <si>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</si>
  <si>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</si>
  <si>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</si>
  <si>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</si>
  <si>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</si>
  <si>
    <t>Longreach Energy Investments, Inc
Giant Capital Energy 2 LLC (fka Longreach Energy 2 LLC)
(copy of Certificate of Name Change attached as Exhibit "A")
Royfin Natural Gas LLC
Tamworth Resources LLC
have changed their address to
401 South Boston Avenue, Suite 1900
Tulsa, OK 74103</t>
  </si>
  <si>
    <t>Gena W Moore, Gena Mitchell Williams, Gena Williams, Gena Williams Moore are one and the same person wherever said names appear in the record concerning said title</t>
  </si>
  <si>
    <t>Darren P. McSweeney
530 Eldridge St, #P03
Lawrence, Kansas 66049</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</si>
  <si>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</si>
  <si>
    <t>Keri Lee Daigle Tucker Trust
728 Hollyhock Dr,
Lexington, Ky 40511</t>
  </si>
  <si>
    <t xml:space="preserve">Paul R. Deutsch &amp; Deborah A. Deutsch
3406 NW 59th Terrace
Kansas City, MO 64151
</t>
  </si>
  <si>
    <t>ARTI
Chain note: no source of title into Leo Kennett located of record. Confirm ownership before crediting this conveyance.</t>
  </si>
  <si>
    <t>Affidavit (E. L. Martin) of identity: Eugene S. Repass = E. S. Repass — grantee under the Lancaster deed (5/30/1908, Bk 11 Deeds/468; SE/4 Sec 32 and SW/4 NE/4, W/2 SE/4, SE/4 SE/4 Sec 31-12N-24W) and mortgagor to G. E. Martin (2/16/1910, Bk 18 Mtg/484). See recorded instrument for full text.</t>
  </si>
  <si>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</si>
  <si>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</si>
  <si>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</si>
  <si>
    <t>ARTI
Chain note: source of title — MINERAL DEED 1922-000463 at D31/637, W. C. Danforth and Susie Danforth, HW to Benjamin H. Shotwell, covering NE/4 SE/4, SE/4 NE/4 of 31-12N-24W, interest stated: ARTI. Confirm source instrument before relying on this conveyance.</t>
  </si>
  <si>
    <t>ARTI
Chain note: source of title — MINERAL DEED 1907-001545 at D11/209, Herbert E. McGuire and Claude J. McGuire, HW to Mark Hambrook, covering N/2 of Lot 3, N/2 NE/4 SE/4 of 31-12N-24W, interest stated: ARTI. Confirm source instrument before relying on this conveyance.</t>
  </si>
  <si>
    <t>Affidavit of identity (MR Slief): James G. Hambrook = J. G. Hambrook (Probate #744, an heir of Mark Hambrook, dec'd); re the 2/20/1931 deed to Thomas O. Hambrook (Bk 41 W. Deeds/448) covering a metes-and-bounds tract in the W/2 of Sec 31-12N-24W. See recorded instrument for full text.</t>
  </si>
  <si>
    <t>ARTI, to correct deed at 45/395
Chain note: no source of title into Jack Brister and Ethel Brister, HW located of record. Confirm ownership before crediting this conveyance.</t>
  </si>
  <si>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</si>
  <si>
    <t>Conveyance of ~340 ac (S/2 SE/4 Sec 30; E/2 NW/4, N/2 NE/4, SE/4 NE/4, NE/4 SE/4 and N/2 NE/4 SW/4 Sec 31-12N-24W), LESS an undivided 1/2 of the oil, gas &amp; mineral rights reserved, with ingress/egress for development. See recorded instrument for full text.</t>
  </si>
  <si>
    <t>ARTI
Chain note: source of title — MINERAL DEED 1925-000406 at D34/104, E. T. Gamble and Zella M. Gamble, HW to Leo Aulbert, covering S/2 SW/4, S/2 N/2 SW/4 of 31-12N-24W, interest stated: ARTI. Confirm source instrument before relying on this conveyance.</t>
  </si>
  <si>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</si>
  <si>
    <t>ARTI
Chain note: no source of title into Elvin J. Ridling and Dorothy Jean Ridling, HW located of record. Confirm ownership before crediting this conveyance.</t>
  </si>
  <si>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</si>
  <si>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</si>
  <si>
    <t>55/115.34 interest, 55 NMA
Chain note: no source of title into Robert O. Lister, Jr. and Marie Lister, HW located of record. Confirm ownership before crediting this conveyance.</t>
  </si>
  <si>
    <t>Leasehold / WI
Chain note: source of title — MINERAL DEED 1907-000709 at D9/303, Charles T. Kennett and Sadie N. Kennett, HW to John G. Lancaster, covering SW/4 NE/4 SW/4 SE/4, SE/4 SE/4 of 31-12N-24W, interest stated: ARTI. Confirm source instrument before relying on this conveyance.</t>
  </si>
  <si>
    <t>ARTI
Chain note: no source of title into Elmo W. Kirk and Freeda Kirk, HW located of record. Confirm ownership before crediting this conveyance.</t>
  </si>
  <si>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</si>
  <si>
    <t>ARTI
Chain note: no source of title into Federal Deposit Insurance Corporation located of record. Confirm ownership before crediting this conveyance.</t>
  </si>
  <si>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</si>
  <si>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</si>
  <si>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</si>
  <si>
    <t>ARTI, a 2.5 net mineral acre interest, in and to all of the oil, gas and other minerals
Chain note: no source of title into Oleta Florene Flanagan, formerly Stewart, a/k/a Oleta Florene Wylie located of record. Confirm ownership before crediting this conveyance.</t>
  </si>
  <si>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</si>
  <si>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</si>
  <si>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</si>
  <si>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</si>
  <si>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</si>
  <si>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</si>
  <si>
    <t>92.135 gross acres
3 yrs
3/16ths royalty
Chain note: source of title — OUTSIDE LANDS I-1907-002036 at FR2/199, General Land Office to Charles F. Kennett, covering SW/4 NE/4, W/2 SE/4, SE/4 SE/4 of 31-12N-24W, aol, interest stated: ARTI. Confirm source instrument before relying on this conveyance.</t>
  </si>
  <si>
    <t>92.0850 gross acres
3 years
3/16ths royalty
Chain note: no source of title into Sandra Lorrain York
PO Box 34
Fort Cobb, OK 73038 located of record. Confirm ownership before crediting this conveyance.</t>
  </si>
  <si>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</si>
  <si>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</si>
  <si>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</si>
  <si>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</si>
  <si>
    <t>Ratification of Oil and Gas Lease at 1792/517
Chain note: no source of title into Molly Devenas
862 West Church Street
Newark, OH 43055 located of record. Confirm ownership before crediting this conveyance.</t>
  </si>
  <si>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</si>
  <si>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</si>
  <si>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</si>
  <si>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</si>
  <si>
    <t>80 gross acres
3 yrs
1/4th royalty
Chain note: source of title — OUTSIDE LANDS I-1907-002036 at FR2/199, General Land Office to Charles F. Kennett, covering SW/4 NE/4, W/2 SE/4, SE/4 SE/4 of 31-12N-24W, aol, interest stated: ARTI. Confirm source instrument before relying on this conveyance.</t>
  </si>
  <si>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</si>
  <si>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</si>
  <si>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</si>
  <si>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</si>
  <si>
    <t>Mineral; amount not stated — confirm from instrument. Gross=tract-map basis.</t>
  </si>
  <si>
    <t>Needs source review</t>
  </si>
  <si>
    <t>Conveyed interest / decimal from instrument image</t>
  </si>
  <si>
    <t>Mineral; basis Conv Amt(dec). grantor indexed as 'The Public' — confirm source instrument. Gross=tract-map basis.</t>
  </si>
  <si>
    <t>Confirm conveyed mineral acreage from instrument image — named party indexed under 'The Public' (affidavit/notice); identity resolved.</t>
  </si>
  <si>
    <t>Mineral; confirm conveyed amount from instrument image. Gross=tract-map basis.</t>
  </si>
  <si>
    <t>Denominator / tract allocation for 18.835 NMA from instrument image</t>
  </si>
  <si>
    <t>Surface (non-mineral; excluded from mineral NMA). All-section coverage. Gross=tract-map basis.</t>
  </si>
  <si>
    <t>Denominator / tract allocation for 1.386 NMA from instrument image</t>
  </si>
  <si>
    <t>Denominator / tract allocation for 10 NMA from instrument image</t>
  </si>
  <si>
    <t>Denominator / tract allocation for 5 NMA from instrument image</t>
  </si>
  <si>
    <t>Denominator / tract allocation for 1.54420 NMA from instrument image</t>
  </si>
  <si>
    <t>Verify grantee name — "JH Famiy, LLC" likely "JH Family, LLC"; confirm against instrument image</t>
  </si>
  <si>
    <t>Confirm recording date — Instr# 1998-000843 and Bk 1567/6 indicate a 1998 instrument, but Effective/Recorded dates are entered as 09/2007. CONFLICT — verify against source image.</t>
  </si>
  <si>
    <t>Mineral; basis Conv Amt(dec). grantor indexed as 'The Public' — confirm source instrument. All-section coverage. Gross=tract-map basis.</t>
  </si>
  <si>
    <t>Confirm whether row conveys mineral interest</t>
  </si>
  <si>
    <t>Denominator / tract allocation for 2.00 NMA from instrument image</t>
  </si>
  <si>
    <t>Other (non-mineral; excluded from mineral NMA). grantor indexed as 'The Public' — confirm source instrument. All-section coverage. Gross=tract-map basis.</t>
  </si>
  <si>
    <t>Mineral; amount not stated — confirm from instrument. All-section coverage. Gross=tract-map basis.</t>
  </si>
  <si>
    <t>Mineral; confirm conveyed amount from instrument image. All-section coverage. Gross=tract-map basis.</t>
  </si>
  <si>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</si>
  <si>
    <t>Denominator / tract allocation for 0.75 NMA from instrument image</t>
  </si>
  <si>
    <t>Document number / image number | EXCLUDED/REFERENCE: off-section (All of 11-12N-21W), address-change notice — see Excluded/Reference section below.</t>
  </si>
  <si>
    <t>Chain Classification</t>
  </si>
  <si>
    <t>Interest not stated — confirm from image.</t>
  </si>
  <si>
    <t>Confirm — Missing conveyed interest 1993-000918</t>
  </si>
  <si>
    <t>Confirm — Missing conveyed interest 2002-004595</t>
  </si>
  <si>
    <t>Confirm — Grantee allocation gap 2012-004060</t>
  </si>
  <si>
    <t>Confirm — Missing conveyed interest 1982-007158</t>
  </si>
  <si>
    <t>Confirm — Missing conveyed interest 2004-005738</t>
  </si>
  <si>
    <t>Confirm — Missing conveyed interest 2004-005739</t>
  </si>
  <si>
    <t>Confirm — Missing conveyed interest 2008-006536</t>
  </si>
  <si>
    <t>Confirm — Missing conveyed interest 1992-003373</t>
  </si>
  <si>
    <t>Confirm — Grantee allocation gap 1994-004940</t>
  </si>
  <si>
    <t>Confirm — Missing conveyed interest 2005-004793</t>
  </si>
  <si>
    <t>Confirm — Missing conveyed interest 2005-005251</t>
  </si>
  <si>
    <t>Confirm — Missing conveyed interest 2006-000153</t>
  </si>
  <si>
    <t>Confirm — Missing conveyed interest 2006-000870</t>
  </si>
  <si>
    <t>Confirm — Missing conveyed interest 2013-001724</t>
  </si>
  <si>
    <t>Confirm — Missing conveyed interest 2013-006585</t>
  </si>
  <si>
    <t>Confirm — Missing conveyed interest 2025-003963</t>
  </si>
  <si>
    <t>Confirm — Missing conveyed interest 2011-005695</t>
  </si>
  <si>
    <t>Confirm — Missing conveyed interest 2011-005926</t>
  </si>
  <si>
    <t>Confirm — Missing conveyed interest 2013-001272</t>
  </si>
  <si>
    <t>Confirm — Missing conveyed interest 2015-003022</t>
  </si>
  <si>
    <t>Confirm — Missing conveyed interest 2015-003023</t>
  </si>
  <si>
    <t>Confirm — Missing conveyed interest 2017-000951</t>
  </si>
  <si>
    <t>Confirm — Missing conveyed interest 2021-001486</t>
  </si>
  <si>
    <t>Confirm lease effect</t>
  </si>
  <si>
    <t>O.K. Oil Venture, c/o Greg Winneke</t>
  </si>
  <si>
    <t>OK Oil Ventures an unincorporated partnership comprising Gregory J. Winneke, Myron V. Slobin and the heirs of Lyle T. Ibeling, being: Michelle L Ibeling, Janelle Ibeling Ness, Joel R. Ibeling and Cassandra M. Wynia</t>
  </si>
  <si>
    <t>Devon Energy Production Company, L.P., an Oklahoma limited partnership</t>
  </si>
  <si>
    <t>Double L LLC, 0.5 NMA,
5970 W. Sumac Ave.
Denver, CO 80202,
Wolf Point Exploration, LLC, 0.25 NMA,
315 W. Oak St., Suite 704
Ft. Collins, CO 80521</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</si>
  <si>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</si>
  <si>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Chloe Ellen Fuchs Davis</t>
  </si>
  <si>
    <t>Jesse William Fuchs and Jinkee D. Acuero Fuchs, as Trustees under the Declaration of Trust
10009 E. Franklin Rd.
Norman, OK 73026</t>
  </si>
  <si>
    <t>Keri Lee Daigle Tucker Trust
728 Hollyhock Dr,
Lexington, KY 40511</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</si>
  <si>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</si>
  <si>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</si>
  <si>
    <t>Dorothy G. Hamilton, Executrix</t>
  </si>
  <si>
    <t>Dorothy G. Hamilton and Harold D. Rogers, Trustees of the Dorothy Trust</t>
  </si>
  <si>
    <t>Carrie Leeann Mitchell
1880 Old Salem Road
Watkinsville, GA 30308</t>
  </si>
  <si>
    <t>Gena W. Moore aka Gena Williams
3890 Windyke Drive
Memphis, TN 38125</t>
  </si>
  <si>
    <t>Nancy Mitchell Williams
100 West Dogwood
Hobart, OK 73651</t>
  </si>
  <si>
    <t>Nancy Susan Mitchell
753 Velma
Memphis, TN 38104</t>
  </si>
  <si>
    <t>Clarence C. Bain, Trustee of the CDB Trust dated January 10, 1994
3236 West Cactus Road
Phoenix, AZ 85029</t>
  </si>
  <si>
    <t>John W. Bain, Joseph A. Bain and Anna T. Gibson, formerly Williams,
sole and only heirs of Billy W. Bain aka Billy Wayne Bain, deceased
229 North Chemical
Hutchinson, KS 67501</t>
  </si>
  <si>
    <t>A. C. Campbell aka Audy C. Campbell
Rt. 2 Box 153
Sayre, OK 73662</t>
  </si>
  <si>
    <t>L. E. Thurman
Rt. 2 Box 34B
Sayre, OK 73662</t>
  </si>
  <si>
    <t>Charles Allen Atha
Rt. 1 Box 124
Cheyenne, OK 73628</t>
  </si>
  <si>
    <t>Darrell E. Hamilton
1709 SW High, Apt. #1
Topeka, KS 66604</t>
  </si>
  <si>
    <t>Deeanne Browning
3510 West 2nd Street
Wichita, KS 67203</t>
  </si>
  <si>
    <t>Jesse W. Fuchs, a single person
13053 Maguire Road
Noble, OK 73068</t>
  </si>
  <si>
    <t>Isa May Smith, a married woman dealing in her sole separate property
Route 1, Box 233
Macomb, OK 74852</t>
  </si>
  <si>
    <t>Mark J. Fuchs
2951 Black Locust Court
Norman, OK 73071</t>
  </si>
  <si>
    <t>Raymond M. Fuchs
5502 100th Avenue
Norman, OK 73026</t>
  </si>
  <si>
    <t>Joseph Devenas, as Trustee of the Joseph Devenas Trust Declaration dated September 7, 1994
1302 Highland Avenue
Waukegan, IL 60085</t>
  </si>
  <si>
    <t>Eleanore Wheeler
Route 2, Box 154
Sayre, OK 73662</t>
  </si>
  <si>
    <t>Marchelle Sorenson Daigle and Michelle Sorenson Johnson, Trustees of the Sorenson Oil and Gas Trust, 13529 Darwin
Lane, Austin, TX 78729</t>
  </si>
  <si>
    <t>Joe Deveanas
862 West Church Street
Newark, OH 43055</t>
  </si>
  <si>
    <t>Martha Ann Devenas a/k/a Ann Devenas
862 West Church Street
Newark, OH 43055</t>
  </si>
  <si>
    <t>Molly Devenas
862 West Church Street
Newark, OH 43055</t>
  </si>
  <si>
    <t>Roger Klopfenstein and Linda Klopfenstein. HW
508 Willow
Tuttle, OK 73084</t>
  </si>
  <si>
    <t>Dwight J. Williams
c/o Robert M. Collins.
100 N. Main #608
Wichita, KS 67202</t>
  </si>
  <si>
    <t>Jan A. Schroff. Trustee of The Jan A. Schroff Trust under Trust Agreement dated Anril 8. 1998
c/o Robert M. Collins
100 N. Main #608
Wichita, KS 67202</t>
  </si>
  <si>
    <t>Rogene E. Williams. Trustee of the Jon T. Williams and Rogene E. Williams Trust dated 4-6-98
c/o Robert M. Collins.
100 N. Main #608
Wichita, KS 67202</t>
  </si>
  <si>
    <t>Stephen M. Criser. Trustee of the "Rive Lind McCaul Trust” under Trust Agreement dated 8-11-95 and
Amended 2-17-98.
c/o Robert M. Collins
100 N. Main #608
Wichita, KS 67202</t>
  </si>
  <si>
    <t>Donald R. Bain
1905 NW 29th Avenue, #220
Portland, OR 97210-5312</t>
  </si>
  <si>
    <t>Peggy J. Brawner
309 N. Point Road
Toronto, KS 66777-3358</t>
  </si>
  <si>
    <t>James E. Menehan
1755 16th Street
Monroe, WI 53566</t>
  </si>
  <si>
    <t>Joe H Britton, aka, Joe Britton
200 Grissom
Elk City, OK 73644</t>
  </si>
  <si>
    <t>The Estate of Dorothy G. Hamilton
Harold D. Hamilton Rogers,
and Heather H. Tedford, Co-executors</t>
  </si>
  <si>
    <t>Peggy J. Hayhurst, Trustee of the Peggy J. Hayhurst Revocable Trust dated 11-9-93
P.O. Box 828
Elk City, OK 73648</t>
  </si>
  <si>
    <t>Shawn S. Walters
Rt. 1, Box 1660
Canute, OK 73626</t>
  </si>
  <si>
    <t>Gregory J. Wiinneke
14215 Cougar Creek
San Antonio,, TX 78230</t>
  </si>
  <si>
    <t>Paul R. Deutsch &amp; Deborah A. Deutsch
3406 NW 59th Terrace
Kansas City, MO 64151</t>
  </si>
  <si>
    <t>Mary Ellen Sitzmann aka Mary Ellen Silverberg
26 W. 45th
Sioux City, IA 51101</t>
  </si>
  <si>
    <t>Margaret Kirk
1105 West Avenue C
Elk City, OK 73648</t>
  </si>
  <si>
    <t>Charles D. Ray
P.O. Box 51608
Midland, TX 79710</t>
  </si>
  <si>
    <t>Leede Exploration, a Texas general partnership,
Asarco Oil &amp; Gas Company, Inc.,
COLT Development, L.L.C.,
Roca Development, L.L.C.,
Clyde A. Pine,
Charles D. Ray,
Robert H. Frazier,
Jerry L. Hudgeons,
Thomas A. Morgan</t>
  </si>
  <si>
    <t>B. H. C. H. Mineral, Ltd.,
B. H. C. H. Properties, Ltd.
By: Bruce HC. Hill, Presidentof B.H.C.H Properties, Ltd..General Partner of B.H.C.H. Mineral, Ltd.
2601 NW Expressway, Suite 200E
Oklahoma City, OK 73112</t>
  </si>
  <si>
    <t>Anna Tamise Gibson
P.O. Box 16913
Wichita, KS 67216</t>
  </si>
  <si>
    <t>James M. Robertson and Rose Elaine Robertson
18402 310th Street
Norman, OK 73072</t>
  </si>
  <si>
    <t>The Termo Company
P.O. Box 2767
Long Beach, CA 90801</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</si>
  <si>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</si>
  <si>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</si>
  <si>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Tecolote Holdings, LLC, a Delaware limited liability company,
Tecolote Royalty, LLC, a Delaware limited liability company</t>
  </si>
  <si>
    <t>Newfield Exploration Mid-Continent, Inc.
110 West 7th, Ste. 1300
Tulsa, OK 74119</t>
  </si>
  <si>
    <t>Devon Energy Production Company, LP
20 N. Broadway, Suite 1500,
Oklahoma City, OK 73102</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</si>
  <si>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</si>
  <si>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Jess Harris, III, Inc.
2601 NW Expressway, Suite 200E
Oklahoma City, OK 73112</t>
  </si>
  <si>
    <t>Samson Resources Company
Samson Plaza, Two West Second Street
Tulsa, OK 74103-3103</t>
  </si>
  <si>
    <t>Trilogy Oil &amp; Gas, LLC
P.O. Box 280235
Lakewood, CO 80228</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</si>
  <si>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</si>
  <si>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George B. Duke
P.O. Box 21
Edgar, MT 59026</t>
  </si>
  <si>
    <t>JH Famiy, LLC
P.O. Box 3503
Lafayette, LA 70502</t>
  </si>
  <si>
    <t>Rhett L. Frazier
7731 Romaine St #3
West Hollywood, CA 90046</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</si>
  <si>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</si>
  <si>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Robert H. Frazier Royalty LLC
P.O.BOX 50264
MIDLAND, TX 79710</t>
  </si>
  <si>
    <t>Jesse William Fuchs and Jinkee
D. Acuero Fuchs, as Trustees under the Declaration of Trust
10009 E. Franklin Rd.
Rorman, OK 73026</t>
  </si>
  <si>
    <t>Presidio WAB LLC,
Presidio Transition LLC,
Presidio Holding Company LLC,
Presidio Finance Holding Company LLC,
Presidio Finance LLC,
Presidio Finance Nominee Corp.,
Presidio Intermediate Holding Company LLC</t>
  </si>
  <si>
    <t>Eric Jansen
c/o Hasbany Insurance
254 Pleasandt St.
Methuen, Ma 01844</t>
  </si>
  <si>
    <t>NWR Mineral Partners, LLC
P.O. Box 7206
Edmond, OK 73083</t>
  </si>
  <si>
    <t>Leasehold (non-mineral; excluded from mineral NMA). FLAG: grantor indexed as 'The Public'-verify. Gross=tract-map basis.</t>
  </si>
  <si>
    <t>Confirm — source conflict</t>
  </si>
  <si>
    <t>Confirm owner interest</t>
  </si>
  <si>
    <t>Appears in Tract 1 grid (N/2 NE/4 31-12N-24W) — confirm legal from recorded image</t>
  </si>
  <si>
    <t>Chain Use Status</t>
  </si>
  <si>
    <t>Affects Title?</t>
  </si>
  <si>
    <t>Affects WI?</t>
  </si>
  <si>
    <t>Affects Minerals?</t>
  </si>
  <si>
    <t>Affects OGL?</t>
  </si>
  <si>
    <t>Tract Confirmed</t>
  </si>
  <si>
    <t>Tract Confidence</t>
  </si>
  <si>
    <t>Grantor Ownership Found?</t>
  </si>
  <si>
    <t>Grantee Added To Chain?</t>
  </si>
  <si>
    <t>Interest Parsed</t>
  </si>
  <si>
    <t>Interest Confidence</t>
  </si>
  <si>
    <t>Short Human Note</t>
  </si>
  <si>
    <t>Needs Review Reason</t>
  </si>
  <si>
    <t>Chain — root of title</t>
  </si>
  <si>
    <t>Yes: 4, 5 (legal supports)</t>
  </si>
  <si>
    <t>Root of title</t>
  </si>
  <si>
    <t>Interest amount needs review</t>
  </si>
  <si>
    <t>Homestead — General Land Office to Leo Kinnett (FR1/470)</t>
  </si>
  <si>
    <t>Needs source review: interest amount</t>
  </si>
  <si>
    <t>Chain — deed (confirm minerals vs surface from instrument)</t>
  </si>
  <si>
    <t>No — no source located</t>
  </si>
  <si>
    <t>Yes — on Tract 4 owner list</t>
  </si>
  <si>
    <t>Candidate 1 (helper — confirm from image)</t>
  </si>
  <si>
    <t>Medium — helper value</t>
  </si>
  <si>
    <t>Deed — Leo Kennett to Mack Hawbrook (D6/206)</t>
  </si>
  <si>
    <t>Needs source review: no source of title</t>
  </si>
  <si>
    <t>Patent — United States of America to Leo Kennett (PAT3/495)</t>
  </si>
  <si>
    <t>Yes: 2 (legal supports)</t>
  </si>
  <si>
    <t>Homestead — General Land Office to Charles F. Kennett (FR2/199)</t>
  </si>
  <si>
    <t>Review — no exact prior-grantee match</t>
  </si>
  <si>
    <t>Yes — on Tract 2 owner list</t>
  </si>
  <si>
    <t>Deed — Charles T. Kennett and Sadie N to John G. Lancaster (D9/303)</t>
  </si>
  <si>
    <t>Needs source review: grantor source</t>
  </si>
  <si>
    <t>Legal maps to 3, 10; helper says 3, 8</t>
  </si>
  <si>
    <t>Yes — on Tract 3 owner list</t>
  </si>
  <si>
    <t>Homestead — General Land Office to Ernest Brooks (FR2/293)</t>
  </si>
  <si>
    <t>Needs source review: tract, interest amount</t>
  </si>
  <si>
    <t>Legal maps to 5, 7, 8, 9; helper says 5, 6, 7</t>
  </si>
  <si>
    <t>Yes — on Tract 5 owner list</t>
  </si>
  <si>
    <t>Homestead — General Land Office to Herbert E. McGuire (FR2/292)</t>
  </si>
  <si>
    <t>Legal maps to 1, 9, 10; helper says 1, 6, 8</t>
  </si>
  <si>
    <t>Deed — Herbert E. McGuire and Claude  to Mark Hambrook (D11/209)</t>
  </si>
  <si>
    <t>Needs source review: tract, grantor source</t>
  </si>
  <si>
    <t>Patent — United States of America to Herbert E. McGuire (PAT7/374)</t>
  </si>
  <si>
    <t>Needs source review: tract</t>
  </si>
  <si>
    <t>Deed — John G. Lancaster and Mary C.  to Eugene S. Repass (D11/448)</t>
  </si>
  <si>
    <t>Yes: 1 (legal supports)</t>
  </si>
  <si>
    <t>Yes — on Tract 1 owner list</t>
  </si>
  <si>
    <t>Homestead — General Land Office to Roy A. Garrison (FR2/448)</t>
  </si>
  <si>
    <t>Patent — United States of America to Roy A. Garrison (PAT10/234)</t>
  </si>
  <si>
    <t>Patent — United States of America to Ernest Brooks (PAT6/7)</t>
  </si>
  <si>
    <t>Chain — title support (succession/entity/probate)</t>
  </si>
  <si>
    <t>Affidavit — E. L. Martin to The Public (MIS11/154)</t>
  </si>
  <si>
    <t>Needs source review: grantor source, interest amount</t>
  </si>
  <si>
    <t>Deed — Ernest Brooks and Mary Brooks, to Susie Danforth, (D19/268)</t>
  </si>
  <si>
    <t>Deed — H. L. Rowley and Myrtie Rowley to H. E. Rupp (D22/248)</t>
  </si>
  <si>
    <t>Deed — Herbert E. McGuire and Claude  to E. T. Gamble (D27/477)</t>
  </si>
  <si>
    <t>Deed — E. S. Repass and Sarah J. Repa to William C. Bain (D29/382)</t>
  </si>
  <si>
    <t>Deed — H. E. Rupp and Lulu M. Rupp, H to E. C. Winford (D31/387)</t>
  </si>
  <si>
    <t>Deed — E. C. Winford and Florence E.  to Louis E. Jaques (D31/388)</t>
  </si>
  <si>
    <t>Deed — W. C. Danforth and Susie Danfo to Benjamin H. Shotwell (D31/637)</t>
  </si>
  <si>
    <t>Yes: 1, 8 (broad legal)</t>
  </si>
  <si>
    <t>Affidavit — A. H. Douglass to The Public (MIS12/119)</t>
  </si>
  <si>
    <t>Deed — E. T. Gamble and Zella M. Gamb to Leo Aulbert (D34/104)</t>
  </si>
  <si>
    <t>Candidate 0.5 (helper — confirm from image)</t>
  </si>
  <si>
    <t>Deed — L. E. Jacques and N. V. Jacque to Panhandle Co-operative Royalty (D38/173)</t>
  </si>
  <si>
    <t>Yes: 5 (legal supports)</t>
  </si>
  <si>
    <t>Deed — Mark Hambrook, (Widower) to Panhandle Co-operative Royalty (D38/162)</t>
  </si>
  <si>
    <t>Review — read instrument (type unclear)</t>
  </si>
  <si>
    <t>Agreement — Lee Aulbert, to Roy M. Johnson (MIS15/290)</t>
  </si>
  <si>
    <t>Needs source review: grantor source, interest amount, instrument type</t>
  </si>
  <si>
    <t>Yes — prior grantee match</t>
  </si>
  <si>
    <t>Agreement — Louis E. Jaques, to Roy M. Johnson (MIS15/330)</t>
  </si>
  <si>
    <t>Needs source review: interest amount, instrument type</t>
  </si>
  <si>
    <t>Quit Claim Deed — Lawrence E. Shotwell and Ethel to Maggie Bennett, (D43/608)</t>
  </si>
  <si>
    <t>Do Not Chain — other section lands</t>
  </si>
  <si>
    <t>Other section — no Sec 31 tract</t>
  </si>
  <si>
    <t>Deed — Thomas O. Hambrook and Flora E to James G. Hambrook (D41/447)</t>
  </si>
  <si>
    <t>Warranty Deed — James G. Hambrook to Lillie Hambrook (D46/89)</t>
  </si>
  <si>
    <t>Order and Final Decree — Roger Mills County Court to Virginia Jaques, widow, 1/2, (1816/41)</t>
  </si>
  <si>
    <t>Quit Claim Deed — Ethel Brister, heir of L. E. J to Virginia Jaques (D45/395)</t>
  </si>
  <si>
    <t>Warranty Deed — Thomas O. Hambrook and Flora E to H. M. Carter (D46/540)</t>
  </si>
  <si>
    <t>Warranty Deed — Virginia Jaques and N. Virgina to H. M. Carter (D48/72)</t>
  </si>
  <si>
    <t>Affidavit — M. R. Slief to The Public (MIS19/466)</t>
  </si>
  <si>
    <t>Quit Claim Deed — Jack Brister and Ethel Brister to Virginia Jaques (QCD3/491)</t>
  </si>
  <si>
    <t>Final Decree and Distribution — Beckham County Court, to Gladys Priest, 1/4, (MIS21/471)</t>
  </si>
  <si>
    <t>Warranty Deed — Maggie Davis, formerly Maggie  to H. M. Carter (D55/254)</t>
  </si>
  <si>
    <t>Needs source review: tract, no source of title</t>
  </si>
  <si>
    <t>Final Decree — Beckham County Court, to Maggie Bennett, (MIS22/628)</t>
  </si>
  <si>
    <t>Contract — Ethel Carter, to Marvin G. Mitchell (MIS25/41)</t>
  </si>
  <si>
    <t>Legal maps to 1, 3, 4, 7, 10; helper says 1, 2, 3, 4, 7, 8</t>
  </si>
  <si>
    <t>Warranty Deed — H. M. Carter and Mrs Ethel Car to Marvin G. Mitchell and Carrie  (D59/251)</t>
  </si>
  <si>
    <t>Legal maps to 1; helper says 1, 8</t>
  </si>
  <si>
    <t>Candidate 0 (helper — confirm from image)</t>
  </si>
  <si>
    <t>Certificate — Corporation Commission of Okla to The Public (MIS25/30)</t>
  </si>
  <si>
    <t>Legal maps to 5, 7, 9; helper says 2, 3, 5, 6, 7</t>
  </si>
  <si>
    <t>Warranty Deed — Lee Aulbert and Mollie Aulbert to Marvin G. Mitchell and Carrie  (D59/246)</t>
  </si>
  <si>
    <t>Legal maps to 5, 9; helper says 5, 6, 7</t>
  </si>
  <si>
    <t>Quit Claim Deed — A. H. Douglas to Marvin G. Mitchell (QCD5/92)</t>
  </si>
  <si>
    <t>Chain — minerals</t>
  </si>
  <si>
    <t>Legal maps to 1, 3, 4, 7, 10; helper says 1, 3, 4, 7, 8</t>
  </si>
  <si>
    <t>Candidate 0.0714285714285714 (helper — confirm from image)</t>
  </si>
  <si>
    <t>Mineral Deed — H. M. Carter and Ethel Carter, to G. C. Mitchel, (D63/97)</t>
  </si>
  <si>
    <t>Warranty Deed — H. M. Carter and Ethel Carter, to Marvin G. Mitchell and Carrie  (D59/410)</t>
  </si>
  <si>
    <t>Legal maps to 1, 3, 4, 5, 7, 9, 10; helper says 1, 3, 4, 5, 6, 7, 8</t>
  </si>
  <si>
    <t>Warranty Deed — Elvin J. Ridling and Dorothy J to M. G. Mitchell and Carrie Lou  (D67/154)</t>
  </si>
  <si>
    <t>Candidate 0.170454545454545 (helper — confirm from image)</t>
  </si>
  <si>
    <t>Warranty Deed — Marvin G. Mitchell and Carrie  to W. L. Ayers and Hazel Ayers, H (D67/159)</t>
  </si>
  <si>
    <t>Contract — W. L. Ayers to Clara Mae Bryan, (MIS27/380)</t>
  </si>
  <si>
    <t>Designation of Properties Transf — Magnolia Petroleum, to The Public (MIS32/144)</t>
  </si>
  <si>
    <t>Candidate 0.125 (helper — confirm from image)</t>
  </si>
  <si>
    <t>Mineral Deed — Robert O. Lister, Jr. and Mari to Carrie Lou Mitchell (MIS47/169)</t>
  </si>
  <si>
    <t>Mineral Deed — W. L. Ayers and Hazel Ayers, H to Robert O. Lister, Jr. (MIS47/164)</t>
  </si>
  <si>
    <t>Candidate 0.0227272727272727 (helper — confirm from image)</t>
  </si>
  <si>
    <t>Mineral Deed — Robert O. Lister, Jr. to A. C. Campbell (MIS47/558)</t>
  </si>
  <si>
    <t>Mineral Deed — Robert O. Lister, Jr. to J. W. Klopfenstein (MIS47/559)</t>
  </si>
  <si>
    <t>Final Decree and Order for Distr — Kiowa County Court, to Marvin Mitchell Williams, 1/4, (MIS86/33)</t>
  </si>
  <si>
    <t>No chain effect — rental division order</t>
  </si>
  <si>
    <t>Rental Division Order — J. B. Campbell, to J. R. Groves (MIS97/120)</t>
  </si>
  <si>
    <t>Rental Division Order — Marie Lister, to W. V. Lister (115/485)</t>
  </si>
  <si>
    <t>Candidate 0.230769230769231 (helper — confirm from image)</t>
  </si>
  <si>
    <t>Mineral Deed — L. E. Thurman and Veronica Thu to Marie Lister (163/565)</t>
  </si>
  <si>
    <t>Candidate 0.153846153846154 (helper — confirm from image)</t>
  </si>
  <si>
    <t>Mineral Deed — Marie Lister to W. H. Sorenson (164/66)</t>
  </si>
  <si>
    <t>Candidate 0.0384615384615385 (helper — confirm from image)</t>
  </si>
  <si>
    <t>Mineral Deed — Marie Lister to Mann Childrens Trust (165/87)</t>
  </si>
  <si>
    <t>Mineral Deed — Marie Lister to J. E. Barnett (176/144)</t>
  </si>
  <si>
    <t>Legal maps to 6; helper says 4, 5</t>
  </si>
  <si>
    <t>Warranty Deed — Elmo W. Kirk and Freeda Kirk,  to Margie Kirk (197/116)</t>
  </si>
  <si>
    <t>Joint Tenancy Warranty Deed — Margie Kirk to Gordon E. Kirk and Ella Pearl  (227/89)</t>
  </si>
  <si>
    <t>Candidate 0.050538870708934 (helper — confirm from image)</t>
  </si>
  <si>
    <t>Mineral Deed — William C. Bain, a/k/a W. M. B to Hazel A. Hamilton (237/367)</t>
  </si>
  <si>
    <t>Mineral Deed — William C. Bain, a/k/a W. M. B to Opal L. Fuchs (237/370)</t>
  </si>
  <si>
    <t>Mineral Deed — William C. Bain, a/k/a W. M. B to Carl L. Bain (237/371)</t>
  </si>
  <si>
    <t>Mineral Deed — William C. Bain, a/k/a W. M. B to Dow C. Bain (237/372)</t>
  </si>
  <si>
    <t>Mineral Deed — William C. Bain, a/k/a W. M. B to Wilda E. Jensen (237/373)</t>
  </si>
  <si>
    <t>Mineral Deed — William C. Bain, a/k/a W. M. B to William C. Bain, Jr. (237/374)</t>
  </si>
  <si>
    <t>Mineral Deed — William C. Bain, a/k/a W. M. B to Billy W. Bain (237/376)</t>
  </si>
  <si>
    <t>Mineral Deed — William C. Bain, a/k/a W. M. B to Juanita M. Wolff (237/375)</t>
  </si>
  <si>
    <t>Rental Division Order — Panhandle Cooperative Royalty  to C. W. Dobbins &amp; Sons, Inc. (248/240)</t>
  </si>
  <si>
    <t>Yes: 4, 5 (broad legal)</t>
  </si>
  <si>
    <t>Candidate 0.23 (helper — confirm from image)</t>
  </si>
  <si>
    <t>Final Decree — Beckham County Court, to Virgil Hambrook, 1/2, (264/428)</t>
  </si>
  <si>
    <t>Miscellaneous — Oklahoma Tax Commission to Estate of Lillie Mae Campbell (264/432)</t>
  </si>
  <si>
    <t>Candidate 0.0126347176772335 (helper — confirm from image)</t>
  </si>
  <si>
    <t>Mineral Deed — Juanita M. Wolff to Alpine Oil &amp; Royalty Company I (274/566)</t>
  </si>
  <si>
    <t>Rental Division Order — L. E. Thurman to Ghk Corporation (275/168)</t>
  </si>
  <si>
    <t>Rental Division Order — L. E. Thurman to Ghk Corporation (275/170)</t>
  </si>
  <si>
    <t>Yes: 1, 5 (legal supports)</t>
  </si>
  <si>
    <t>Mineral Deed — Panhandle Cooperative Royalty  to Panhandle Royalty Company (277/64)</t>
  </si>
  <si>
    <t>Agreement — Crystal F. Pallo to W. C. Bain Jr., Trustee (280/42)</t>
  </si>
  <si>
    <t>Yes: 4 (legal supports)</t>
  </si>
  <si>
    <t>Candidate 0.1375 (helper — confirm from image)</t>
  </si>
  <si>
    <t>Mineral Deed — L. E. Thurman to Moore-Stansberry, Inc. (332/238)</t>
  </si>
  <si>
    <t>Mineral Deed — Glenn D. Mitchel Hazel P. Mitc to Nolan E. Britton, Inc. (341/154)</t>
  </si>
  <si>
    <t>Candidate 0.0192307692307692 (helper — confirm from image)</t>
  </si>
  <si>
    <t>Mineral Deed — Nolan E. Britton, Inc. to Chinook Resources, Inc. (341/155)</t>
  </si>
  <si>
    <t>Candidate 0.1340625 (helper — confirm from image)</t>
  </si>
  <si>
    <t>Mineral Deed — Moore-Stansberry, Inc. to Leede Exploration (355/341)</t>
  </si>
  <si>
    <t>Candidate 0.006875 (helper — confirm from image)</t>
  </si>
  <si>
    <t>Mineral Deed — Moore-Stansberry, Inc. to Brent L. Schooley (368/272)</t>
  </si>
  <si>
    <t>Mineral Deed — W. H. Sorenson to Sorenson Oil &amp; Gas Trust, (432/110)</t>
  </si>
  <si>
    <t>Miscellaneous — Farmers Home Administration to Clara Mae Bryan, (434/163)</t>
  </si>
  <si>
    <t>Candidate 0.00275 (helper — confirm from image)</t>
  </si>
  <si>
    <t>Mineral Deed — Moore-Stansberry, Inc. to Leede Exploration (438/128)</t>
  </si>
  <si>
    <t>Certificate — Baker Logsdon &amp; Phelps, to The Public (443/310)</t>
  </si>
  <si>
    <t>Certificate — Baker Logsdon &amp; Phelps, to The Public (443/311)</t>
  </si>
  <si>
    <t>Candidate 0.01 (helper — confirm from image)</t>
  </si>
  <si>
    <t>Mineral Deed — Margie Ann Kirk to Eddie Tom Lakey (451/176)</t>
  </si>
  <si>
    <t>Candidate 0.00126347176772335 (helper — confirm from image)</t>
  </si>
  <si>
    <t>Mineral Deed — Barbara J. Bain, to Lyle T. Ibeling (480/72)</t>
  </si>
  <si>
    <t>Mineral Deed — Billy W. Bain and Barbara J. B to Myron V. Slobin (480/70)</t>
  </si>
  <si>
    <t>Mineral Deed — Billy W. Bain and Barbara J. B to Gregory J. Winneke (480/71)</t>
  </si>
  <si>
    <t>Mineral Deed — Billy W. Bain and Barbara J. B to o. K. O1l Venture, a joint ven (512/66)</t>
  </si>
  <si>
    <t>Candidate 0.00379041530317005 (helper — confirm from image)</t>
  </si>
  <si>
    <t>Mineral Deed — Billy Wayne Bain, Trustee for  to O. K. Oil Venture (512/65)</t>
  </si>
  <si>
    <t>Trust Agreement — Hazel A. Hamilton to Billy Wayne Bain, Trustee (512/61)</t>
  </si>
  <si>
    <t>Final Decree — Roger Mills County Court to Lola B. French (512/67)</t>
  </si>
  <si>
    <t>Mineral Deed — O. K. Oil Venture to Jonathan E. Jensen (517/134)</t>
  </si>
  <si>
    <t>Mineral Deed — O. K. Oil Venture to John R. Bringle (517/135)</t>
  </si>
  <si>
    <t>Mineral Deed — O. K. Oil Venture to James F. Menehan (517/136)</t>
  </si>
  <si>
    <t>Mineral Deed — O. K. Oil Venture to L. A. Persicke (517/137)</t>
  </si>
  <si>
    <t>Candidate 0.0025269435354467 (helper — confirm from image)</t>
  </si>
  <si>
    <t>Mineral Deed — O. K. Oil Venture to Richard M. Heins (517/138)</t>
  </si>
  <si>
    <t>Certificate — Paul Hughes to The Public (581/225)</t>
  </si>
  <si>
    <t>Candidate 0.2225 (helper — confirm from image)</t>
  </si>
  <si>
    <t>Mineral Deed — Leede Exploration to O. I. L. Energy, Inc. (604/350)</t>
  </si>
  <si>
    <t>Candidate 0.0173679 (helper — confirm from image)</t>
  </si>
  <si>
    <t>Mineral Deed — Leede Exploration to Robert H. Frazier, 1/3, (605/27)</t>
  </si>
  <si>
    <t>Mineral Deed — Juanita M. Wolff to David S. Silverberry (611/58)</t>
  </si>
  <si>
    <t>NOTICE OF RECORD — Mary Margaret Devenas, to The Public (658/241)</t>
  </si>
  <si>
    <t>Quitclaim Mineral Deed — Chinook Resources, Inc. to Continental Illinois Energy De (710/34)</t>
  </si>
  <si>
    <t>Sheriff's Deed — Roger Mills County Sheriff to City National Bank of Sayre (745/75)</t>
  </si>
  <si>
    <t>Mineral Deed — Billy W. Bain to David S. Silverberg (751/68)</t>
  </si>
  <si>
    <t>Trustee's Deed — Liberty National Bank &amp; Trust  to Darlene Hall Cox, 3/4, (756/16)</t>
  </si>
  <si>
    <t>Quit Claim Deed — Margie Kirk to Herman M. Sides, (756/79)</t>
  </si>
  <si>
    <t>Mineral Deed — Juanita M. Wolff to Paul R. and/or Deborah A. Deut (583/236)</t>
  </si>
  <si>
    <t>Mineral Deed — Juanita M. Wolff to Laura L. Snyder (583/234)</t>
  </si>
  <si>
    <t>Candidate 0.00769230769230769 (helper — confirm from image)</t>
  </si>
  <si>
    <t>Mineral Deed — Mann Childrens Trust, by Walte to Mann Group Investment Company (781/183)</t>
  </si>
  <si>
    <t>Mineral Deed — O. I. L. Energy, Inc. to Black Hawk Oil Company (786/270)</t>
  </si>
  <si>
    <t>Mineral Deed — Billy W. Bain to Paul R. and Deborah A. Deutsch (815/191)</t>
  </si>
  <si>
    <t>Mineral Deed — Billy W. Bain to Clarence C. Bain (829/7)</t>
  </si>
  <si>
    <t>Candidate 0.00631735883861675 (helper — confirm from image)</t>
  </si>
  <si>
    <t>Mineral Deed — Billy Wayne Bain to Ted L. Herbold (837/199)</t>
  </si>
  <si>
    <t>Mineral Deed — Black Hawk Oil Company to Proven Properties, Inc. (839/100)</t>
  </si>
  <si>
    <t>Miscellaneous — Dow C. Bain, to The Public (858/277)</t>
  </si>
  <si>
    <t>Mineral Deed — Billy W. Bain to Theodore L. Herbold (883/168)</t>
  </si>
  <si>
    <t>Chain — assignment (WI or minerals — read granting clause)</t>
  </si>
  <si>
    <t xml:space="preserve">Legal maps to 1, 2, 3, 4, 5, 6, 7, 8, 9, 10; helper says </t>
  </si>
  <si>
    <t>Assignment — Continental Illinois Energy De to Cimarron Mineral Corp (897/244)</t>
  </si>
  <si>
    <t>Mineral Deed — Billy N. Bein to Bary Ellen Sitzman (913/261)</t>
  </si>
  <si>
    <t>Mineral Deed — Myron V. Slobin to David Slobin (924/139)</t>
  </si>
  <si>
    <t>Candidate 0.0075808306063401 (helper — confirm from image)</t>
  </si>
  <si>
    <t>Mineral Deed — Myron V. Slobin to David Slobin (924/138)</t>
  </si>
  <si>
    <t>Affidavit — Paul S. Taylor to The Public (924/136)</t>
  </si>
  <si>
    <t>Mineral Deed — Clarence C. Bain to Billy Wayne Bain (933/226)</t>
  </si>
  <si>
    <t>Mineral Deed — Brent L. Schooley to Kaiser Francis Oil Co. (946/223)</t>
  </si>
  <si>
    <t>Non-Participating Royalty Deed — Flag-Redfern Oil Company to First City National Bank of Mi (981/2)</t>
  </si>
  <si>
    <t>Mineral Deed — Clarence C. Bain to William Clifton Bain (984/181)</t>
  </si>
  <si>
    <t>Mineral Deed — Clarence C. Bain to Michael Lee Bain (984/183)</t>
  </si>
  <si>
    <t>Mineral Deed — Clarence C. Bain to Paul Milton Bain (984/185)</t>
  </si>
  <si>
    <t>Mineral Deed — Clarence C. Bain to Ronald Dean Bain (984/187)</t>
  </si>
  <si>
    <t>Order and Final Decree — Beckham County Court, to Murrell A. Gray, 1/3, (986/185)</t>
  </si>
  <si>
    <t>Mineral Deed — Cimarron Mineral Corporation to Inter-American Corporation (998/204)</t>
  </si>
  <si>
    <t>Candidate 0.05053875 (helper — confirm from image)</t>
  </si>
  <si>
    <t>Mineral Deed — Dow C. Bain to Dow C. Bain, (and OR) Edris O. (1009/25)</t>
  </si>
  <si>
    <t>Miscellaneous — Bank of Western Oklahoma to The Public (1030/176)</t>
  </si>
  <si>
    <t>Affidavit — Black Hawk Holding Company, to The Public (1047/68)</t>
  </si>
  <si>
    <t>Candidate 0.00810166666666667 (helper — confirm from image)</t>
  </si>
  <si>
    <t>Mineral Deed — Alfred William Standiford to Shaun S. Walters (1038/219)</t>
  </si>
  <si>
    <t>Final Decree — Beckham County Court, to Allen Gray, (1042/126)</t>
  </si>
  <si>
    <t>Mineral Deed — Clarence C. Bain to William Clifton Bain (1049/289)</t>
  </si>
  <si>
    <t>Mineral Deed — Clarence C. Bain to Paul Milton Bain (1049/291)</t>
  </si>
  <si>
    <t>Mineral Deed — Clarence C. Bain to Michael Lee Bain (1049/293)</t>
  </si>
  <si>
    <t>Mineral Deed — Clarence C. Bain to Ronald Dean Bain (1049/295)</t>
  </si>
  <si>
    <t>Candidate 0.0549568094810921 (helper — confirm from image)</t>
  </si>
  <si>
    <t>Mineral Deed — William Cobal Bain, Jr. and Bi to Billy Wayne Bain (1070/182)</t>
  </si>
  <si>
    <t>Mineral Deed — William Cobal Bain, Jr. and Bi to Clarence Bain (1070/185)</t>
  </si>
  <si>
    <t>Mineral Deed — William Cobal Bain, Jr. and Bi to Carl Leon Bain (1070/188)</t>
  </si>
  <si>
    <t>Mineral Deed — William Cobal Bain, Jr. and Bi to William Cobal Bain Jr. (1070/191)</t>
  </si>
  <si>
    <t>Mineral Deed — William Cobal Bain, Jr. and Bi to Juanita Wolff (1070/194)</t>
  </si>
  <si>
    <t>Mineral Deed — William Cobal Bain, Jr. and Bi to Hazel Hamilton (1070/197)</t>
  </si>
  <si>
    <t>Mineral Deed — William Cobal Bain, Jr. and Bi to Opal Fuchs (1070/200)</t>
  </si>
  <si>
    <t>Mineral Deed — William Cobal Bain, Jr. and Bi to Wilda Jensen (1070/203)</t>
  </si>
  <si>
    <t>Mineral Deed — William Cobal Bain, Jr. and Bi to Crystal Pallo (1070/206)</t>
  </si>
  <si>
    <t>Final Decree — Beckham County Court, to Billy Wayne Bain (1088/5)</t>
  </si>
  <si>
    <t>Do Not Chain — address only</t>
  </si>
  <si>
    <t>Change of Address — Mary Ellen Sitzmann to The Public (1090/217)</t>
  </si>
  <si>
    <t>Mineral Deed — Mann Group Investment Company to Bluebonnet Investments, Ltd. (1100/48)</t>
  </si>
  <si>
    <t>Candidate 0.0125 (helper — confirm from image)</t>
  </si>
  <si>
    <t>Mineral Deed — Ernest Jensen and Wilda Jensen to Hans W. Jensen (1104/87)</t>
  </si>
  <si>
    <t>Mineral Deed — Ernest Jensen and Wilda Jensen to Tim E. Jensen (1104/90)</t>
  </si>
  <si>
    <t>Candidate 0.00421156834750528 (helper — confirm from image)</t>
  </si>
  <si>
    <t>Trustee's Mineral Deed — W. C. Bain Jr., as Trustee und to Juanita M. Wolff (1114/222)</t>
  </si>
  <si>
    <t>Trustee's Mineral Deed — W. C. Bain Jr., as Trustee und to W. C. Bain Jr. (1114/225)</t>
  </si>
  <si>
    <t>Trustee's Mineral Deed — W. C. Bain Jr., as Trustee und to Opal L. Fuchs (1114/228)</t>
  </si>
  <si>
    <t>Trustee's Mineral Deed — W. C. Bain Jr., as Trustee und to Wilda E. Jensen (1114/231)</t>
  </si>
  <si>
    <t>Trustee's Mineral Deed — W. C. Bain Jr., as Trustee und to Hazel A. Hamilton (1114/234)</t>
  </si>
  <si>
    <t>Trustee's Mineral Deed — W. C. Bain Jr., as Trustee und to Dow C. Bain (1114/237)</t>
  </si>
  <si>
    <t>Trustee's Mineral Deed — W. C. Bain Jr., as Trustee und to Billy W. Bain (1114/240)</t>
  </si>
  <si>
    <t>Trustee's Mineral Deed — W. C. Bain Jr., as Trustee und to Clarence C. Bain (1114/243)</t>
  </si>
  <si>
    <t>Trustee's Mineral Deed — W. C. Bain Jr., as Trustee und to Carl L. Bain (1114/246)</t>
  </si>
  <si>
    <t>Order and Final Decree — Beckham County Court, to Clayton D. Fuchs, 1/4, (1122/69)</t>
  </si>
  <si>
    <t>Mineral Deed — Ernest Jensen and Wilda Jensen to Tim E. Jensen (1122/274)</t>
  </si>
  <si>
    <t>Mineral Deed — Ernest Jensen and Wilda Jensen to Hans W. Jensen (1122/277)</t>
  </si>
  <si>
    <t>Mineral Deed — Hazel Hamilton to Hazel Trust Hamilton (1123/100)</t>
  </si>
  <si>
    <t>Consent to Sell — Beckham County Court, to Fred A. Standiford, Jr. (1126/229)</t>
  </si>
  <si>
    <t>Final Account — Beckham County Court, to Murrell A. Gray, 1/2, (1126/210)</t>
  </si>
  <si>
    <t>Candidate 0.145833333333333 (helper — confirm from image)</t>
  </si>
  <si>
    <t>Final Decree — Beckham County Court, to Murrell A. Gray, 1/3, (1126/234)</t>
  </si>
  <si>
    <t>General Inventory and Appraiseme — Beckham County Court, to The Public (1126/202)</t>
  </si>
  <si>
    <t>Order Confirming Sale — Beckham County Court, to Fred A. Standiford, Jr. (1126/231)</t>
  </si>
  <si>
    <t>Return of Sale — Beckham County Court, to Fred A. Standiford, Jr. (1126/226)</t>
  </si>
  <si>
    <t>Mineral Quit Claim Deed — Federal Deposit Insurance Corp to First State Bank &amp; Trust Compa (1126/98)</t>
  </si>
  <si>
    <t>Quit Claim Mineral Deed, Assignm — State Bank &amp; Trust Company to Arrowhead Resources, Inc. (1128/39)</t>
  </si>
  <si>
    <t>Quit Claim Mineral Deed, Assignm — Arrowhead Resources, Inc. to Daniel D. Ferson (1131/89)</t>
  </si>
  <si>
    <t>Candidate 0.333333333333333 (helper — confirm from image)</t>
  </si>
  <si>
    <t>Mineral Deed — Alfred W. Standiford to Fred A. Standiford, Jr. (1132/285)</t>
  </si>
  <si>
    <t>Quit Claim Mineral Deed, Assignm — First State Bank &amp; Trust Compa to Arrowhead Resources, Inc. (1140/26)</t>
  </si>
  <si>
    <t>Quit Claim Mineral Deed, Assignm — Arrowhead Resources, Inc. to The Hefner Corporation (1147/242)</t>
  </si>
  <si>
    <t>Legal maps to 5, 6, 7, 8, 9; helper says 2, 3, 5, 6, 7</t>
  </si>
  <si>
    <t>Quit Claim Deed — Charles O. Burckhalter to Charles O. Burckhalter, Truste (1151/107)</t>
  </si>
  <si>
    <t>Mineral Deed — Inter-American Corporation to Hayhurst Oil Properties, Inc. (1159/224)</t>
  </si>
  <si>
    <t>Quit Claim Deed — Termo Company to Hayhurst Oil Properties, Inc. (1159/225)</t>
  </si>
  <si>
    <t>Quit Claim Mineral Deed — Gilbert C. Fuchs to Fuchs Family Revocable Trust (1167/200)</t>
  </si>
  <si>
    <t>Order and Final Decree — Beckham County Court, to Glenn D. Mitchel, 1/3, (1176/54)</t>
  </si>
  <si>
    <t>Mineral Deed — Alpine Investments, Inc. to Estate of Dwight J. Wilson, de (1194/257)</t>
  </si>
  <si>
    <t>Affidavit — Umc Petroleum Corp - Delaware to The Public (1218/1)</t>
  </si>
  <si>
    <t>Warranty Deed — Mary Margaret Devenas, f/k/a M to Joseph Devenas and Mary Margar (1229/180)</t>
  </si>
  <si>
    <t>Conveyance — El Paso Natural Gas Company to El Paso Production Company (1240/115)</t>
  </si>
  <si>
    <t>Correction Mineral Deed — Alpine Investments, Inc. to Melinda McCaul Mulvihill, Exec (1249/161)</t>
  </si>
  <si>
    <t>Affidavit of Address Change — Daniel D. Ferson to The Public (1266/19)</t>
  </si>
  <si>
    <t>Joint Tenancy Mineral Deed — Mattie C. Britton to Joe Britton and Anna R. Britto (1267/168)</t>
  </si>
  <si>
    <t>Candidate 0.00246428571428571 (helper — confirm from image)</t>
  </si>
  <si>
    <t>Mineral Deed — Hayhurst Oil Properties, Inc. to Minion Investment Company (1274/277)</t>
  </si>
  <si>
    <t>Candidate 0.00610631293668743 (helper — confirm from image)</t>
  </si>
  <si>
    <t>Trustee's Mineral Deed — William Cobal Bain and Billy W to Dow C. Bain and Edris O. Bain, (1276/267)</t>
  </si>
  <si>
    <t>Trustee's Mineral Deed — William Cobal Bain and Billy W to Wilda Jensen (1276/270)</t>
  </si>
  <si>
    <t>Trustee's Mineral Deed — William Cobal Bain and Billy W to Clarence Bain (1276/273)</t>
  </si>
  <si>
    <t>Trustee's Mineral Deed — William Cobal Bain and Billy W to Carl Leon Bain (1276/279)</t>
  </si>
  <si>
    <t>Trustee's Mineral Deed — William Cobal Bain and Billy W to Hazel Ailene Hamilton (1276/282)</t>
  </si>
  <si>
    <t>Trustee's Mineral Deed — William Cobal Bain and Billy W to Juanita Wolff (1276/285)</t>
  </si>
  <si>
    <t>Mineral Deed — Marvin Mitchell Williams to Nancy Mitchell Williams (1294/169)</t>
  </si>
  <si>
    <t>Needs source review: tract, grantor source, interest amount</t>
  </si>
  <si>
    <t>Mineral Deed — Ronald Dean Bain to Clarence C. Bain (1296/141)</t>
  </si>
  <si>
    <t>Miscellaneous — J. F. Barnett, to Adams Little, Inc., (1321/53)</t>
  </si>
  <si>
    <t>Final Decree — Roger Mills County Court to Margaret Kirk, 1/4, (1324/22)</t>
  </si>
  <si>
    <t>Affidavit of Surviving Join Tena — Joseph Devenas to The Public (1326/88)</t>
  </si>
  <si>
    <t>Deed, Conveyance and Assignment — Transok Gas Company (formerly  to West Anadarko Gas Gathering Sy (1355/192)</t>
  </si>
  <si>
    <t>Order and Decree — Beckham County Court, to Alfred W. Standiford, 1/6, (1405/223)</t>
  </si>
  <si>
    <t>Mineral Deed — Hayhurst Oil Properties, Inc. to Nam Corporation, 1/2, (1422/9)</t>
  </si>
  <si>
    <t>Mineral Deed — Tripco, Inc. to Prudential Securities, C/F Cyn (1457/173)</t>
  </si>
  <si>
    <t>Quit Claim Deed — Joseph Devenas to Joseph Devenas, As Trustee of  (1459/583)</t>
  </si>
  <si>
    <t>Mineral Deed — Alpine Oil and Royalty Co, Inc to Melinda McCaul Mulvihill, Exec (1470/59)</t>
  </si>
  <si>
    <t>Quit Claim Mineral Deed — Charles R. Atha, a/k/a Charles to Charles R. Atha, a/k/a Charles (1471/574)</t>
  </si>
  <si>
    <t>Final Decree — Kingfisher County Court, to Rogene E. Williams, 28.571% (1479/191)</t>
  </si>
  <si>
    <t>Yes: 1, 2, 3 (broad legal)</t>
  </si>
  <si>
    <t>Quit Claim Deed — Eula Cross, also known as Eula to Patsy J. Crouse (1510/566)</t>
  </si>
  <si>
    <t>Quit Claim Deed — Eula Cross, also known as Eula to Patsy J. Crouse (1511/32)</t>
  </si>
  <si>
    <t>Warranty Deed — Eula Cross, a single person to Leonard Herzperg and Mary Alic (1514/525)</t>
  </si>
  <si>
    <t>Affidavit of Surviving Join Tena — Letty Jane Atha, a/k/a Letty A to The Public (1522/215)</t>
  </si>
  <si>
    <t>Quit Claim Mineral Deed — Jon T. Williams and Rogene E.  to Jon T. Williams and Rogene E.  (1564/310)</t>
  </si>
  <si>
    <t>Quit Claim Mineral Deed — Jan A. Schroff to Jan A. Schroff, Trustee of The (1567/245)</t>
  </si>
  <si>
    <t>Mineral Deed — David Slobin to Myron V. Slobin (1576/222)</t>
  </si>
  <si>
    <t>Mineral Deed — David Slobin to Myron V. Slobin (1576/219)</t>
  </si>
  <si>
    <t>Quit Claim Mineral Deed — Melinda McCaul Mulvihill, a/k/ to Melinda McCaul Mulvihill (1579/358)</t>
  </si>
  <si>
    <t>Affidavit Surviving Joint Tenant — Ella Pearl Kirk to The Public (1581/316)</t>
  </si>
  <si>
    <t>Affidavit — Albert Earnest Fuchs to The Public (1583/389)</t>
  </si>
  <si>
    <t>Candidate 0.0144766952632443 (helper — confirm from image)</t>
  </si>
  <si>
    <t>Mineral Deed — Eunice Evelyn Cook, to Lola F. Richrads (1583/391)</t>
  </si>
  <si>
    <t>Candidate 0.0289533917899605 (helper — confirm from image)</t>
  </si>
  <si>
    <t>Mineral Deed — Eunice Evelyn Cook, to Jessie W. Fuchs (1583/405)</t>
  </si>
  <si>
    <t>Mineral Deed — Eunice Evelyn Cook, to Raymond M. Fuchs (1583/412)</t>
  </si>
  <si>
    <t>Candidate 0.0361917394215826 (helper — confirm from image)</t>
  </si>
  <si>
    <t>Mineral Deed — Eunice Evelyn Cook, to Isa May Smith (1583/419)</t>
  </si>
  <si>
    <t>Mineral Deed — Eunice Evelyn Cook, to Ocie H. Fuchs and Albert E. Fu (1583/426)</t>
  </si>
  <si>
    <t>Candidate 0.00723834763162217 (helper — confirm from image)</t>
  </si>
  <si>
    <t>Mineral Deed — Eunice Evelyn Cook, to Mark J. Fuchs (1583/398)</t>
  </si>
  <si>
    <t>Legal maps to 5, 9; helper says 5, 6</t>
  </si>
  <si>
    <t>Certificate — Bryan Living Trust, to The Public (2348/288)</t>
  </si>
  <si>
    <t>Quit Claim Deed — Jack Mahoney to The Mahoney Childrens Trust (1597/174)</t>
  </si>
  <si>
    <t>Decree — Roger Mills County Court to Charles Allen Atha (1600/1)</t>
  </si>
  <si>
    <t>Proof of Death — Nanalee Faye Barnett to The Public (1604/455)</t>
  </si>
  <si>
    <t>Mineral Deed — Fer-Scher Exploration, LLC to Aspen Minerals Group (1611/503)</t>
  </si>
  <si>
    <t>Quit Claim Mineral Deed — Melinda McCaul Mulvihill, Trus to Stephen M. Criser, Trustee of  (1625/440)</t>
  </si>
  <si>
    <t>Order — Beckham County Court, to Martha Ann Devenas (1866/238)</t>
  </si>
  <si>
    <t>Order — Oklahoma County Court, to Laurence L. Crouse, 1/4, (1634/353)</t>
  </si>
  <si>
    <t>Quit Claim Deed — Michael Best and Angale L. Bes to The Crouse Family TRUST, a Tru (1634/367)</t>
  </si>
  <si>
    <t>Mineral Deed — William C. Bain Jr. to Donald R. Bain, (1631/416)</t>
  </si>
  <si>
    <t>Mineral Deed — Dow C. Bain to Dow C. Bain and Edris O. Bain  (1636/544)</t>
  </si>
  <si>
    <t>Mineral Deed — Dow C. Bain and Edris O. Bain, to Dow C. Bain and Edris O. Bain  (1636/554)</t>
  </si>
  <si>
    <t>Mineral Deed — Dow C. Bain and Or Edris O. Ba to Dow C. Bain and Edris O. Bain  (1636/556)</t>
  </si>
  <si>
    <t>Mineral Deed — Nanalee Faye Barnett to Arrowhead Resources, Inc. (1637/26)</t>
  </si>
  <si>
    <t>Affidavit — Thomas B. Goodwin to The Public (1637/471)</t>
  </si>
  <si>
    <t>Quit Claim Deed — The Crouse Family Trust, a Tru to The Crouse Family Limited Part (1637/476)</t>
  </si>
  <si>
    <t>Mineral Deed — Louise Ormand, now Louise Orma to Arrowhead Resources, Inc. (1639/206)</t>
  </si>
  <si>
    <t>Mineral Deed — Glenn D. Mitchel, a/k/a Glen D to Arrowhead Resources, Inc. (1639/426)</t>
  </si>
  <si>
    <t>Decree — Roger Mills County Court to Nanalee Faye Barnett (1643/389)</t>
  </si>
  <si>
    <t>Quit Claim Deed — Leonard Herzberg and Mary Alic to Mary Alice Herzberg (1642/532)</t>
  </si>
  <si>
    <t>Chain — WI/leasehold assignment</t>
  </si>
  <si>
    <t>Candidate 0.01802890625 (helper — confirm from image)</t>
  </si>
  <si>
    <t>Deed, Assignment and Bill of Sal — Arrowhead Resources, Inc. to Bhch Mineral, Ltd., 47.5%, (1680/318)</t>
  </si>
  <si>
    <t>Mineral Deed — Oleta Florene Flanagan, former to Arrowhead Resources, Inc. (1688/374)</t>
  </si>
  <si>
    <t>Candidate 0.0549568170619227 (helper — confirm from image)</t>
  </si>
  <si>
    <t>Mineral Deed — William Cobal Bain and Billy W to Deeanne Browning, 2/6, (1694/156)</t>
  </si>
  <si>
    <t>Mineral Deed — Hayhurst Oil Properties, Inc. to Peggy J. HAYHURST, TRUSTEE, of (1695/238)</t>
  </si>
  <si>
    <t>Assignment — Dorothy G. Hamilton, Executrix to Dorothy G. Hamilton and Harold (1706/384)</t>
  </si>
  <si>
    <t>Assignment — Dorothy G. Hamilton and Harold to Dorothy G. Hamilton (1706/386)</t>
  </si>
  <si>
    <t>Legal maps to 1, 3, 4, 10; helper says 1, 3, 4, 8</t>
  </si>
  <si>
    <t>Disclaimer — Beckham County Court, to The Public (1707/512)</t>
  </si>
  <si>
    <t>Final Decree — Beckham County Court, to The Public (1728/457)</t>
  </si>
  <si>
    <t>Special Warranty Deed, Assignmen — Bluebonnet Investments, Ltd. to White Birch, L.P. (1724/582)</t>
  </si>
  <si>
    <t>Final Decree — Beckham County Court, to Nana Lou Jones (1734/14)</t>
  </si>
  <si>
    <t>Chain — leasehold (OGL)</t>
  </si>
  <si>
    <t>Legal maps to 1, 3, 4, 5, 7, 9, 10; helper says 1, 8</t>
  </si>
  <si>
    <t>Oil and Gas Lease — Carrie Leeann Mitchell to R. Michael Lortz (1736/594)</t>
  </si>
  <si>
    <t>Oil and Gas Lease — Gena W. Moore aka Gena William to R. Michael Lortz (1736/602)</t>
  </si>
  <si>
    <t>Oil and Gas Lease — Nancy Mitchell Williams to R. Michael Lortz (1736/592)</t>
  </si>
  <si>
    <t>Oil and Gas Lease — Nancy Susan Mitchell to R. Michael Lortz (1736/600)</t>
  </si>
  <si>
    <t>Oil and Gas Lease — Carl L. Bain aka Carl Leon Bai to R. Michael Lortz (1736/596)</t>
  </si>
  <si>
    <t>Oil and Gas Lease — Dow C. Bain and Edris O. Bain, to R. Michael Lortz (1736/598)</t>
  </si>
  <si>
    <t>Oil and Gas Lease — Hans W. Jensen to R. Michael Lortz (1736/195)</t>
  </si>
  <si>
    <t>Oil and Gas Lease — Juanita M. Wolff to R. Michael Lortz (1736/590)</t>
  </si>
  <si>
    <t>Oil and Gas Lease — Tim E. Jensen to R. Michael Lortz (1736/199)</t>
  </si>
  <si>
    <t>Oil and Gas Lease — Wilda E. Jensen to R. Michael Lortz (1736/193)</t>
  </si>
  <si>
    <t>Oil and Gas Lease — Wilda E. Jensen to R. Michael Lortz (1824/181)</t>
  </si>
  <si>
    <t>Oil and Gas Lease — Clarence C. Bain, Trustee of t to R. Michael Lortz (1736/588)</t>
  </si>
  <si>
    <t>Oil and Gas Lease — John W. Bain, Joseph A. Bain a to R. Michael Lortz (1736/496)</t>
  </si>
  <si>
    <t>Proof of Death — John W. Bain to The Public (1736/498)</t>
  </si>
  <si>
    <t>Oil and Gas Lease — A. C. Campbell aka Audy C. Cam to R. Michael Lortz (1736/197)</t>
  </si>
  <si>
    <t>Oil and Gas Lease — L. E. Thurman to R. Michael Lortz (1736/485)</t>
  </si>
  <si>
    <t>Legal maps to 2, 5, 7, 9; helper says 2, 3, 5, 6, 7</t>
  </si>
  <si>
    <t>Assignment — R. Michael Lortz to Axis Exploration, LLC (1740/424)</t>
  </si>
  <si>
    <t>Oil and Gas Lease — Lola F. Richards aka Lola Rich to R. Michael Lortz (1738/479)</t>
  </si>
  <si>
    <t>Yes: 5, 6 (legal supports)</t>
  </si>
  <si>
    <t>Oil and Gas Lease — Charles Allen Atha to R. Michael Lortz (1736/473)</t>
  </si>
  <si>
    <t>Legal maps to 1, 3, 4, 5, 7, 9, 10; helper says 1, 2, 3, 4, 5, 7, 8</t>
  </si>
  <si>
    <t>Assignment — R. Michael Lortz to B&amp;W Exploration, Inc. (1745/48)</t>
  </si>
  <si>
    <t>Legal maps to 5, 6, 8, 9; helper says 1, 8</t>
  </si>
  <si>
    <t>Oil and Gas Lease — Sandra Lorrain York to Kodiak Production Company (1737/580)</t>
  </si>
  <si>
    <t>Needs source review: tract, no source of title, interest amount</t>
  </si>
  <si>
    <t>Assignment — R. Michael Lortz to Yale Oil Association, Inc. (1751/168)</t>
  </si>
  <si>
    <t>Assignment — R. Michael Lortz to Cirrus Production Company (1741/70)</t>
  </si>
  <si>
    <t>Candidate 0.00824175 (helper — confirm from image)</t>
  </si>
  <si>
    <t>Affidavit of Termination of Join — Joe H. Britton to The Public (1742/271)</t>
  </si>
  <si>
    <t>Affidavit of Surviving Remainder — Peggy Brawner to The Public (1746/158)</t>
  </si>
  <si>
    <t>Legal maps to 1, 3, 4, 7, 9, 10; helper says 1, 3, 4, 5, 6, 7, 8</t>
  </si>
  <si>
    <t>Assignment — B. &amp; W. Exploration, Inc. to R. Michael Lortz (1749/49)</t>
  </si>
  <si>
    <t>Assignment — R. Michael Lortz to Newfield Exploration Mid Cont, (1749/51)</t>
  </si>
  <si>
    <t>Oil and Gas Lease — Darrell E. Hamilton to R. Michael Lortz (1764/122)</t>
  </si>
  <si>
    <t>Oil and Gas Lease — Deeanne Browning to R. Michael Lortz (1764/124)</t>
  </si>
  <si>
    <t>Legal maps to 2; helper says 2, 5</t>
  </si>
  <si>
    <t>Oil and Gas Lease — Travis L. Smith to R. Michael Lortz (1764/128)</t>
  </si>
  <si>
    <t>Legal maps to 5, 6, 8, 9; helper says 4, 5, 6</t>
  </si>
  <si>
    <t>Candidate 0.0357142857142857 (helper — confirm from image)</t>
  </si>
  <si>
    <t>Mineral Deed — Sandra Lorraine York to Koala Production Company (1764/344)</t>
  </si>
  <si>
    <t>Assignment — R. Michael Lortz to Panhandle Royalty Company (1764/133)</t>
  </si>
  <si>
    <t>Candidate 0.0178571428571429 (helper — confirm from image)</t>
  </si>
  <si>
    <t>Mineral Deed — Sandra Lorraine York to Koala Production Company (1764/345)</t>
  </si>
  <si>
    <t>Mineral Deed — Aspen Energy Group, Inc. to Crusader Energy Corporation (1765/306)</t>
  </si>
  <si>
    <t>Mineral Deed — Koala Production Company to Fleshman Agency, Inc. (1937/418)</t>
  </si>
  <si>
    <t>Mineral Deed — Sandra York, aka Sandra Lorrai to Arrowhead Resources, Inc. (1768/339)</t>
  </si>
  <si>
    <t>Yes: 2, 5 (legal supports)</t>
  </si>
  <si>
    <t>Blanket Deed and Conveyance — The Estate of Barbara Fasken,  to Fasken Land and Minerals, Ltd. (1775/296)</t>
  </si>
  <si>
    <t>Mineral Deed — Minion Investment Co, to Prism Energy, Inc. (1774/309)</t>
  </si>
  <si>
    <t>Oil and Gas Lease — Jesse W. Fuchs, a single perso to N/G Discovery, LLC (1780/409)</t>
  </si>
  <si>
    <t>Oil and Gas Lease — Isa May Smith, a married woman to N/G Discovery, LLC (1782/261)</t>
  </si>
  <si>
    <t>Oil and Gas Lease — Mark J. Fuchs to N/G Discovery, LLC (1782/267)</t>
  </si>
  <si>
    <t>Oil and Gas Lease — Raymond M. Fuchs to N/G Discovery, LLC (1781/204)</t>
  </si>
  <si>
    <t>Oil and Gas Lease — Joe Devenas, Jr. to EOG Resources, Inc. (1785/274)</t>
  </si>
  <si>
    <t>Oil and Gas Lease — Joseph Devenas, as Trustee of  to EOG Resources, Inc. (1785/278)</t>
  </si>
  <si>
    <t>Oil and Gas Lease — Eleanore Wheeler to EOG Resources, Inc. (1785/276)</t>
  </si>
  <si>
    <t>Affidavit of Surviving Joint Ten — Clarence Bain to The Public (1783/99)</t>
  </si>
  <si>
    <t>Oil and Gas Lease — Marchelle Sorenson Daigle and  to N/G Discovery, LLC (1787/47)</t>
  </si>
  <si>
    <t>Chain — leasehold (ratification/memo)</t>
  </si>
  <si>
    <t>Ratification — Joe Deveanas to EOG Resources, Inc. (1793/502)</t>
  </si>
  <si>
    <t>Oil and Gas Lease — Martha Ann Devenas a/k/a Ann D to EOG Resources, Inc. (1792/517)</t>
  </si>
  <si>
    <t>Ratification of Oil and Gas Leas — Molly Devenas to EOG Resources, Inc. (1793/501)</t>
  </si>
  <si>
    <t>Needs source review: no source of title, interest amount</t>
  </si>
  <si>
    <t>Mineral Deed — John William Bain to G. &amp; T. Partnership, C/O Miche (1783/306)</t>
  </si>
  <si>
    <t>Legal maps to 5, 7, 9; helper says 2, 3, 5, 7</t>
  </si>
  <si>
    <t>Oil and Gas Lease — Roger Klopfenstein and Linda K to Chesapeake Exploration Limited (1786/335)</t>
  </si>
  <si>
    <t>Decree — Roger Mills County Court to Sandra York, a/k/a Sandra Lorr (1784/591)</t>
  </si>
  <si>
    <t>Oil and Gas Lease — Arrowhead Resources, Inc. to Arrowhead Explor &amp; Prod Co. (1788/24)</t>
  </si>
  <si>
    <t>Oil and Gas Lease — Dwight J. Williams to Chesapeake Exploration Limited (1798/148)</t>
  </si>
  <si>
    <t>Oil and Gas Lease — Jan A. Schroff. Trustee of The to Chesapeake Exploration Limited (1798/292)</t>
  </si>
  <si>
    <t>Oil and Gas Lease — Rogene E. Williams. Trustee of to Chesapeake Exploration Limited (1798/146)</t>
  </si>
  <si>
    <t>Oil and Gas Lease — Stephen M. Criser. Trustee of  to Chesapeake Exploration Limited (1798/150)</t>
  </si>
  <si>
    <t>Candidate 0.05065 (helper — confirm from image)</t>
  </si>
  <si>
    <t>Mineral Deed — Arrowhead Resources, Inc. to MAP2004-OK (1797/463)</t>
  </si>
  <si>
    <t>Candidate 0.0208333333333333 (helper — confirm from image)</t>
  </si>
  <si>
    <t>Mineral Deed — Arrowhead Resources, Inc. to MAP2004-OK (1800/453)</t>
  </si>
  <si>
    <t>Mineral Deed — Laura Snyder Robertson, former to James M. Robertson and/or Rose (1790/386)</t>
  </si>
  <si>
    <t>Legal maps to 1, 2, 3, 4, 7, 10; helper says 1, 2, 3, 4, 7, 8</t>
  </si>
  <si>
    <t>Partial Assignment — N/G Discovery, LLC to Sierra Resources, Inc. (1791/515)</t>
  </si>
  <si>
    <t>Mineral Deed — Koala Pordution Company to Chisholm Royalty Partners (1794/173)</t>
  </si>
  <si>
    <t>Oil and Gas Lease — Charlotte F. Willert to EOG Resources, Inc. (1798/579)</t>
  </si>
  <si>
    <t>Oil and Gas Lease — Donald R. Bain to EOG Resources, Inc. (1798/576)</t>
  </si>
  <si>
    <t>Oil and Gas Lease — Leona I. De Grande to EOG Resources, Inc. (1798/573)</t>
  </si>
  <si>
    <t>Oil and Gas Lease — Marilyn L. Broyles to EOG Resources, Inc. (1799/30)</t>
  </si>
  <si>
    <t>Oil and Gas Lease — Melvin F. Bain to EOG Resources, Inc. (1798/582)</t>
  </si>
  <si>
    <t>Oil and Gas Lease — Peggy J. Brawner to EOG Resources, Inc. (1797/167)</t>
  </si>
  <si>
    <t>Partial Assignment — N/G Discovery, LLC to Norwich Petroleum Corporation (1802/107)</t>
  </si>
  <si>
    <t>Mineral Deed — Melvin F. Bain to Omega Royalty Co, LLC (1812/120)</t>
  </si>
  <si>
    <t>Oil and Gas Lease — James E. Menehan to Todco Properties, Inc. (1817/388)</t>
  </si>
  <si>
    <t>Oil and Gas Lease — Joe H Britton, aka, Joe Britto to Todco Properties, Inc. (1817/386)</t>
  </si>
  <si>
    <t>Candidate 0.00965125 (helper — confirm from image)</t>
  </si>
  <si>
    <t>Mineral Deed — Charlotte F. Willert to Mare Oil Company (1810/16)</t>
  </si>
  <si>
    <t>Mineral Deed — Peggy J. Brawner to Mare Oil Company (1810/15)</t>
  </si>
  <si>
    <t>Mineral Deed — Leona I. DeGrande to Mare Oil Company (1810/18)</t>
  </si>
  <si>
    <t>Mineral Deed — Leona I. DeGrande to Mare Oil Company (1810/19)</t>
  </si>
  <si>
    <t>Assignment OF MINERAL INTERESTS — The Estate of Dorothy G. Hamil to Heather Hamilton Tedford (1809/264)</t>
  </si>
  <si>
    <t>Oil and Gas Lease — Peggy J. Hayhurst, Trustee of  to Fleshman Agency, Inc. (1810/310)</t>
  </si>
  <si>
    <t>Legal maps to 5, 6, 8; helper says 1, 8</t>
  </si>
  <si>
    <t>Oil and Gas Lease — Eddie Tom Lakey to Jess Harris, III, Inc. (1816/358)</t>
  </si>
  <si>
    <t>Oil and Gas Lease — Shawn S. Walters to Jess Harris, III, Inc. (1816/352)</t>
  </si>
  <si>
    <t>Oil and Gas Lease — Myron Slobin a/k/a Myron V. Sl to Jess Harris, III, Inc. (1816/386)</t>
  </si>
  <si>
    <t>Mineral Deed — Tripco, Inc. to Prism Energy, Inc. (1812/138)</t>
  </si>
  <si>
    <t>Assignment of Oil and Gas Lease — Jess Harris, III, Inc. to Newfield Exploration Mid-Conti (1822/18)</t>
  </si>
  <si>
    <t>Oil and Gas Lease — Gregory J. Wiinneke to Jess Harris, III, Inc. (1816/389)</t>
  </si>
  <si>
    <t>Candidate 0.0172159870241449 (helper — confirm from image)</t>
  </si>
  <si>
    <t>Mineral Deed — Omega Royalty Co, LLC to Geotech Production, Inc., (1812/121)</t>
  </si>
  <si>
    <t>Assignment, CONVEYANCE, BILL OF  — Bruce H. C. Hill and Ellen S.  to Fredericksburg Royalty, Ltd. (1815/247)</t>
  </si>
  <si>
    <t>Oil and Gas Lease — Paul R. Deutsch &amp; Deborah A. D to Jess Harris, III, Inc. (1816/376)</t>
  </si>
  <si>
    <t>Oil and Gas Lease — David S. Silverberg to Jess Harris, III, Inc. (1822/572)</t>
  </si>
  <si>
    <t>Oil and Gas Lease — Lyle T. Ibeling to Jess Harris, III, Inc. (1822/578)</t>
  </si>
  <si>
    <t>Oil and Gas Lease — Mary Ellen Sitzmann aka Mary E to Jess Harris, III, Inc. (1822/574)</t>
  </si>
  <si>
    <t>Assignment — Jess Harris, III, Inc. to Newfield Exploration Mid-Conti (1822/27)</t>
  </si>
  <si>
    <t>Assignment — Jess Harris, III, Inc. to Newfield Exploration Mid-Conti (1822/29)</t>
  </si>
  <si>
    <t>Legal maps to 5, 7, 9; helper says 5, 6, 7</t>
  </si>
  <si>
    <t>Oil and Gas Lease — Margaret Kirk to Jess Harris, III, Inc. (1816/374)</t>
  </si>
  <si>
    <t>Assignment of Oil and Gas Lease — Jess Harris, III, Inc. to Newfield Exploration Mid-Conti (1822/17)</t>
  </si>
  <si>
    <t>Oil and Gas Lease — Charles D. Ray to Jess Harris, III, Inc. (1822/576)</t>
  </si>
  <si>
    <t>Assignment — Jess Harris, III, Inc. to Newfield Exploration Mid-Conti (1822/21)</t>
  </si>
  <si>
    <t>Assignment of Oil and Gas Lease — Jess Harris, III, Inc. to Newfield Exploration Mid-Conti (1830/516)</t>
  </si>
  <si>
    <t>Assignment of Oil and Gas Lease — Jess Harris, III, Inc. to Newfield Exploration Mid-Conti (1830/517)</t>
  </si>
  <si>
    <t>Agreement — Charles D. Ray to Jess Harris, III, Inc. (1831/55)</t>
  </si>
  <si>
    <t>Oil and Gas Lease — Clyde A. Pine to Jess Harris, III, Inc. (1822/562)</t>
  </si>
  <si>
    <t>Disclaimer and Quit Clam of Inte — Eddie Tom Lakey to The Public (1819/156)</t>
  </si>
  <si>
    <t>Disclaimer — O.K. Oil Venture, c/o Greg Win to Publc (1819/154)</t>
  </si>
  <si>
    <t>Disclaimer and Quit Clam of Inte — Glenda A. Palmer, Trustee of t to The Public (1819/157)</t>
  </si>
  <si>
    <t>Assignment — Jess Harris, III, Inc. to Newfield Exploration Mid-Conti (1945/594)</t>
  </si>
  <si>
    <t>Assignment of Oil and Gas Lease — Jess Harris, III, Inc. to Newfield Exploration Mid-Conti (1830/518)</t>
  </si>
  <si>
    <t>Oil and Gas Lease — Myron V. Slobin to Devon Energy Production Compan (1820/15)</t>
  </si>
  <si>
    <t>Stipulation of Mineral Ownership — Leede Exploration, a Texas gen to O.I.L. Energy, Inc. (its succe (1853/546)</t>
  </si>
  <si>
    <t>Memorandum of Oil and Gas Lease — B. H. C. H. Mineral, Ltd., to Jess Harris, III, Inc. (1827/548)</t>
  </si>
  <si>
    <t>Assignment — Kodiak Production Company to Newfield Exploration Mid-Conti (1822/13)</t>
  </si>
  <si>
    <t>Oil and Gas Lease — Anna Tamise Gibson to Devon Energy Production Compan (1821/92)</t>
  </si>
  <si>
    <t>Correction Mineral Deed — Arrowhead Resources, Inc. to MAP2004-OK (1822/291)</t>
  </si>
  <si>
    <t>Oil and Gas Lease — James M. Robertson and Rose El to Devon Energy Production Compan (1821/465)</t>
  </si>
  <si>
    <t>Oil and Gas Lease — Ella Pearl Kirk to Jess Harris, III, Inc. (1833/218)</t>
  </si>
  <si>
    <t>Assignment of Oil and Gas Lease — Jess Harris, III, Inc. to Newfield Exploration Mid-Conti (1828/302)</t>
  </si>
  <si>
    <t>Assignment of Oil and Gas Lease — Fleshman Agency, Inc. to Newfield Exploration Mid-Conti (1831/229)</t>
  </si>
  <si>
    <t>Legal maps to 1, 2, 3, 4, 10; helper says 1, 2, 3, 4, 8</t>
  </si>
  <si>
    <t>Assignment of Oil and Gas Lease — Todco Properties, Inc. to Samson Resources Company (1825/37)</t>
  </si>
  <si>
    <t>Assignment of Oil and Gas Leases — Axis Exploration, LLC to EOG Resources, Inc. (1830/242)</t>
  </si>
  <si>
    <t>Assignment — Jess Harris, III, Inc. to Newfield Exploration Mid-Conti (1945/595)</t>
  </si>
  <si>
    <t>Oil and Gas Lease — The Termo Company to Devon Energy Production Compan (1829/26)</t>
  </si>
  <si>
    <t>Assignment of Oil and Gas Lease — Jess Harris, III, Inc. to Newfield Exploration Mid-Conti (1839/9)</t>
  </si>
  <si>
    <t>Correction Assignment of Oil and — EOG Resources, Inc. to Trilogy Oil and Gas, LLC (1878/109)</t>
  </si>
  <si>
    <t>Partial Assignment of Oil and Ga — EOG Resources, Inc. to Trilogy Oil &amp; Gas, LLC (1831/481)</t>
  </si>
  <si>
    <t>Mineral Deed — G. &amp; T. Partnership to Datt Investment Company, (1838/136)</t>
  </si>
  <si>
    <t>Correction — Rogene E. Williams to Rogene E. Williams, Trustee of (1852/8)</t>
  </si>
  <si>
    <t>Chain — ORRI (burden on WI)</t>
  </si>
  <si>
    <t>Assignment of ORRI — Samson Resources Co. to Gary Reid (1869/164)</t>
  </si>
  <si>
    <t>Partial Assignment of Oil and Ga — Trilogy Oil &amp; Gas, LLC to ST. GEORGE COAL CO., 5 NMA, (1839/66)</t>
  </si>
  <si>
    <t>Memorandum of Trust — Ruth Olson to The Public (1845/333)</t>
  </si>
  <si>
    <t>Partial Assignment of Oil and Ga — John Butera to Double L LLC, 0.66 NMA, (1842/453)</t>
  </si>
  <si>
    <t>Assignment of Oil and Gas Leases — St George Coal Co. to George B. Duke (1844/584)</t>
  </si>
  <si>
    <t>Assignment of Oil and Gas Leases — George Jourdan to JH Famiy, LLC (1567/6)</t>
  </si>
  <si>
    <t>Assignment of Oil and Gas Leases — George Jourdan to JH Famiy, LLC (1845/128)</t>
  </si>
  <si>
    <t>Partial Assignment of Oil and Ga — John Butera to Double L LLC, 0.5 NMA, (1858/52)</t>
  </si>
  <si>
    <t>Assignment — B. Kole Killion to Rhett L. Frazier (1864/96)</t>
  </si>
  <si>
    <t>Do Not Chain — easement/option</t>
  </si>
  <si>
    <t>Legal maps to 1, 3, 10; helper says 1, 3, 8</t>
  </si>
  <si>
    <t>Memorandum of Option for Easemen — Floyd W. Atha, to Boulevard Associates, LLC (1883/582)</t>
  </si>
  <si>
    <t>Mineral Deed — Lola F. Ricards to Arrowhead Resources, Inc. (1869/351)</t>
  </si>
  <si>
    <t>Yes: 1, 3, 5, 8 (legal supports)</t>
  </si>
  <si>
    <t>Quit Claim Deed — Floyd W. Atha and Nancy D. Ath to Floyd Atha and Nancy Atha, Co- (1872/277)</t>
  </si>
  <si>
    <t>Correction Assignment of Oil and — Axis Exploration, LLC to EOG Resources, Inc. (1878/327)</t>
  </si>
  <si>
    <t>Do Not Chain — POA, no interest conveyed</t>
  </si>
  <si>
    <t>Power of Attorney — Kaiser Francis Oil Company to The Public (1884/508)</t>
  </si>
  <si>
    <t>Legal maps to 3, 4, 10; helper says 1, 2, 3, 4, 8</t>
  </si>
  <si>
    <t>Assignment, Bill of Sale and Con — Ocean Energy, Inc. to Ocean Energy Resources, Inc.,  (1567/6)</t>
  </si>
  <si>
    <t>Final Decree — Roger Mills County Court to Joseph A. Bain 1/3; (1892/567)</t>
  </si>
  <si>
    <t>Quit Claim Mineral Deed — Wayne A. Walters and Shawn S.  to Wayne A. Walters and Shawn S.  (1919/359)</t>
  </si>
  <si>
    <t>Mineral Deed — Jan A. Schroff, Independent Ex to Rogene E. Williams Revocable L (1941/550)</t>
  </si>
  <si>
    <t>Memorandum of Trust — Wayne A. Walters and Shawn S.  to The Public (1940/420)</t>
  </si>
  <si>
    <t>Assignment — Encore Operating, L.P. to Encore Energy Partners Operati (1945/410)</t>
  </si>
  <si>
    <t>Affidavit of Heirship — Willa Hambrook to The Public (1948/262)</t>
  </si>
  <si>
    <t>Mineral Deed — Jesse W. Fuchs and Jinkee Acue to Jessica Corry Fuchs (1949/217)</t>
  </si>
  <si>
    <t>Power of Attorney — Kaiser-francis Oil Company to Craig Dolinsky (1972/574)</t>
  </si>
  <si>
    <t>Quit Claim Mineral Deed — Dwight J. Williams and Elizabe to Dwight J. Williams Revocable T (2002/576)</t>
  </si>
  <si>
    <t>Chain — title support (stipulation)</t>
  </si>
  <si>
    <t>Stipulation — Arrowhead Resources, Inc. to Bhch Mineral, Ltd., (1984/236)</t>
  </si>
  <si>
    <t>Letter — Clarence C. Dcd Bain, to The Public (2019/500)</t>
  </si>
  <si>
    <t>Correction Quit Claim Mineral De — Dwight James Williams, as Succ to Rogene E. Williams Revocable L (2027/85)</t>
  </si>
  <si>
    <t>Mineral Deed — Wilda Jensen, a/k/a Wilda E. J to Hans W. Jensen, 50% (2022/493)</t>
  </si>
  <si>
    <t>Assignment — Rialto Oil &amp; Gas Corporation to Sydtran, LP (2024/85)</t>
  </si>
  <si>
    <t>Assignment — Rialto Production Company to Sydtran Management, LLC (2024/74)</t>
  </si>
  <si>
    <t>Mineral Deed — Leona I. Degrande to Mare Oil Company (2031/5)</t>
  </si>
  <si>
    <t>Notice — Boulevard Associates, LLC to Danielle Delane Tucker, (2048/268)</t>
  </si>
  <si>
    <t>Needs source review: tract, interest amount, instrument type</t>
  </si>
  <si>
    <t>Mineral Deed — Terry Bish and Fausta J. Bish  to Terry V. Bish and Fausta J. Bi (2041/379)</t>
  </si>
  <si>
    <t>Mineral Deed — Petrohawk Energy Corporation to Petrohawk Properties, L.P. (2041/406)</t>
  </si>
  <si>
    <t>Quitclaim Deed, Assignment, Tran — Hefner Company, Inc. to Cheyenne Resources, LLC (2057/347)</t>
  </si>
  <si>
    <t>MINERAL DEED OF TRUSTEE [Deed of — Glenda Ann Palmer, as Trustee  to Glenda Ann Palmer and Richard  (2063/494)</t>
  </si>
  <si>
    <t>MINERAL DEED OF TRUSTEE [Deed of — Richard Palmer and Glenda Palm to Glenda Ann Palmer and Richard  (2063/491)</t>
  </si>
  <si>
    <t>MINERAL DEED OF TRUSTEE [Deed of — Shonna Mitchel, same person as to Shonna Arlene Mitchel, same pe (2063/497)</t>
  </si>
  <si>
    <t>Mineral Deed — Byron A. Hetherington, d/b/a 4 to Byron A. Hetherington, Trustee (2074/536)</t>
  </si>
  <si>
    <t>Mineral Deed — Michelle Sorenson Johnson, Sol to Mark Ashley Daigle Trust, 33.3 (2092/134)</t>
  </si>
  <si>
    <t>Quitclaim Deed, Assignment, Tran — Cheyenne Resources, LLC to Hefner Company, Inc. (2093/461)</t>
  </si>
  <si>
    <t>Affidavit by Successor Co-Truste — Michael Bain, to Michael L. Bain, as Trustee of (2104/234)</t>
  </si>
  <si>
    <t>Deed — Michael L. Bain and William C. to Michael L. Bain, as Trustee of (2104/239)</t>
  </si>
  <si>
    <t>Mineral Deed — Michael L. Bain and William C. to Michael L. Bain, as Trustee of (2104/242)</t>
  </si>
  <si>
    <t>Mineral Deed — Fleshman Agency to Mekusukey Oil Company, LLC (2104/537)</t>
  </si>
  <si>
    <t>Yes: 2, 3 (legal supports)</t>
  </si>
  <si>
    <t>Mineral and Royalty Deed — Myron V. Slobin to Brian Herman Kortright (2106/387)</t>
  </si>
  <si>
    <t>Mineral and Royalty Deed — Myron V. Slobin to Brian Herman Kortright (2219/516)</t>
  </si>
  <si>
    <t>Mineral Deed — Michelle Sorenson Johnson to Mark Ashley Daigle Trust, 33.3 (2108/102)</t>
  </si>
  <si>
    <t>Affidavit of Identity — Keri L. Tucker to The Public (2116/16)</t>
  </si>
  <si>
    <t>Order Appointing Co-Trustees — Beckham County Court, to Kimberly D. Standiford, (2148/385)</t>
  </si>
  <si>
    <t>Chain — lease release (check OGL affected)</t>
  </si>
  <si>
    <t>Partial Release — Wells Fargo Bank to Chesapeake Exploration, LLC (2121/77)</t>
  </si>
  <si>
    <t>Order Determining Heirs, Legatee — Beckham County Court, to Rosa C. Standiford and Kimberl (2124/117)</t>
  </si>
  <si>
    <t>Amendment — Chesapeake Exploration, LLC to CHK Cleveland Tonkawa, LLC (2154/229)</t>
  </si>
  <si>
    <t>Assignment — Chesapeake Exploration, LLC to CHK Cleveland Tonkawa, LLC (2129/1)</t>
  </si>
  <si>
    <t>Candidate 0.01875 (helper — confirm from image)</t>
  </si>
  <si>
    <t>Mineral Deed — Jospeh A. Bain and Doris Bain, to Lighthouse Point, LLC (2131/599)</t>
  </si>
  <si>
    <t>Mineral Deed — OK Oil Ventures an unincorpora to Gregory J. Winneke 33.33 %, (2141/3)</t>
  </si>
  <si>
    <t>Assignment of ORRI — Yale Oil Assoc, Inc. to Chelin H. Satherlie, (2159/361)</t>
  </si>
  <si>
    <t>Power of Attorney — Kaiser-francis Oil Co. to Craig Aif Dolinsky (2147/239)</t>
  </si>
  <si>
    <t>Assignment of ORRI — Yale Oil Association, Inc. to K. C. Production (2166/194)</t>
  </si>
  <si>
    <t>Memorandum — Chesapeake Midstream Developme to Compass Bank (2179/1)</t>
  </si>
  <si>
    <t>Order Allowing Final Account and — Kiowa County Court, to Gene G. Williams (2177/33)</t>
  </si>
  <si>
    <t>Candidate 0.0078125 (helper — confirm from image)</t>
  </si>
  <si>
    <t>Correction Mineral Deed — Chisholm Royalty Partners to Fleshman Agency, Inc. (2182/95)</t>
  </si>
  <si>
    <t>Quit Claim Mineral Deed — Fleshman Agency, Inc. to Mekusukey Oil Company, LLC (2184/570)</t>
  </si>
  <si>
    <t>Memorandum — Devon Energy Production Co. to Plains Marketing, L.P. (2193/517)</t>
  </si>
  <si>
    <t>Yes — on Tract 8 owner list</t>
  </si>
  <si>
    <t>Candidate 0.0046875 (helper — confirm from image)</t>
  </si>
  <si>
    <t>Mineral Deed — Fleshman Agency, Inc. to Mekusukey Oil Company, LLC (2203/395)</t>
  </si>
  <si>
    <t>Assignment of ORRI — Gary Reid to Gary C. Reid, Trustee, (2202/378)</t>
  </si>
  <si>
    <t>Legal maps to 2; helper says 2, 5, 6, 7</t>
  </si>
  <si>
    <t>Candidate 0.005 (helper — confirm from image)</t>
  </si>
  <si>
    <t>Mineral Deed — Joseph A. Bain and Doris M. Ba to Anna T. Gibson (2224/382)</t>
  </si>
  <si>
    <t>Quit Claim Mineral Deed — Martha Ann Devenas to Joseph A. Devenas, Jr. (2220/118)</t>
  </si>
  <si>
    <t>Mineral Deed &amp; Royalty Deed — David Silverberg, a/k/a David  to Cambria Energy, LLC (2223/305)</t>
  </si>
  <si>
    <t>Purchase and Sale Agreement — Joseph A. Bain to Anna T. Bain Gibson (2224/378)</t>
  </si>
  <si>
    <t>Needs source review: tract, grantor source, interest amount, instrument type</t>
  </si>
  <si>
    <t>Assignment — EOG Resources, Inc. to Linn Energy Holdings, LLC (2220/400)</t>
  </si>
  <si>
    <t>Mineral Deed — Mary Ellen Silverberg, a/k/a M to Cambria Energy, LLC (2223/307)</t>
  </si>
  <si>
    <t>Proof of Death — Sheila Kay Salvo to The Public (2224/529)</t>
  </si>
  <si>
    <t>Proof of Death — Sheila Kay Salvo to The Public (2224/535)</t>
  </si>
  <si>
    <t>Ownership Affidavit — Duke R. Ligon, Manager of Meku to The Public (2247/183)</t>
  </si>
  <si>
    <t>Mineral Deed — Jessica Corry Fuchs to Jesse William Fuchs (2251/22)</t>
  </si>
  <si>
    <t>Candidate 0.423076923076923 (helper — confirm from image)</t>
  </si>
  <si>
    <t>Mineral Deed — Luther Ervin Thurman and Veron to Luther Ervin Thurman and Veron (2251/529)</t>
  </si>
  <si>
    <t>Divorce Decree — Roger Mills County Court to William Edgar Bryant (2261/255)</t>
  </si>
  <si>
    <t>Assignment — Chesapeake Exploration to Fourpoint Energy, LLC (2307/1)</t>
  </si>
  <si>
    <t>Assignment — Newfield Exploartion Company, to Templar Energy, LLC (2270/316)</t>
  </si>
  <si>
    <t>Decree of Settlement of Final Ac — Roger Mills County Court to Michelle Ibeling, 1/4, (2259/397)</t>
  </si>
  <si>
    <t>Mineral Deed — Eddie Tom Lakey and Marinita L to The Eddie Tom Lakey and Marini (2270/252)</t>
  </si>
  <si>
    <t>Mineral Deed — Joe Britton, same person as Jo to Linda C. Browning (2273/223)</t>
  </si>
  <si>
    <t>Affidavit of Identity — Jon Wilkerson to The Public (2273/539)</t>
  </si>
  <si>
    <t>Assignment — Chk Cleveland Tonkawa to Fourpoint Energy, LLC (2308/23)</t>
  </si>
  <si>
    <t>Assignment — Linn Energy Holdings, LLC, a D to EnerVest Energy Institutional  (2282/234)</t>
  </si>
  <si>
    <t>Mineral Deed — William A. Smith and Isa May S to The William A. Smith and Isa M (2290/178)</t>
  </si>
  <si>
    <t>Stipulation — Peggy J. Brawner to ADWINA M. MULLEN or WALTER CRA (2294/47)</t>
  </si>
  <si>
    <t>Assignment — Robert H. Frazier to Robert H. Frazier Royalty LLC (2295/372)</t>
  </si>
  <si>
    <t>Memorandum — Enervest Energy Institutional  to Enervest Energy Institutional  (2302/507)</t>
  </si>
  <si>
    <t>Memorandum — Enervest Energy Institutional  to Enervest Energy Institutional  (2302/512)</t>
  </si>
  <si>
    <t>Correction Memorandum of Conveya — EnerVest Energy Institutional  to EnerVest Energy Institutional  (2311/337)</t>
  </si>
  <si>
    <t>Correction Memorandum of Conveya — EnerVest Energy Institutional  to EnerVest Energy Institutional  (2311/333)</t>
  </si>
  <si>
    <t>Legal maps to 2, 9; helper says 2, 6</t>
  </si>
  <si>
    <t>Mineral Deed — Jinkee D. Acuero Fuchs, to Jesse William Fuchs and Jinkee (2309/236)</t>
  </si>
  <si>
    <t>Memorandum of Trust — Jesse William Fuchs, to Jesse William Trust Fuchs, (2332/223)</t>
  </si>
  <si>
    <t>Mineral Deed — Lighthouse Point, LLC to Greystone Energy &amp; Minerals, L (2315/42)</t>
  </si>
  <si>
    <t>Assignment — Devon Energy Production Co. to Tecolote Holdings, LLC (2343/1)</t>
  </si>
  <si>
    <t>Quit Claim Mineral Deed — Devon Energy Production Compan to Tecolote Holdings, LLC, a Dela (2342/219)</t>
  </si>
  <si>
    <t>Assignment — Hefner Company, Inc. to Cheyenne Resources, LLC (2354/229)</t>
  </si>
  <si>
    <t>Assignment — Geodyne Resources, Inc., to Fairway Resources III, LLC (2356/399)</t>
  </si>
  <si>
    <t>Yes: 9 (broad legal)</t>
  </si>
  <si>
    <t>Candidate 0.0431372549019608 (helper — confirm from image)</t>
  </si>
  <si>
    <t>Mineral Deed — Ella Pearl Kirk to Calvin Wayne Kirk (2365/338)</t>
  </si>
  <si>
    <t>Change of Address — King Exploration to The Public (2370/359)</t>
  </si>
  <si>
    <t>Mineral Deed — Jon N. Wilkerson to Tamara K. Wilkerson (2376/100)</t>
  </si>
  <si>
    <t>Assignment — Cheyenne Resources to Templar Energy, LLC (2385/72)</t>
  </si>
  <si>
    <t>Affidavit Regarding Merger of Di — Fortune Natural Resources Corp to The Public (2394/591)</t>
  </si>
  <si>
    <t>Oil, Gas and Mineral Deed — Bhp Billiton Petroleum Propert to Bhp Billiton Petroleum (North  (2407/124)</t>
  </si>
  <si>
    <t>No chain effect — operating/JOA (WI context only)</t>
  </si>
  <si>
    <t>Memorandum of JOA Operator and D — (i) EnerVest Operating, LLC (" to The Public (2399/188)</t>
  </si>
  <si>
    <t>Quit Claim Mineral Deed — Cindy Lou Vignal, Trustee unde to Gary Wayne Vignal and Cindy Lo (2406/228)</t>
  </si>
  <si>
    <t>Mineral Deed — Jonathan E. Jensen to Gregory J. Winneke (2425/225)</t>
  </si>
  <si>
    <t>Order Allowing Final Account, De — Roger Mills County Court to Janis F. Campbell (2700/395)</t>
  </si>
  <si>
    <t>Assignment — Bhp Billiton Petroleum to Cohete Rojo, LLC (2425/380)</t>
  </si>
  <si>
    <t>Mineral Deed, Assignment, Convey — Colt Development, LLC, to Dustin Deal, LLC (2426/154)</t>
  </si>
  <si>
    <t>Assignment — TE Holdcorp, LLC, a Delaware l to Presidio Wab, LLC (2449/333)</t>
  </si>
  <si>
    <t>Second Correction to Assignment, — Blackbeard Operating, LLC, to Mustang Fuel Corporation (2473/1)</t>
  </si>
  <si>
    <t>Affidavit — Brett Barnes, Manager, General to The Public (2447/81)</t>
  </si>
  <si>
    <t>Quit Claim Mineral Deed — Janis Fern Campbell to The Audy and Janis Campbell Fa (2450/598)</t>
  </si>
  <si>
    <t>Yes: 1, 2, 4 (legal supports)</t>
  </si>
  <si>
    <t>Assignment — Tecolote Holdings, LLC, a Dela to Mustang Fuel Corporation (2452/235)</t>
  </si>
  <si>
    <t>Quit Claim Mineral Deed — Jack B. Searle and Tamara D. S to Gt Mineral Holdings, LLC (2453/219)</t>
  </si>
  <si>
    <t>Mineral Deed and Assignment — Payday Holdings, LLC to Andrew Pennington (2453/452)</t>
  </si>
  <si>
    <t>Assignment — Tabally Hani to J. Dominguez Santos (2455/446)</t>
  </si>
  <si>
    <t>Change of Name — Fourpoint Energy, LLC to Unbridled Resources, LLC (2463/147)</t>
  </si>
  <si>
    <t>Legal maps to 2, 4, 10; helper says 2, 4, 8</t>
  </si>
  <si>
    <t>Assignment — Fairway Resources III, LLC, a  to Mustang Fuel Corporation (2479/1)</t>
  </si>
  <si>
    <t>Mineral Deed — Grizzly Operating, LLC, to Psi Lke, LLC (2467/476)</t>
  </si>
  <si>
    <t>Affidavit of Merger — Presidio Investment Holdings to The Public (2476/1)</t>
  </si>
  <si>
    <t>Operating Agreement — Presidio Petroleum, LLC to Presidio WAB LLC, (2478/1)</t>
  </si>
  <si>
    <t>Assignment — Tlw Investments, LLC to Cannon Field Minerals Fund, L. (2480/297)</t>
  </si>
  <si>
    <t>Mineral Deed — Greystone Energy &amp; Minerals, L to Cardinal Land Company, LLC, an (2481/287)</t>
  </si>
  <si>
    <t>Assignment — Tlw Investments to Chanas Partners, LLC (2488/81)</t>
  </si>
  <si>
    <t>Mineral Deed — Psi Lke, LLC to Cummins Minerals, Limited 70% (2486/262)</t>
  </si>
  <si>
    <t>Affidavit of Merger — Phx Minerals (de), Inc., to The Public (2495/430)</t>
  </si>
  <si>
    <t>Mineral Deed — Gregory J. Winneke to Eric Jansen (2529/217)</t>
  </si>
  <si>
    <t>Assignment — Chanas Partners, LLC to NWR Mineral Partners, LLC (2584/149)</t>
  </si>
  <si>
    <t>Partial Assignment — Chanas Partners, LLC to NWR Mineral Partners, LLC (2584/149)</t>
  </si>
  <si>
    <t>Wellbore Assignment — Unbridled Resources, LLC to Mnr Abs Issuer I., LLC (2542/413)</t>
  </si>
  <si>
    <t>Change of Address — Paul R. Deutsch, to The Public (2561/142)</t>
  </si>
  <si>
    <t>Assignment — Gregg M. Satherlie and Chelin  to Trison Holdings, LLC (2604/111)</t>
  </si>
  <si>
    <t>Candidate 0.34 (helper — confirm from image)</t>
  </si>
  <si>
    <t>Conveyance — Onigbe Consulting, LLC to (i) Comanche Oil &amp; Gas, Inc.,  (2599/463)</t>
  </si>
  <si>
    <t>Affidavit of Merger — Cameron Brown, Chief Executive to The Public (2599/505)</t>
  </si>
  <si>
    <t>Mineral Deed — Carrie Leeann Mitchell to James Gerard Buonaccorsi, (2600/472)</t>
  </si>
  <si>
    <t>Correction to Assignment and Bil — Fairway Resources III, LLC, to Mustang Fuel Corporation (2608/397)</t>
  </si>
  <si>
    <t>Joint Tenancy Quit Claim Mineral — Eleanore Wheeler aka Eleanor W to Eleanore Wheeler and Shirley W (2617/228)</t>
  </si>
  <si>
    <t>Warranty Deed — Jesse Joe Newell, also known a to Joe Newell and Rachael Elizabe (2638/58)</t>
  </si>
  <si>
    <t>Mineral Deed — EDR, LLC to Okki Industries, LLC (2625/231)</t>
  </si>
  <si>
    <t>Mineral Deed — EDR, LLC to Del Monte Royalty Partners, LL (2625/233)</t>
  </si>
  <si>
    <t>Affidavit of Merger — Diversified Energy Company to The Public (2628/429)</t>
  </si>
  <si>
    <t>Mineral Deed — Gt Mineral Holdings, LLC to Berlain Limited Company (2649/286)</t>
  </si>
  <si>
    <t>Mineral Deed — Berlain Limited Company to Longreach Energy 2, LLC, 29.87 (2649/298)</t>
  </si>
  <si>
    <t>Memorandum of Divisive Merger an — Windsor OK LLC, a Texas limite to Windsor OK LLC, a Texas limite (2660/341)</t>
  </si>
  <si>
    <t>Wellbore Assignment — Presidio Finance, LLC to Martins Empire, LLC (2664/169)</t>
  </si>
  <si>
    <t>Mineral Deed — Clint Roy Kirk to J and A Minerals, LLC (2682/183)</t>
  </si>
  <si>
    <t>Wellbore Assignment — Martin's Empire, LLC to Stride Bank, of the Unbrella T (2698/69)</t>
  </si>
  <si>
    <t>Correction and Supplement to Mem — Midcon Buyerco, LLC, to The Public (2679/1)</t>
  </si>
  <si>
    <t>Oil and Gas Lease — Gena W. Moore, a/k/a Gena Mitc to Silver Oak Natural Resources,  (2702/505)</t>
  </si>
  <si>
    <t>Oil and Gas Lease — Keri Lee Daigle Tucker Trust to Silver Oak Natural Resources,  (2697/520)</t>
  </si>
  <si>
    <t>Oil and Gas Lease — Mark Ashley Daigle Trust to Silver Oak Natural Resources,  (2693/349)</t>
  </si>
  <si>
    <t>Legal maps to 1, 3, 4, 5, 7, 10; helper says 1, 3, 4, 5, 6, 7, 8</t>
  </si>
  <si>
    <t>Oil and Gas Lease — Mitchell Buonaccorsi Living Tr to Silver Oak Natural Resources,  (2693/337)</t>
  </si>
  <si>
    <t>Oil and Gas Lease — Kevin Warner Johnson Trust to Silver Oak Natural Resources,  (2693/345)</t>
  </si>
  <si>
    <t>Candidate 0.00520833333333333 (helper — confirm from image)</t>
  </si>
  <si>
    <t>Mineral Deed — J and A Minerals, LLC to Pine Tree Energy Partners, LLC (2688/409)</t>
  </si>
  <si>
    <t>Affidavit of Heirship — Carrie Leeann Mitchell to The Public (2697/517)</t>
  </si>
  <si>
    <t>Oil and Gas Lease — Ronald Paul Dold to Silver Oak Natural Resources,  (2697/524)</t>
  </si>
  <si>
    <t>Affidavit Concerning Recording - — Vice President Long Matthew, to The Public (2692/431)</t>
  </si>
  <si>
    <t>Affidavit Concerning Recording – — Vice President Long Matthew, to The Public (2692/412)</t>
  </si>
  <si>
    <t>Legal maps to 1, 3, 4, 5, 7, 9, 10; helper says 1, 3, 4, 7, 8</t>
  </si>
  <si>
    <t>Affidavit of Identity — The Keri Lee Daigle Trust, the to The Public (2697/519)</t>
  </si>
  <si>
    <t>Change of Address — Royfin Natural Gas, LLC, to The Public (2700/268)</t>
  </si>
  <si>
    <t>Affidavit of Death &amp; Heirship — Carrie Leeann Mitchell to The Public (2702/500)</t>
  </si>
  <si>
    <t>Affidavit of Death &amp; Heirship — Carrie Leeann Mitchell to The Public (2702/503)</t>
  </si>
  <si>
    <t>Affidavit of Identity — Gena W. Moore, to The Public (2702/504)</t>
  </si>
  <si>
    <t>Order Allowing Final Account, De — Roger Mills County Court to Darren P. McSweeney (2704/142)</t>
  </si>
  <si>
    <t>Miscellaneous — Carrie Lou Mitchell, to Gulf Oil Corp (MIS25/335)</t>
  </si>
  <si>
    <t>Miscellaneous — E. S. Repass to William C. Bain (MIS10/485)</t>
  </si>
  <si>
    <t>Miscellaneous — G. D. Wooley to The Public (MIS15/55)</t>
  </si>
  <si>
    <t>Miscellaneous — Roy M. Johnson to The Public (MIS15/59)</t>
  </si>
  <si>
    <t>Miscellaneous — Southwestern Bell Telephone Co to The Public (MIS29/334)</t>
  </si>
  <si>
    <t>SD —  to  (D21/463)</t>
  </si>
  <si>
    <t>SD —  to  (D21/507)</t>
  </si>
  <si>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</si>
  <si>
    <t>Leasehold / WI
Chain note: source of title — OUTSIDE LANDS 1942-000630 at MIS21/471, Beckham County Court,
RE: In the Matter of the Estate of Swinburn J. Stewart, Deceased to Gladys Priest, 1/4,
Swinburn J. … Full recital in recorded instrument — see Link.</t>
  </si>
  <si>
    <t>ARTI, On the 15th day of February, 1985, in an action then pending in said Court, wherein City National Bank of Sayre, Oklahoma, A National Banking Association, was Plaintiff, and Herman M. Sides and Laury C. … Full recital in recorded instrument — see Link.</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</si>
  <si>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</si>
  <si>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</si>
  <si>
    <t>ARTI, An undivided 1/26th interest
Chain note: source of title — OUTSIDE LANDS 1942-000630 at MIS21/471, Beckham County Court,
RE: In the Matter of the Estate of Swinburn J. Stewart, Deceased to Gladys Priest, 1/4,
Swinburn J. … Full recital in recorded instrument — see Link.</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</si>
  <si>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</si>
  <si>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</si>
  <si>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</si>
  <si>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</si>
  <si>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</si>
  <si>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</si>
  <si>
    <t>160 gross acres
3 yrs
3/16ths royalty
Chain note: source of title — OUTSIDE LANDS 2002-004378 at 1694/156, William Cobal Bain and Billy Wayne Bain, Co-Trustees of the Testamentary Trust created under the Will of W. M. … Full recital in recorded instrument — see Link.</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</si>
  <si>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</si>
  <si>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</si>
  <si>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</si>
  <si>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</si>
  <si>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</si>
  <si>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</si>
  <si>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</si>
  <si>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</si>
  <si>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</si>
  <si>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</si>
  <si>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</si>
  <si>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</si>
  <si>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</si>
  <si>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</si>
  <si>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</si>
  <si>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</si>
  <si>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</si>
  <si>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</si>
  <si>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</si>
  <si>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</si>
  <si>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</si>
  <si>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</si>
  <si>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</si>
  <si>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</si>
  <si>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</si>
  <si>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</si>
  <si>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</si>
  <si>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</si>
  <si>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</si>
  <si>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</si>
  <si>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</si>
  <si>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</si>
  <si>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</si>
  <si>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</si>
  <si>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</si>
  <si>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</si>
  <si>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</si>
  <si>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</si>
  <si>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</si>
  <si>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</si>
  <si>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</si>
  <si>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</si>
  <si>
    <t>Probable — name-normalized match to Runsheet 5 grantee; confirm</t>
  </si>
  <si>
    <t>Probable — name-normalized match to Runsheet 8 grantee; confirm</t>
  </si>
  <si>
    <t>Probable — name-normalized match to Runsheet 6 grantee; confirm</t>
  </si>
  <si>
    <t>Probable — name-normalized match to Runsheet 14 grantee; confirm</t>
  </si>
  <si>
    <t>Probable — name-normalized match to Runsheet 10 grantee; confirm</t>
  </si>
  <si>
    <t>Probable — name-normalized match to Runsheet 16 grantee; confirm</t>
  </si>
  <si>
    <t>Probable — name-normalized match to Runsheet 33 grantee; confirm</t>
  </si>
  <si>
    <t>Probable — name-normalized match to Runsheet 47 grantee; confirm</t>
  </si>
  <si>
    <t>Probable — name-normalized match to Runsheet 19 grantee; confirm</t>
  </si>
  <si>
    <t>Probable — name-normalized match to Runsheet 70 grantee; confirm</t>
  </si>
  <si>
    <t>Probable — name-normalized match to Runsheet 46 grantee; confirm</t>
  </si>
  <si>
    <t>Probable — name-normalized match to Runsheet 63 grantee; confirm</t>
  </si>
  <si>
    <t>Probable — name-normalized match to Runsheet 71 grantee; confirm</t>
  </si>
  <si>
    <t>Probable — name-normalized match to Runsheet 97 grantee; confirm</t>
  </si>
  <si>
    <t>Probable — name-normalized match to Runsheet 150 grantee; confirm</t>
  </si>
  <si>
    <t>Probable — name-normalized match to Runsheet 154 grantee; confirm</t>
  </si>
  <si>
    <t>Probable — name-normalized match to Runsheet 155 grantee; confirm</t>
  </si>
  <si>
    <t>Probable — name-normalized match to Runsheet 164 grantee; confirm</t>
  </si>
  <si>
    <t>Probable — name-normalized match to Runsheet 180 grantee; confirm</t>
  </si>
  <si>
    <t>Probable — name-normalized match to Runsheet 56 grantee; confirm</t>
  </si>
  <si>
    <t>Probable — name-normalized match to Runsheet 193 grantee; confirm</t>
  </si>
  <si>
    <t>Probable — name-normalized match to Runsheet 217 grantee; confirm</t>
  </si>
  <si>
    <t>Probable — name-normalized match to Runsheet 226 grantee; confirm</t>
  </si>
  <si>
    <t>Probable — name-normalized match to Runsheet 245 grantee; confirm</t>
  </si>
  <si>
    <t>Probable — name-normalized match to Runsheet 246 grantee; confirm</t>
  </si>
  <si>
    <t>Probable — name-normalized match to Runsheet 190 grantee; confirm</t>
  </si>
  <si>
    <t>Probable — name-normalized match to Runsheet 202 grantee; confirm</t>
  </si>
  <si>
    <t>Probable — name-normalized match to Runsheet 247 grantee; confirm</t>
  </si>
  <si>
    <t>Probable — name-normalized match to Runsheet 206 grantee; confirm</t>
  </si>
  <si>
    <t>Probable — name-normalized match to Runsheet 162 grantee; confirm</t>
  </si>
  <si>
    <t>Probable — name-normalized match to Runsheet 54 grantee; confirm</t>
  </si>
  <si>
    <t>Probable — name-normalized match to Runsheet 197 grantee; confirm</t>
  </si>
  <si>
    <t>Probable — name-normalized match to Runsheet 257 grantee; confirm</t>
  </si>
  <si>
    <t>Probable — name-normalized match to Runsheet 105 grantee; confirm</t>
  </si>
  <si>
    <t>Probable — name-normalized match to Runsheet 74 grantee; confirm</t>
  </si>
  <si>
    <t>Probable — name-normalized match to Runsheet 241 grantee; confirm</t>
  </si>
  <si>
    <t>Probable — name-normalized match to Runsheet 223 grantee; confirm</t>
  </si>
  <si>
    <t>Probable — name-normalized match to Runsheet 222 grantee; confirm</t>
  </si>
  <si>
    <t>Probable — name-normalized match to Runsheet 240 grantee; confirm</t>
  </si>
  <si>
    <t>Probable — name-normalized match to Runsheet 115 grantee; confirm</t>
  </si>
  <si>
    <t>Probable — name-normalized match to Runsheet 101 grantee; confirm</t>
  </si>
  <si>
    <t>Probable — name-normalized match to Runsheet 260 grantee; confirm</t>
  </si>
  <si>
    <t>Probable — name-normalized match to Runsheet 258 grantee; confirm</t>
  </si>
  <si>
    <t>Probable — name-normalized match to Runsheet 225 grantee; confirm</t>
  </si>
  <si>
    <t>Probable — name-normalized match to Runsheet 118 grantee; confirm</t>
  </si>
  <si>
    <t>Probable — name-normalized match to Runsheet 208 grantee; confirm</t>
  </si>
  <si>
    <t>Probable — name-normalized match to Runsheet 255 grantee; confirm</t>
  </si>
  <si>
    <t>Probable — name-normalized match to Runsheet 325 grantee; confirm</t>
  </si>
  <si>
    <t>Probable — name-normalized match to Runsheet 406 grantee; confirm</t>
  </si>
  <si>
    <t>Probable — name-normalized match to Runsheet 407 grantee; confirm</t>
  </si>
  <si>
    <t>Probable — name-normalized match to Runsheet 200 grantee; confirm</t>
  </si>
  <si>
    <t>Probable — name-normalized match to Runsheet 388 grantee; confirm</t>
  </si>
  <si>
    <t>Probable — name-normalized match to Runsheet 425 grantee; confirm</t>
  </si>
  <si>
    <t>Probable — name-normalized match to Runsheet 86 grantee; confirm</t>
  </si>
  <si>
    <t>Probable — name-normalized match to Runsheet 145 grantee; confirm</t>
  </si>
  <si>
    <t>Probable — name-normalized match to Runsheet 405 grantee; confirm</t>
  </si>
  <si>
    <t>Probable — name-normalized match to Runsheet 91 grantee; confirm</t>
  </si>
  <si>
    <t>Probable — name-normalized match to Runsheet 232 grantee; confirm</t>
  </si>
  <si>
    <t>Probable — name-normalized match to Runsheet 106 grantee; confirm</t>
  </si>
  <si>
    <t>Probable — name-normalized match to Runsheet 502 grantee; confirm</t>
  </si>
  <si>
    <t>Probable — name-normalized match to Runsheet 499 grantee; confirm</t>
  </si>
  <si>
    <t>Probable — name-normalized match to Runsheet 114 grantee; confirm</t>
  </si>
  <si>
    <t>Probable — name-normalized match to Runsheet 437 grantee; confirm</t>
  </si>
  <si>
    <t>Probable — name-normalized match to Runsheet 386 grantee; confirm</t>
  </si>
  <si>
    <t>HBP,
2/11/31</t>
  </si>
  <si>
    <t>HBP,
2/23/29</t>
  </si>
  <si>
    <t>HBP,
3/31/29</t>
  </si>
  <si>
    <t>Insofar as the deep-rights leasehold on the 637.42-acre all-section basis — exact WI/NRI not determined of record; assignment exhibits/OCC review required</t>
  </si>
  <si>
    <t>Successor in interest to Nancy Susan Mitchell, deceased, per Affidavit of Heirship 2026-002509 (Bk 2697/0517). Base OGL 2 (Bk 1736/0600); top lease OGL 65 (Bk 2697/0524), 3/16, exp 03/31/2029, subordinate. Interest subject to probate/heirship curative — see Curative Requirements.</t>
  </si>
  <si>
    <t>HBP,
2/17/31</t>
  </si>
  <si>
    <t>HBP,
2/23/31</t>
  </si>
  <si>
    <t>HBP,
2/27/31</t>
  </si>
  <si>
    <t>Lessor on base OGL 42 (Bk 1816/0376), 1/4 royalty. Lease coverage of this interest is subject to further examination.</t>
  </si>
  <si>
    <t>Multiple possible base leases: OGL 56 (Bk 1821/0092) or OGL 57 (Bk 1736/0496), both 3/16 — operative lease not determined of record.</t>
  </si>
  <si>
    <t>Base OGL 14 (Isa May Smith, Bk 1782/0261), 1/4 royalty, 2-yr primary term with depth clause.</t>
  </si>
  <si>
    <t>Base OGL 4 (Bk 1736/0592). Top lease OGL 66 (Bk 2702/0505), 3/16, exp 02/11/2031, subordinate.</t>
  </si>
  <si>
    <t>Base OGL 1 (Bk 1736/0594). Top lease OGL 64 (Bk 2693/0337), 3/16, exp 02/23/2029, subordinate.</t>
  </si>
  <si>
    <t>Base OGL 24 (Bk 1787/0047). Top lease OGL 67 (Bk 2697/0520), 3/16, exp 02/17/2031, subordinate.</t>
  </si>
  <si>
    <t>Base OGL 2 (Bk 1736/0600). Top lease OGL 65 (Bk 2697/0524), 3/16, exp 03/31/2029, subordinate.</t>
  </si>
  <si>
    <t>Base OGL 24 (Bk 1787/0047). Top lease OGL 68 (Bk 2693/0349), 3/16, exp 02/23/2031, subordinate.</t>
  </si>
  <si>
    <t>Base OGL 24 (Bk 1787/0047). Top lease OGL 69 (Bk 2693/0345), 3/16, exp 02/27/2031, subordinate. Trust capacity retained.</t>
  </si>
  <si>
    <t>Carrie Leeann Mitchell base OGL 1 (Bk 1736/0594); Nancy Susan Mitchell base OGL 2 (Bk 1736/0600); both 3/16.</t>
  </si>
  <si>
    <t>Conveyed E/2 NW/4 interest to Silver Oak Natural Resources (see Tract 4 chain); net retained 0. Base OGL 2 (Bk 1736/0600); top lease OGL 65.</t>
  </si>
  <si>
    <t>Source: Mineral Deed/Assignment 2019-001855, Bk 2426/0154, eff. 10/01/2019.</t>
  </si>
  <si>
    <t>Net acres carried on a cursory basis; vesting instrument not located of record — see Curative Requirements.</t>
  </si>
  <si>
    <t>Net acres carried on a cursory basis; vesting instrument not located of record — see Curative Requirements. See also William Bryant interest in Tract 5.</t>
  </si>
  <si>
    <t>Successor to the Ronald Paul Dold interest in E/2 NW/4; holds subject to base OGL 2 and top lease OGL 65. Net acres carried on a cursory basis — see Curative Requirements.</t>
  </si>
  <si>
    <t>Ella Pearl Kirk, her estate, heirs, devisees, or successors (undetermined of record)
Box 512
Cheyenne, OK 73628</t>
  </si>
  <si>
    <t>Estate/succession not of record; 48.80 NMA carried pending probate or heirship documentation — see Curative Requirements. Lease status undetermined.</t>
  </si>
  <si>
    <t>Acquired from Clint Roy Kirk via J. and A. Minerals, LLC (Bk 2682/0183, eff. 02/09/2026) and Pine Tree Energy Partners, LLC (Bk 2688/0409, eff. 03/11/2026). Net acres carried on a cursory basis; lease status not determined of record.</t>
  </si>
  <si>
    <t>Retained interest per chain. Net acres carried on a cursory basis; lease status not determined of record.</t>
  </si>
  <si>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</si>
  <si>
    <t>Balance of NE/4 SW/4 (owners undetermined of record)</t>
  </si>
  <si>
    <t>Ownership of the remaining 36.85 NMA is undetermined of record — see Curative Requirements.</t>
  </si>
  <si>
    <t>Lease of record OGL 62 (Bk 1833/0218); royalty as shown per lease register.</t>
  </si>
  <si>
    <t>Base OGL 24 (Bk 1787/0047, Sorenson Oil &amp; Gas Trust). Top lease OGL 67 (Bk 2697/0520), 3/16, exp 02/17/2031, subordinate. Trust capacity retained.</t>
  </si>
  <si>
    <t>Base OGL 24 (Bk 1787/0047, Sorenson Oil &amp; Gas Trust). Top lease OGL 68 (Bk 2693/0349), 3/16, exp 02/23/2031, subordinate. Trust capacity retained.</t>
  </si>
  <si>
    <t>Base OGL 24 (Bk 1787/0047, Sorenson Oil &amp; Gas Trust). Top lease OGL 69 (Bk 2693/0345), 3/16, exp 02/27/2031, subordinate. Trust capacity retained.</t>
  </si>
  <si>
    <t>Alexander #1-31 (API 35-129-22925) shown of record under Martin's Resources LLC. Held-by-production status not confirmed from available source materials; subject to OCC well-file, production, pooling, and release confirmation.</t>
  </si>
  <si>
    <t>Mortgage/lien burdens of record not yet matched to releases of record.</t>
  </si>
  <si>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</si>
  <si>
    <t>Not confirmed of record</t>
  </si>
  <si>
    <t>640 (order not of record)</t>
  </si>
  <si>
    <t>Oil</t>
  </si>
  <si>
    <t>None of record</t>
  </si>
  <si>
    <t>7/3/2026</t>
  </si>
  <si>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</si>
  <si>
    <t>Assignment 2007-008043 (Bk 1567/0006), from Ocean Energy, Inc.; assignee of record. Exhibits not examined; WI/NRI not determined of record.</t>
  </si>
  <si>
    <t>Assignment 2016-001883 (Bk 2343/0001), from Devon Energy Production Co.; assignee of record. Exhibits not examined; WI/NRI not determined of record.</t>
  </si>
  <si>
    <t>Assignment 2018-000119 (Bk 2385/0072); assignee of record (Cheyenne/Hefner chain). Exhibits not examined; WI/NRI not determined of record.</t>
  </si>
  <si>
    <t>Assignment 2019-001779 (Bk 2425/0380), from BHP Billiton Petroleum; assignee of record. Exhibits not examined; WI/NRI not determined of record.</t>
  </si>
  <si>
    <t>Partial Assignment 2020-001954 (Bk 2455/0446), from Hani Tabally; assignee of record. Full instrument not examined; WI/NRI not determined of record.</t>
  </si>
  <si>
    <t>Assignment 2021-001605 (Bk 2480/0297), from TLW Investments, LLC; assignee of record. Exhibits not examined; WI/NRI not determined of record.</t>
  </si>
  <si>
    <t>Wellbore Assignment 2023-003590 (Bk 2542/0413), from Unbridled Resources, LLC; assignee of record. Exhibits not examined; WI/NRI not determined of record.</t>
  </si>
  <si>
    <t>Assignment 2024-002310 (Bk 2567/0102), from Yale Oil Association, Inc.; assignee of record. Exhibits not examined; WI/NRI not determined of record.</t>
  </si>
  <si>
    <t>Greg et al CDX (name as indexed — needs source review)</t>
  </si>
  <si>
    <t>Assignment 2024-003107 (Bk 2571/0579), from Yale Oil Association, Inc.; assignee of record. Grantee name as indexed on Runsheet — needs source review. WI/NRI not determined of record.</t>
  </si>
  <si>
    <t>Assignment 2024-004916 (Bk 2584/0149), from Chanas Partners, LLC; assignee of record. Exhibits not examined; WI/NRI not determined of record.</t>
  </si>
  <si>
    <t>Assignment 2024-007734 (Bk 2604/0111), from Satherlie 1989 Rev. Trust; assignee of record. Exhibits not examined; WI/NRI not determined of record.</t>
  </si>
  <si>
    <t>Wellbore Assignment 2026-002547 (Bk 2698/0069), from Presidio Finance, LLC; assignee of record. Exhibits not examined; WI/NRI not determined of record.</t>
  </si>
  <si>
    <t>Per Tract 9 chain (Kiowa Co. probate, Carrie Lou Mitchell estate — 1/4 each to Williams heirs). Top lease OGL 66 (Bk 2702/0505), 3/16, exp 02/11/2031, subordinate; operative base lease not determined of record.</t>
  </si>
  <si>
    <t>Carrie Leeann Williams, a/k/a Carrie Leeann Mitchell
1880 Old Salem Road
Watkinsville, GA 30677</t>
  </si>
  <si>
    <t>Per Tract 9 chain (Kiowa Co. probate,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</si>
  <si>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</si>
  <si>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Requirements. Chain contains unresolved conveyances; carried as balance pending curative.</t>
  </si>
  <si>
    <t>Remaining 37.54 NMA undetermined of record — see Curative Requirements. Tract 5 chain contains unresolved conveyances; carried as balance pending curative.</t>
  </si>
  <si>
    <t>Balance of E/2 NW/4 (owners undetermined of record)</t>
  </si>
  <si>
    <t>Ownership of the remaining 61.60 NMA is undetermined of record — chain of title over-conveys / vesting instruments not located; see Curative Requirements.</t>
  </si>
  <si>
    <t>Carl L. Bain
1517 Twichell
Dumas, TX 79029</t>
  </si>
  <si>
    <t>Clarence C. Bain
3236 West Cactus Road
Phoenix, AZ 85029</t>
  </si>
  <si>
    <t>Carl Leon Bain
1517 Twichell
Dumas, TX 79029</t>
  </si>
  <si>
    <t>Dow C. Bain and Edris O. Bain, JTWROS
961 Country Road
Idaho Falls, ID 83402</t>
  </si>
  <si>
    <t>Dow C. Bain and Edris O. Bain Trustees
961 Country Road
Idaho Falls, ID 83402</t>
  </si>
  <si>
    <t>Jan A. Schroff Trust
c/o Robert M. Collins
100 N. Main #608
Wichita, KS 67202</t>
  </si>
  <si>
    <t>Dwight J. Williams Revocable Trust
c/o Robert M. Collins.
100 N. Main #608
Wichita, KS 67202</t>
  </si>
  <si>
    <t xml:space="preserve">INTERESTS SHOWN ARE SUBJECT TO  CURATIVE REQUIREMENTS </t>
  </si>
  <si>
    <t>Note</t>
  </si>
  <si>
    <t xml:space="preserve">Panhandle Royalty Company
610 Coury Center
Oklahoma City, OK 73112
</t>
  </si>
  <si>
    <t xml:space="preserve">Base OGL 4 (Bk 1736/0592).
Top lease OGL 66 (Bk 2702/0505), 3/16, exp 02/11/2031.
</t>
  </si>
  <si>
    <t xml:space="preserve">Base OGL 1 (Bk 1736/0594).
Top lease OGL 64 (Bk 2693/0337), 3/16, exp 02/23/2029.
</t>
  </si>
  <si>
    <t xml:space="preserve">Base OGL 2 (Bk 1736/0600).
Top lease OGL 65 (Bk 2697/0524), 3/16, exp 03/31/2029.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</si>
</sst>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mm/dd/yyyy"/>
    <numFmt numFmtId="170" formatCode="0.000"/>
    <numFmt numFmtId="171" formatCode="0.0000000000"/>
  </numFmts>
  <fonts count="7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
      <sz val="10"/>
      <color rgb="FFFF0000"/>
      <name val="Arial"/>
      <family val="2"/>
    </font>
    <font>
      <b/>
      <sz val="10"/>
      <color theme="1"/>
      <name val="Arial"/>
      <family val="2"/>
    </font>
    <font>
      <sz val="9"/>
      <color rgb="FF000000"/>
      <name val="Arial"/>
      <family val="2"/>
      <charset val="1"/>
    </font>
    <font>
      <b/>
      <sz val="9"/>
      <name val="Arial"/>
      <family val="2"/>
      <charset val="1"/>
    </font>
    <font>
      <sz val="9"/>
      <color theme="1"/>
      <name val="Calibri"/>
      <family val="2"/>
    </font>
  </fonts>
  <fills count="2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rgb="FFD9D9D9"/>
        <bgColor indexed="64"/>
      </patternFill>
    </fill>
    <fill>
      <patternFill patternType="solid">
        <fgColor rgb="FFFCE4D6"/>
        <bgColor indexed="64"/>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7" fillId="0" borderId="1"/>
  </cellStyleXfs>
  <cellXfs count="579">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5" fillId="0" borderId="1" xfId="6" applyFont="1" applyAlignment="1">
      <alignment horizontal="left" vertical="center" wrapText="1"/>
    </xf>
    <xf numFmtId="0" fontId="25"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5"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5" fillId="0" borderId="1" xfId="7" applyNumberFormat="1" applyFont="1" applyAlignment="1" applyProtection="1">
      <alignment horizontal="left" vertical="top"/>
      <protection locked="0"/>
    </xf>
    <xf numFmtId="0" fontId="4" fillId="0" borderId="1" xfId="6" applyFont="1" applyAlignment="1">
      <alignment vertical="top"/>
    </xf>
    <xf numFmtId="165" fontId="4" fillId="0" borderId="1" xfId="6" applyNumberFormat="1" applyFont="1" applyAlignment="1">
      <alignment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0" fontId="12" fillId="0" borderId="15" xfId="6" applyFont="1" applyBorder="1" applyAlignment="1">
      <alignment wrapText="1"/>
    </xf>
    <xf numFmtId="0" fontId="28" fillId="0" borderId="1" xfId="10" applyFont="1"/>
    <xf numFmtId="0" fontId="29" fillId="0" borderId="1" xfId="10" applyFont="1"/>
    <xf numFmtId="0" fontId="30" fillId="0" borderId="1" xfId="10" applyFont="1" applyAlignment="1">
      <alignment horizontal="center"/>
    </xf>
    <xf numFmtId="0" fontId="30" fillId="0" borderId="1" xfId="10" applyFont="1" applyAlignment="1">
      <alignment vertical="center"/>
    </xf>
    <xf numFmtId="0" fontId="31" fillId="0" borderId="1" xfId="10" applyFont="1"/>
    <xf numFmtId="0" fontId="30" fillId="0" borderId="1" xfId="10" applyFont="1"/>
    <xf numFmtId="0" fontId="30" fillId="0" borderId="1" xfId="10" applyFont="1" applyAlignment="1" applyProtection="1">
      <alignment horizontal="center"/>
      <protection locked="0"/>
    </xf>
    <xf numFmtId="0" fontId="32" fillId="0" borderId="1" xfId="10" applyFont="1" applyProtection="1">
      <protection locked="0"/>
    </xf>
    <xf numFmtId="0" fontId="31" fillId="0" borderId="2" xfId="10" applyFont="1" applyBorder="1"/>
    <xf numFmtId="0" fontId="33" fillId="0" borderId="2" xfId="10" applyFont="1" applyBorder="1" applyAlignment="1">
      <alignment wrapText="1"/>
    </xf>
    <xf numFmtId="0" fontId="33" fillId="0" borderId="1" xfId="10" applyFont="1" applyAlignment="1">
      <alignment wrapText="1"/>
    </xf>
    <xf numFmtId="0" fontId="28" fillId="0" borderId="45" xfId="10" applyFont="1" applyBorder="1"/>
    <xf numFmtId="0" fontId="34" fillId="9" borderId="1" xfId="10" applyFont="1" applyFill="1" applyAlignment="1">
      <alignment vertical="center"/>
    </xf>
    <xf numFmtId="0" fontId="34" fillId="9" borderId="5" xfId="10" applyFont="1" applyFill="1" applyBorder="1" applyAlignment="1">
      <alignment vertical="center"/>
    </xf>
    <xf numFmtId="0" fontId="34" fillId="10" borderId="46" xfId="10" applyFont="1" applyFill="1" applyBorder="1" applyAlignment="1">
      <alignment vertical="center"/>
    </xf>
    <xf numFmtId="0" fontId="35" fillId="10" borderId="49" xfId="10" applyFont="1" applyFill="1" applyBorder="1" applyAlignment="1">
      <alignment vertical="center"/>
    </xf>
    <xf numFmtId="0" fontId="35" fillId="11" borderId="46" xfId="10" applyFont="1" applyFill="1" applyBorder="1" applyAlignment="1">
      <alignment vertical="center"/>
    </xf>
    <xf numFmtId="0" fontId="35" fillId="11" borderId="49" xfId="10" applyFont="1" applyFill="1" applyBorder="1" applyAlignment="1">
      <alignment vertical="center"/>
    </xf>
    <xf numFmtId="0" fontId="35" fillId="12" borderId="46" xfId="10" applyFont="1" applyFill="1" applyBorder="1" applyAlignment="1">
      <alignment vertical="center"/>
    </xf>
    <xf numFmtId="0" fontId="35" fillId="12" borderId="47" xfId="10" applyFont="1" applyFill="1" applyBorder="1" applyAlignment="1">
      <alignment vertical="center"/>
    </xf>
    <xf numFmtId="0" fontId="34" fillId="10" borderId="1" xfId="10" applyFont="1" applyFill="1" applyAlignment="1">
      <alignment horizontal="right" vertical="center"/>
    </xf>
    <xf numFmtId="0" fontId="34" fillId="10" borderId="1" xfId="10" applyFont="1" applyFill="1" applyAlignment="1">
      <alignment vertical="center"/>
    </xf>
    <xf numFmtId="0" fontId="35" fillId="10" borderId="5" xfId="10" applyFont="1" applyFill="1" applyBorder="1" applyAlignment="1">
      <alignment vertical="center"/>
    </xf>
    <xf numFmtId="0" fontId="36" fillId="11" borderId="1" xfId="10" applyFont="1" applyFill="1" applyAlignment="1">
      <alignment vertical="center"/>
    </xf>
    <xf numFmtId="0" fontId="35" fillId="11" borderId="1" xfId="10" applyFont="1" applyFill="1" applyAlignment="1">
      <alignment vertical="center"/>
    </xf>
    <xf numFmtId="0" fontId="35" fillId="11" borderId="5" xfId="10" applyFont="1" applyFill="1" applyBorder="1" applyAlignment="1">
      <alignment vertical="center"/>
    </xf>
    <xf numFmtId="0" fontId="35" fillId="12" borderId="1" xfId="10" applyFont="1" applyFill="1" applyAlignment="1">
      <alignment vertical="center"/>
    </xf>
    <xf numFmtId="0" fontId="35" fillId="12" borderId="45" xfId="10" applyFont="1" applyFill="1" applyBorder="1" applyAlignment="1">
      <alignment vertical="center"/>
    </xf>
    <xf numFmtId="0" fontId="34" fillId="9" borderId="1" xfId="10" applyFont="1" applyFill="1" applyAlignment="1">
      <alignment horizontal="center" vertical="center"/>
    </xf>
    <xf numFmtId="3" fontId="34" fillId="10" borderId="1" xfId="10" applyNumberFormat="1" applyFont="1" applyFill="1" applyAlignment="1">
      <alignment vertical="center"/>
    </xf>
    <xf numFmtId="0" fontId="37" fillId="11" borderId="1" xfId="10" applyFont="1" applyFill="1" applyAlignment="1">
      <alignment vertical="center"/>
    </xf>
    <xf numFmtId="0" fontId="38" fillId="12" borderId="1" xfId="10" applyFont="1" applyFill="1" applyAlignment="1">
      <alignment vertical="center"/>
    </xf>
    <xf numFmtId="0" fontId="31" fillId="12" borderId="1" xfId="10" applyFont="1" applyFill="1" applyAlignment="1">
      <alignment vertical="center"/>
    </xf>
    <xf numFmtId="0" fontId="35" fillId="9" borderId="1" xfId="10" applyFont="1" applyFill="1" applyAlignment="1">
      <alignment horizontal="center" vertical="center"/>
    </xf>
    <xf numFmtId="0" fontId="31" fillId="11" borderId="1" xfId="10" applyFont="1" applyFill="1" applyAlignment="1">
      <alignment vertical="center"/>
    </xf>
    <xf numFmtId="0" fontId="34" fillId="9" borderId="4" xfId="10" applyFont="1" applyFill="1" applyBorder="1" applyAlignment="1">
      <alignment horizontal="center" vertical="center"/>
    </xf>
    <xf numFmtId="0" fontId="34" fillId="9" borderId="4" xfId="10" applyFont="1" applyFill="1" applyBorder="1" applyAlignment="1">
      <alignment vertical="center"/>
    </xf>
    <xf numFmtId="0" fontId="35" fillId="12" borderId="17" xfId="10" applyFont="1" applyFill="1" applyBorder="1" applyAlignment="1">
      <alignment vertical="center"/>
    </xf>
    <xf numFmtId="0" fontId="35" fillId="12" borderId="4" xfId="10" applyFont="1" applyFill="1" applyBorder="1" applyAlignment="1">
      <alignment vertical="center"/>
    </xf>
    <xf numFmtId="0" fontId="31" fillId="12" borderId="4" xfId="10" applyFont="1" applyFill="1" applyBorder="1" applyAlignment="1">
      <alignment vertical="center"/>
    </xf>
    <xf numFmtId="0" fontId="35" fillId="12" borderId="51" xfId="10" applyFont="1" applyFill="1" applyBorder="1" applyAlignment="1">
      <alignment vertical="center"/>
    </xf>
    <xf numFmtId="0" fontId="34" fillId="10" borderId="1" xfId="10" applyFont="1" applyFill="1" applyAlignment="1">
      <alignment horizontal="center" vertical="center"/>
    </xf>
    <xf numFmtId="0" fontId="36" fillId="13" borderId="1" xfId="10" applyFont="1" applyFill="1" applyAlignment="1">
      <alignment vertical="center"/>
    </xf>
    <xf numFmtId="0" fontId="39" fillId="13" borderId="1" xfId="10" applyFont="1" applyFill="1" applyAlignment="1">
      <alignment vertical="center"/>
    </xf>
    <xf numFmtId="0" fontId="40" fillId="13" borderId="1" xfId="10" applyFont="1" applyFill="1" applyAlignment="1">
      <alignment vertical="center"/>
    </xf>
    <xf numFmtId="0" fontId="35" fillId="13" borderId="1" xfId="10" applyFont="1" applyFill="1" applyAlignment="1">
      <alignment vertical="center"/>
    </xf>
    <xf numFmtId="0" fontId="35" fillId="13" borderId="5" xfId="10" applyFont="1" applyFill="1" applyBorder="1" applyAlignment="1">
      <alignment vertical="center"/>
    </xf>
    <xf numFmtId="0" fontId="36" fillId="14" borderId="1" xfId="10" applyFont="1" applyFill="1" applyAlignment="1">
      <alignment vertical="center"/>
    </xf>
    <xf numFmtId="0" fontId="39" fillId="14" borderId="1" xfId="10" applyFont="1" applyFill="1" applyAlignment="1">
      <alignment vertical="center"/>
    </xf>
    <xf numFmtId="0" fontId="40" fillId="14" borderId="1" xfId="10" applyFont="1" applyFill="1" applyAlignment="1">
      <alignment vertical="center"/>
    </xf>
    <xf numFmtId="0" fontId="35" fillId="14" borderId="1" xfId="10" applyFont="1" applyFill="1" applyAlignment="1">
      <alignment vertical="center"/>
    </xf>
    <xf numFmtId="0" fontId="35" fillId="14" borderId="45" xfId="10" applyFont="1" applyFill="1" applyBorder="1" applyAlignment="1">
      <alignment vertical="center"/>
    </xf>
    <xf numFmtId="0" fontId="35" fillId="10" borderId="1" xfId="10" applyFont="1" applyFill="1" applyAlignment="1">
      <alignment vertical="center"/>
    </xf>
    <xf numFmtId="0" fontId="31" fillId="10" borderId="1" xfId="10" applyFont="1" applyFill="1" applyAlignment="1">
      <alignment vertical="center"/>
    </xf>
    <xf numFmtId="0" fontId="37" fillId="13" borderId="1" xfId="10" applyFont="1" applyFill="1" applyAlignment="1">
      <alignment vertical="center"/>
    </xf>
    <xf numFmtId="0" fontId="37" fillId="14" borderId="1" xfId="10" applyFont="1" applyFill="1" applyAlignment="1">
      <alignment vertical="center"/>
    </xf>
    <xf numFmtId="0" fontId="31" fillId="13" borderId="1" xfId="10" applyFont="1" applyFill="1" applyAlignment="1">
      <alignment vertical="center"/>
    </xf>
    <xf numFmtId="0" fontId="31" fillId="14" borderId="1" xfId="10" applyFont="1" applyFill="1" applyAlignment="1">
      <alignment vertical="center"/>
    </xf>
    <xf numFmtId="0" fontId="35" fillId="0" borderId="1" xfId="10" applyFont="1" applyAlignment="1">
      <alignment wrapText="1"/>
    </xf>
    <xf numFmtId="0" fontId="28" fillId="10" borderId="4" xfId="10" applyFont="1" applyFill="1" applyBorder="1" applyAlignment="1">
      <alignment vertical="center"/>
    </xf>
    <xf numFmtId="0" fontId="28" fillId="10" borderId="7" xfId="10" applyFont="1" applyFill="1" applyBorder="1" applyAlignment="1">
      <alignment vertical="center"/>
    </xf>
    <xf numFmtId="0" fontId="35" fillId="11" borderId="4" xfId="10" applyFont="1" applyFill="1" applyBorder="1" applyAlignment="1">
      <alignment vertical="center"/>
    </xf>
    <xf numFmtId="0" fontId="31" fillId="11" borderId="4" xfId="10" applyFont="1" applyFill="1" applyBorder="1" applyAlignment="1">
      <alignment vertical="center"/>
    </xf>
    <xf numFmtId="0" fontId="31" fillId="11" borderId="7" xfId="10" applyFont="1" applyFill="1" applyBorder="1" applyAlignment="1">
      <alignment vertical="center"/>
    </xf>
    <xf numFmtId="0" fontId="35" fillId="14" borderId="4" xfId="10" applyFont="1" applyFill="1" applyBorder="1" applyAlignment="1">
      <alignment vertical="center"/>
    </xf>
    <xf numFmtId="0" fontId="31" fillId="14" borderId="4" xfId="10" applyFont="1" applyFill="1" applyBorder="1" applyAlignment="1">
      <alignment vertical="center"/>
    </xf>
    <xf numFmtId="0" fontId="31" fillId="14" borderId="51" xfId="10" applyFont="1" applyFill="1" applyBorder="1" applyAlignment="1">
      <alignment vertical="center"/>
    </xf>
    <xf numFmtId="0" fontId="35" fillId="15" borderId="1" xfId="10" applyFont="1" applyFill="1" applyAlignment="1">
      <alignment vertical="center"/>
    </xf>
    <xf numFmtId="0" fontId="35" fillId="15" borderId="33" xfId="10" applyFont="1" applyFill="1" applyBorder="1" applyAlignment="1">
      <alignment vertical="center"/>
    </xf>
    <xf numFmtId="0" fontId="36" fillId="16" borderId="1" xfId="10" applyFont="1" applyFill="1" applyAlignment="1">
      <alignment vertical="center"/>
    </xf>
    <xf numFmtId="0" fontId="39" fillId="16" borderId="1" xfId="10" applyFont="1" applyFill="1" applyAlignment="1">
      <alignment vertical="center"/>
    </xf>
    <xf numFmtId="0" fontId="40" fillId="16" borderId="1" xfId="10" applyFont="1" applyFill="1" applyAlignment="1">
      <alignment vertical="center"/>
    </xf>
    <xf numFmtId="0" fontId="35" fillId="16" borderId="1" xfId="10" applyFont="1" applyFill="1" applyAlignment="1">
      <alignment vertical="center"/>
    </xf>
    <xf numFmtId="0" fontId="35" fillId="16" borderId="5" xfId="10" applyFont="1" applyFill="1" applyBorder="1" applyAlignment="1">
      <alignment vertical="center"/>
    </xf>
    <xf numFmtId="0" fontId="36" fillId="17" borderId="1" xfId="10" applyFont="1" applyFill="1" applyAlignment="1">
      <alignment vertical="center"/>
    </xf>
    <xf numFmtId="0" fontId="39" fillId="17" borderId="1" xfId="10" applyFont="1" applyFill="1" applyAlignment="1">
      <alignment vertical="center"/>
    </xf>
    <xf numFmtId="0" fontId="40" fillId="17" borderId="1" xfId="10" applyFont="1" applyFill="1" applyAlignment="1">
      <alignment vertical="center"/>
    </xf>
    <xf numFmtId="0" fontId="35" fillId="17" borderId="1" xfId="10" applyFont="1" applyFill="1" applyAlignment="1">
      <alignment vertical="center"/>
    </xf>
    <xf numFmtId="0" fontId="35" fillId="17" borderId="45" xfId="10" applyFont="1" applyFill="1" applyBorder="1" applyAlignment="1">
      <alignment vertical="center"/>
    </xf>
    <xf numFmtId="0" fontId="35" fillId="15" borderId="5" xfId="10" applyFont="1" applyFill="1" applyBorder="1" applyAlignment="1">
      <alignment vertical="center"/>
    </xf>
    <xf numFmtId="0" fontId="37" fillId="16" borderId="1" xfId="10" applyFont="1" applyFill="1" applyAlignment="1">
      <alignment vertical="center"/>
    </xf>
    <xf numFmtId="0" fontId="37" fillId="17" borderId="1" xfId="10" applyFont="1" applyFill="1" applyAlignment="1">
      <alignment vertical="center"/>
    </xf>
    <xf numFmtId="0" fontId="35" fillId="15" borderId="52" xfId="10" applyFont="1" applyFill="1" applyBorder="1" applyAlignment="1">
      <alignment vertical="center"/>
    </xf>
    <xf numFmtId="0" fontId="35" fillId="15" borderId="4" xfId="10" applyFont="1" applyFill="1" applyBorder="1" applyAlignment="1">
      <alignment vertical="center"/>
    </xf>
    <xf numFmtId="0" fontId="35" fillId="15" borderId="7" xfId="10" applyFont="1" applyFill="1" applyBorder="1" applyAlignment="1">
      <alignment vertical="center"/>
    </xf>
    <xf numFmtId="0" fontId="31" fillId="16" borderId="4" xfId="10" applyFont="1" applyFill="1" applyBorder="1" applyAlignment="1">
      <alignment vertical="center"/>
    </xf>
    <xf numFmtId="0" fontId="35" fillId="16" borderId="4" xfId="10" applyFont="1" applyFill="1" applyBorder="1" applyAlignment="1">
      <alignment vertical="center"/>
    </xf>
    <xf numFmtId="0" fontId="35" fillId="16" borderId="7" xfId="10" applyFont="1" applyFill="1" applyBorder="1" applyAlignment="1">
      <alignment vertical="center"/>
    </xf>
    <xf numFmtId="0" fontId="31" fillId="17" borderId="1" xfId="10" applyFont="1" applyFill="1" applyAlignment="1">
      <alignment vertical="center"/>
    </xf>
    <xf numFmtId="0" fontId="35" fillId="18" borderId="1" xfId="10" applyFont="1" applyFill="1" applyAlignment="1">
      <alignment vertical="center"/>
    </xf>
    <xf numFmtId="0" fontId="35" fillId="18" borderId="9" xfId="10" applyFont="1" applyFill="1" applyBorder="1" applyAlignment="1">
      <alignment vertical="center"/>
    </xf>
    <xf numFmtId="0" fontId="35" fillId="18" borderId="5" xfId="10" applyFont="1" applyFill="1" applyBorder="1" applyAlignment="1">
      <alignment vertical="center"/>
    </xf>
    <xf numFmtId="0" fontId="35" fillId="18" borderId="4" xfId="10" applyFont="1" applyFill="1" applyBorder="1" applyAlignment="1">
      <alignment vertical="center"/>
    </xf>
    <xf numFmtId="0" fontId="41" fillId="18" borderId="4" xfId="10" applyFont="1" applyFill="1" applyBorder="1"/>
    <xf numFmtId="0" fontId="31" fillId="18" borderId="4" xfId="10" applyFont="1" applyFill="1" applyBorder="1" applyAlignment="1">
      <alignment vertical="center"/>
    </xf>
    <xf numFmtId="0" fontId="31" fillId="18" borderId="7" xfId="10" applyFont="1" applyFill="1" applyBorder="1" applyAlignment="1">
      <alignment vertical="center"/>
    </xf>
    <xf numFmtId="0" fontId="35" fillId="17" borderId="4" xfId="10" applyFont="1" applyFill="1" applyBorder="1" applyAlignment="1">
      <alignment vertical="center"/>
    </xf>
    <xf numFmtId="0" fontId="31" fillId="17" borderId="4" xfId="10" applyFont="1" applyFill="1" applyBorder="1" applyAlignment="1">
      <alignment vertical="center"/>
    </xf>
    <xf numFmtId="0" fontId="31" fillId="17" borderId="51" xfId="10" applyFont="1" applyFill="1" applyBorder="1" applyAlignment="1">
      <alignment vertical="center"/>
    </xf>
    <xf numFmtId="0" fontId="36" fillId="19" borderId="1" xfId="10" applyFont="1" applyFill="1" applyAlignment="1">
      <alignment vertical="center"/>
    </xf>
    <xf numFmtId="0" fontId="39" fillId="19" borderId="1" xfId="10" applyFont="1" applyFill="1" applyAlignment="1">
      <alignment vertical="center"/>
    </xf>
    <xf numFmtId="0" fontId="40" fillId="19" borderId="1" xfId="10" applyFont="1" applyFill="1" applyAlignment="1">
      <alignment vertical="center"/>
    </xf>
    <xf numFmtId="0" fontId="35" fillId="19" borderId="1" xfId="10" applyFont="1" applyFill="1" applyAlignment="1">
      <alignment vertical="center"/>
    </xf>
    <xf numFmtId="0" fontId="35" fillId="19" borderId="5" xfId="10" applyFont="1" applyFill="1" applyBorder="1" applyAlignment="1">
      <alignment vertical="center"/>
    </xf>
    <xf numFmtId="0" fontId="35" fillId="13" borderId="45" xfId="10" applyFont="1" applyFill="1" applyBorder="1" applyAlignment="1">
      <alignment vertical="center"/>
    </xf>
    <xf numFmtId="0" fontId="37" fillId="19" borderId="1" xfId="10" applyFont="1" applyFill="1" applyAlignment="1">
      <alignment vertical="center"/>
    </xf>
    <xf numFmtId="0" fontId="31" fillId="19" borderId="1" xfId="10" applyFont="1" applyFill="1" applyAlignment="1">
      <alignment vertical="center"/>
    </xf>
    <xf numFmtId="0" fontId="31" fillId="18" borderId="1" xfId="10" applyFont="1" applyFill="1" applyAlignment="1">
      <alignment vertical="center"/>
    </xf>
    <xf numFmtId="0" fontId="31" fillId="18" borderId="5" xfId="10" applyFont="1" applyFill="1" applyBorder="1" applyAlignment="1">
      <alignment vertical="center"/>
    </xf>
    <xf numFmtId="0" fontId="35" fillId="18" borderId="2" xfId="10" applyFont="1" applyFill="1" applyBorder="1" applyAlignment="1">
      <alignment vertical="center"/>
    </xf>
    <xf numFmtId="0" fontId="41" fillId="18" borderId="2" xfId="10" applyFont="1" applyFill="1" applyBorder="1"/>
    <xf numFmtId="0" fontId="31" fillId="18" borderId="2" xfId="10" applyFont="1" applyFill="1" applyBorder="1" applyAlignment="1">
      <alignment vertical="center"/>
    </xf>
    <xf numFmtId="0" fontId="31" fillId="18" borderId="50" xfId="10" applyFont="1" applyFill="1" applyBorder="1" applyAlignment="1">
      <alignment vertical="center"/>
    </xf>
    <xf numFmtId="0" fontId="35" fillId="19" borderId="4" xfId="10" applyFont="1" applyFill="1" applyBorder="1" applyAlignment="1">
      <alignment vertical="center"/>
    </xf>
    <xf numFmtId="0" fontId="31" fillId="19" borderId="4" xfId="10" applyFont="1" applyFill="1" applyBorder="1" applyAlignment="1">
      <alignment vertical="center"/>
    </xf>
    <xf numFmtId="0" fontId="31" fillId="19" borderId="7" xfId="10" applyFont="1" applyFill="1" applyBorder="1" applyAlignment="1">
      <alignment vertical="center"/>
    </xf>
    <xf numFmtId="0" fontId="35" fillId="13" borderId="2" xfId="10" applyFont="1" applyFill="1" applyBorder="1" applyAlignment="1">
      <alignment vertical="center"/>
    </xf>
    <xf numFmtId="0" fontId="31" fillId="13" borderId="2" xfId="10" applyFont="1" applyFill="1" applyBorder="1" applyAlignment="1">
      <alignment vertical="center"/>
    </xf>
    <xf numFmtId="0" fontId="31" fillId="13" borderId="48" xfId="10" applyFont="1" applyFill="1" applyBorder="1" applyAlignment="1">
      <alignment vertical="center"/>
    </xf>
    <xf numFmtId="0" fontId="35" fillId="0" borderId="1" xfId="10" applyFont="1"/>
    <xf numFmtId="0" fontId="35" fillId="0" borderId="5" xfId="10" applyFont="1" applyBorder="1"/>
    <xf numFmtId="0" fontId="42" fillId="0" borderId="1" xfId="10" applyFont="1" applyAlignment="1">
      <alignment horizontal="left"/>
    </xf>
    <xf numFmtId="0" fontId="28" fillId="0" borderId="1" xfId="10" applyFont="1" applyProtection="1">
      <protection locked="0"/>
    </xf>
    <xf numFmtId="0" fontId="35" fillId="0" borderId="1" xfId="10" applyFont="1" applyAlignment="1">
      <alignment horizontal="left"/>
    </xf>
    <xf numFmtId="0" fontId="28" fillId="0" borderId="1" xfId="10" applyFont="1" applyAlignment="1" applyProtection="1">
      <alignment horizontal="center"/>
      <protection locked="0"/>
    </xf>
    <xf numFmtId="0" fontId="28" fillId="0" borderId="1" xfId="10" applyFont="1" applyAlignment="1">
      <alignment vertical="center" wrapText="1"/>
    </xf>
    <xf numFmtId="0" fontId="45" fillId="0" borderId="1" xfId="10" applyFont="1"/>
    <xf numFmtId="0" fontId="27" fillId="0" borderId="1" xfId="10"/>
    <xf numFmtId="0" fontId="48" fillId="0" borderId="1" xfId="10" applyFont="1" applyAlignment="1">
      <alignment vertical="top" wrapText="1"/>
    </xf>
    <xf numFmtId="0" fontId="48" fillId="0" borderId="1" xfId="10" applyFont="1"/>
    <xf numFmtId="168" fontId="48" fillId="0" borderId="1" xfId="10" applyNumberFormat="1" applyFont="1"/>
    <xf numFmtId="14" fontId="48" fillId="0" borderId="1" xfId="10" applyNumberFormat="1" applyFont="1"/>
    <xf numFmtId="0" fontId="48" fillId="0" borderId="1" xfId="10" applyFont="1" applyAlignment="1">
      <alignment horizontal="right" vertical="top"/>
    </xf>
    <xf numFmtId="168" fontId="0" fillId="0" borderId="0" xfId="0" applyNumberFormat="1"/>
    <xf numFmtId="0" fontId="51" fillId="0" borderId="1" xfId="10" applyFont="1" applyAlignment="1">
      <alignment horizontal="right" vertical="top"/>
    </xf>
    <xf numFmtId="4" fontId="48" fillId="0" borderId="1" xfId="10" applyNumberFormat="1" applyFont="1" applyAlignment="1">
      <alignment horizontal="left" vertical="top"/>
    </xf>
    <xf numFmtId="0" fontId="48" fillId="0" borderId="1" xfId="10" applyFont="1" applyAlignment="1">
      <alignment horizontal="left" vertical="top"/>
    </xf>
    <xf numFmtId="14" fontId="48" fillId="0" borderId="1" xfId="10" applyNumberFormat="1" applyFont="1" applyAlignment="1">
      <alignment horizontal="left" vertical="top"/>
    </xf>
    <xf numFmtId="168" fontId="48" fillId="0" borderId="1" xfId="10" applyNumberFormat="1" applyFont="1" applyAlignment="1">
      <alignment horizontal="left" vertical="top"/>
    </xf>
    <xf numFmtId="0" fontId="51" fillId="20" borderId="32" xfId="10" applyFont="1" applyFill="1" applyBorder="1" applyAlignment="1">
      <alignment horizontal="center" vertical="top"/>
    </xf>
    <xf numFmtId="4" fontId="51" fillId="20" borderId="32" xfId="10" applyNumberFormat="1" applyFont="1" applyFill="1" applyBorder="1" applyAlignment="1">
      <alignment horizontal="center"/>
    </xf>
    <xf numFmtId="0" fontId="51" fillId="20" borderId="32" xfId="10" applyFont="1" applyFill="1" applyBorder="1" applyAlignment="1">
      <alignment horizontal="center"/>
    </xf>
    <xf numFmtId="168" fontId="51" fillId="20" borderId="32" xfId="10" applyNumberFormat="1" applyFont="1" applyFill="1" applyBorder="1" applyAlignment="1">
      <alignment horizontal="center"/>
    </xf>
    <xf numFmtId="14" fontId="51" fillId="20" borderId="32" xfId="10" applyNumberFormat="1" applyFont="1" applyFill="1" applyBorder="1" applyAlignment="1">
      <alignment horizontal="center"/>
    </xf>
    <xf numFmtId="0" fontId="52" fillId="0" borderId="32" xfId="10" applyFont="1" applyBorder="1" applyAlignment="1">
      <alignment horizontal="left" vertical="top" wrapText="1"/>
    </xf>
    <xf numFmtId="0" fontId="51" fillId="11" borderId="53" xfId="10" applyFont="1" applyFill="1" applyBorder="1" applyAlignment="1">
      <alignment horizontal="right" vertical="top"/>
    </xf>
    <xf numFmtId="164" fontId="51" fillId="11" borderId="32" xfId="10" applyNumberFormat="1" applyFont="1" applyFill="1" applyBorder="1" applyAlignment="1">
      <alignment horizontal="right"/>
    </xf>
    <xf numFmtId="0" fontId="51" fillId="11" borderId="8" xfId="10" applyFont="1" applyFill="1" applyBorder="1" applyAlignment="1">
      <alignment horizontal="right" vertical="top"/>
    </xf>
    <xf numFmtId="164" fontId="48" fillId="0" borderId="1" xfId="10" applyNumberFormat="1" applyFont="1" applyAlignment="1">
      <alignment horizontal="left" vertical="top"/>
    </xf>
    <xf numFmtId="164" fontId="51" fillId="20" borderId="32" xfId="10" applyNumberFormat="1" applyFont="1" applyFill="1" applyBorder="1" applyAlignment="1">
      <alignment horizontal="center"/>
    </xf>
    <xf numFmtId="0" fontId="48" fillId="0" borderId="1" xfId="10" applyFont="1" applyAlignment="1">
      <alignment wrapText="1"/>
    </xf>
    <xf numFmtId="0" fontId="51" fillId="11" borderId="6" xfId="10" applyFont="1" applyFill="1" applyBorder="1" applyAlignment="1">
      <alignment horizontal="right" vertical="top"/>
    </xf>
    <xf numFmtId="0" fontId="48" fillId="0" borderId="55" xfId="10" applyFont="1" applyBorder="1"/>
    <xf numFmtId="0" fontId="13" fillId="0" borderId="32" xfId="10" applyFont="1" applyBorder="1" applyAlignment="1">
      <alignment horizontal="left" vertical="top" wrapText="1"/>
    </xf>
    <xf numFmtId="0" fontId="49" fillId="0" borderId="1" xfId="10" applyFont="1" applyAlignment="1">
      <alignment horizontal="left" vertical="top"/>
    </xf>
    <xf numFmtId="0" fontId="51" fillId="0" borderId="1" xfId="10" applyFont="1" applyAlignment="1">
      <alignment horizontal="left" vertical="top"/>
    </xf>
    <xf numFmtId="0" fontId="57" fillId="0" borderId="1" xfId="10" applyFont="1" applyAlignment="1">
      <alignment wrapText="1"/>
    </xf>
    <xf numFmtId="164" fontId="0" fillId="0" borderId="0" xfId="0" applyNumberFormat="1"/>
    <xf numFmtId="0" fontId="48" fillId="0" borderId="1" xfId="10" applyFont="1" applyAlignment="1">
      <alignment vertical="top"/>
    </xf>
    <xf numFmtId="0" fontId="52" fillId="0" borderId="15" xfId="10" applyFont="1" applyBorder="1" applyAlignment="1">
      <alignment wrapText="1"/>
    </xf>
    <xf numFmtId="0" fontId="52" fillId="0" borderId="54" xfId="10" applyFont="1" applyBorder="1" applyAlignment="1">
      <alignment wrapText="1"/>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5" fillId="0" borderId="56" xfId="0" applyFont="1" applyBorder="1" applyAlignment="1">
      <alignment horizontal="left" wrapText="1"/>
    </xf>
    <xf numFmtId="165" fontId="14" fillId="0" borderId="1" xfId="7" applyNumberFormat="1" applyAlignment="1" applyProtection="1">
      <alignment horizontal="right" wrapText="1"/>
      <protection locked="0"/>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25" fillId="2" borderId="1" xfId="6" applyFont="1" applyFill="1" applyAlignment="1">
      <alignment horizontal="left" vertical="center" wrapText="1"/>
    </xf>
    <xf numFmtId="0" fontId="25" fillId="2" borderId="1" xfId="6" applyFont="1" applyFill="1" applyAlignment="1">
      <alignment horizontal="left" vertical="top" wrapText="1"/>
    </xf>
    <xf numFmtId="0" fontId="12" fillId="2" borderId="1" xfId="6" applyFont="1" applyFill="1" applyAlignment="1">
      <alignment horizontal="left" vertical="center" wrapText="1"/>
    </xf>
    <xf numFmtId="0" fontId="25"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28" fillId="10" borderId="52" xfId="10" applyFont="1" applyFill="1" applyBorder="1" applyAlignment="1">
      <alignment vertical="center"/>
    </xf>
    <xf numFmtId="0" fontId="35" fillId="0" borderId="57" xfId="10" applyFont="1" applyBorder="1" applyAlignment="1" applyProtection="1">
      <alignment horizontal="center"/>
      <protection locked="0"/>
    </xf>
    <xf numFmtId="0" fontId="52" fillId="0" borderId="57" xfId="10" applyFont="1" applyBorder="1" applyAlignment="1">
      <alignment horizontal="left" vertical="top" wrapText="1"/>
    </xf>
    <xf numFmtId="0" fontId="53" fillId="0" borderId="57" xfId="10" applyFont="1" applyBorder="1" applyAlignment="1">
      <alignment horizontal="center" vertical="top" wrapText="1"/>
    </xf>
    <xf numFmtId="168" fontId="53" fillId="0" borderId="57" xfId="10" applyNumberFormat="1" applyFont="1" applyBorder="1" applyAlignment="1">
      <alignment horizontal="center" vertical="top" wrapText="1"/>
    </xf>
    <xf numFmtId="14" fontId="53" fillId="0" borderId="57" xfId="10" applyNumberFormat="1" applyFont="1" applyBorder="1" applyAlignment="1">
      <alignment horizontal="center" vertical="top" wrapText="1"/>
    </xf>
    <xf numFmtId="0" fontId="9" fillId="0" borderId="57" xfId="10" applyFont="1" applyBorder="1" applyAlignment="1">
      <alignment horizontal="left" vertical="top" wrapText="1"/>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1" fillId="11" borderId="57" xfId="10" applyNumberFormat="1" applyFont="1" applyFill="1" applyBorder="1" applyAlignment="1">
      <alignment horizontal="right"/>
    </xf>
    <xf numFmtId="0" fontId="4" fillId="0" borderId="57" xfId="10" applyFont="1" applyBorder="1" applyAlignment="1">
      <alignment horizontal="center" vertical="top" wrapText="1"/>
    </xf>
    <xf numFmtId="0" fontId="4" fillId="0" borderId="57" xfId="10" applyFont="1" applyBorder="1" applyAlignment="1">
      <alignment horizontal="left" vertical="top" wrapText="1"/>
    </xf>
    <xf numFmtId="0" fontId="51" fillId="20" borderId="57" xfId="10" applyFont="1" applyFill="1" applyBorder="1" applyAlignment="1">
      <alignment horizontal="center"/>
    </xf>
    <xf numFmtId="0" fontId="53" fillId="0" borderId="57" xfId="10" applyFont="1" applyBorder="1" applyAlignment="1">
      <alignment horizontal="left" vertical="top" wrapText="1"/>
    </xf>
    <xf numFmtId="168" fontId="48" fillId="0" borderId="57" xfId="10" applyNumberFormat="1" applyFont="1" applyBorder="1"/>
    <xf numFmtId="14" fontId="48" fillId="0" borderId="57" xfId="10" applyNumberFormat="1" applyFont="1" applyBorder="1"/>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1" fillId="20" borderId="57" xfId="10" applyFont="1" applyFill="1" applyBorder="1" applyAlignment="1">
      <alignment horizontal="center" vertical="top"/>
    </xf>
    <xf numFmtId="168" fontId="51" fillId="20" borderId="57" xfId="10" applyNumberFormat="1" applyFont="1" applyFill="1" applyBorder="1" applyAlignment="1">
      <alignment horizontal="center"/>
    </xf>
    <xf numFmtId="14" fontId="51" fillId="20" borderId="57" xfId="10" applyNumberFormat="1" applyFont="1" applyFill="1" applyBorder="1" applyAlignment="1">
      <alignment horizontal="center"/>
    </xf>
    <xf numFmtId="14" fontId="52" fillId="0" borderId="57" xfId="10" applyNumberFormat="1" applyFont="1" applyBorder="1" applyAlignment="1">
      <alignment horizontal="left" vertical="top" wrapText="1"/>
    </xf>
    <xf numFmtId="164" fontId="52" fillId="0" borderId="57" xfId="10" applyNumberFormat="1" applyFont="1" applyBorder="1" applyAlignment="1">
      <alignment horizontal="right" vertical="top" wrapText="1"/>
    </xf>
    <xf numFmtId="164" fontId="53" fillId="0" borderId="57" xfId="10" applyNumberFormat="1" applyFont="1" applyBorder="1" applyAlignment="1">
      <alignment horizontal="left" vertical="top" wrapText="1"/>
    </xf>
    <xf numFmtId="164" fontId="52" fillId="21" borderId="32" xfId="10" applyNumberFormat="1" applyFont="1" applyFill="1" applyBorder="1" applyAlignment="1">
      <alignment horizontal="right" vertical="top"/>
    </xf>
    <xf numFmtId="4" fontId="48" fillId="0" borderId="1" xfId="10" applyNumberFormat="1" applyFont="1"/>
    <xf numFmtId="14" fontId="53" fillId="0" borderId="32" xfId="10" applyNumberFormat="1" applyFont="1" applyBorder="1" applyAlignment="1">
      <alignment horizontal="center" vertical="top" wrapText="1"/>
    </xf>
    <xf numFmtId="0" fontId="34" fillId="0" borderId="57" xfId="10" applyFont="1" applyBorder="1" applyAlignment="1">
      <alignment horizontal="left" vertical="top" wrapText="1"/>
    </xf>
    <xf numFmtId="168" fontId="34" fillId="0" borderId="57" xfId="10" applyNumberFormat="1" applyFont="1" applyBorder="1" applyAlignment="1">
      <alignment horizontal="center" vertical="top" wrapText="1"/>
    </xf>
    <xf numFmtId="14" fontId="34" fillId="0" borderId="57" xfId="10" applyNumberFormat="1" applyFont="1" applyBorder="1" applyAlignment="1">
      <alignment horizontal="left" vertical="top" wrapText="1"/>
    </xf>
    <xf numFmtId="165" fontId="14" fillId="0" borderId="1" xfId="7" applyNumberFormat="1" applyAlignment="1" applyProtection="1">
      <alignment horizontal="left"/>
      <protection locked="0"/>
    </xf>
    <xf numFmtId="0" fontId="59" fillId="0" borderId="15" xfId="10" applyFont="1" applyBorder="1" applyAlignment="1">
      <alignment wrapText="1"/>
    </xf>
    <xf numFmtId="165" fontId="25" fillId="0" borderId="1" xfId="7" applyNumberFormat="1" applyFont="1" applyAlignment="1" applyProtection="1">
      <alignment horizontal="left" vertical="top" wrapText="1"/>
      <protection locked="0"/>
    </xf>
    <xf numFmtId="0" fontId="25" fillId="0" borderId="1" xfId="7" applyFont="1" applyAlignment="1" applyProtection="1">
      <alignment horizontal="left" vertical="top" wrapText="1"/>
      <protection locked="0"/>
    </xf>
    <xf numFmtId="0" fontId="66" fillId="0" borderId="1" xfId="7" applyFont="1" applyAlignment="1" applyProtection="1">
      <alignment horizontal="left" vertical="top" wrapText="1"/>
      <protection locked="0"/>
    </xf>
    <xf numFmtId="0" fontId="66" fillId="2" borderId="1" xfId="7" applyFont="1" applyFill="1" applyAlignment="1" applyProtection="1">
      <alignment horizontal="left" vertical="top" wrapText="1"/>
      <protection locked="0"/>
    </xf>
    <xf numFmtId="0" fontId="52" fillId="0" borderId="53" xfId="10" applyFont="1" applyBorder="1" applyAlignment="1">
      <alignment horizontal="left" vertical="top" wrapText="1"/>
    </xf>
    <xf numFmtId="0" fontId="48" fillId="0" borderId="1" xfId="10" applyFont="1" applyAlignment="1">
      <alignment horizontal="left" vertical="top" wrapText="1"/>
    </xf>
    <xf numFmtId="0" fontId="51" fillId="20" borderId="32" xfId="10" applyFont="1" applyFill="1" applyBorder="1" applyAlignment="1">
      <alignment horizontal="center" wrapText="1"/>
    </xf>
    <xf numFmtId="0" fontId="51" fillId="20" borderId="57" xfId="10" applyFont="1" applyFill="1" applyBorder="1" applyAlignment="1">
      <alignment horizontal="center" wrapText="1"/>
    </xf>
    <xf numFmtId="0" fontId="48" fillId="0" borderId="57" xfId="10" applyFont="1" applyBorder="1" applyAlignment="1">
      <alignment wrapText="1"/>
    </xf>
    <xf numFmtId="0" fontId="14" fillId="0" borderId="29" xfId="7" applyBorder="1" applyAlignment="1" applyProtection="1">
      <alignment horizontal="right" wrapText="1"/>
      <protection locked="0"/>
    </xf>
    <xf numFmtId="0" fontId="12" fillId="0" borderId="15" xfId="9" applyFont="1" applyFill="1" applyBorder="1" applyAlignment="1">
      <alignment horizontal="left" vertical="top" wrapText="1"/>
    </xf>
    <xf numFmtId="4" fontId="52" fillId="0" borderId="32" xfId="10" applyNumberFormat="1" applyFont="1" applyBorder="1" applyAlignment="1">
      <alignment horizontal="right" vertical="top"/>
    </xf>
    <xf numFmtId="4" fontId="52" fillId="0" borderId="57" xfId="10" applyNumberFormat="1" applyFont="1" applyBorder="1" applyAlignment="1">
      <alignment horizontal="right" vertical="top"/>
    </xf>
    <xf numFmtId="4" fontId="51" fillId="11" borderId="32" xfId="10" applyNumberFormat="1" applyFont="1" applyFill="1" applyBorder="1" applyAlignment="1">
      <alignment horizontal="right"/>
    </xf>
    <xf numFmtId="4" fontId="51" fillId="11" borderId="57" xfId="10" applyNumberFormat="1" applyFont="1" applyFill="1" applyBorder="1"/>
    <xf numFmtId="4" fontId="51" fillId="0" borderId="1" xfId="10" applyNumberFormat="1" applyFont="1"/>
    <xf numFmtId="4" fontId="9" fillId="0" borderId="57" xfId="10" applyNumberFormat="1" applyFont="1" applyBorder="1" applyAlignment="1">
      <alignment horizontal="right" vertical="top"/>
    </xf>
    <xf numFmtId="4" fontId="51" fillId="11" borderId="57" xfId="10" applyNumberFormat="1" applyFont="1" applyFill="1" applyBorder="1" applyAlignment="1">
      <alignment horizontal="right"/>
    </xf>
    <xf numFmtId="4" fontId="12" fillId="0" borderId="57" xfId="10" applyNumberFormat="1" applyFont="1" applyBorder="1" applyAlignment="1">
      <alignment horizontal="right" vertical="top"/>
    </xf>
    <xf numFmtId="4" fontId="53" fillId="0" borderId="57" xfId="10" applyNumberFormat="1" applyFont="1" applyBorder="1" applyAlignment="1">
      <alignment horizontal="right" vertical="top" wrapText="1"/>
    </xf>
    <xf numFmtId="4" fontId="4" fillId="0" borderId="57" xfId="10" applyNumberFormat="1" applyFont="1" applyBorder="1" applyAlignment="1">
      <alignment horizontal="right" vertical="top" wrapText="1"/>
    </xf>
    <xf numFmtId="4" fontId="12" fillId="0" borderId="32" xfId="10" applyNumberFormat="1" applyFont="1" applyBorder="1" applyAlignment="1">
      <alignment horizontal="right" vertical="top"/>
    </xf>
    <xf numFmtId="4" fontId="53" fillId="0" borderId="32" xfId="10" applyNumberFormat="1" applyFont="1" applyBorder="1" applyAlignment="1">
      <alignment horizontal="right" vertical="top" wrapText="1"/>
    </xf>
    <xf numFmtId="4" fontId="51" fillId="11" borderId="29" xfId="10" applyNumberFormat="1" applyFont="1" applyFill="1" applyBorder="1" applyAlignment="1">
      <alignment horizontal="right"/>
    </xf>
    <xf numFmtId="4" fontId="51" fillId="20" borderId="57" xfId="10" applyNumberFormat="1" applyFont="1" applyFill="1" applyBorder="1" applyAlignment="1">
      <alignment horizontal="center"/>
    </xf>
    <xf numFmtId="4" fontId="4" fillId="0" borderId="32" xfId="10" applyNumberFormat="1" applyFont="1" applyBorder="1" applyAlignment="1">
      <alignment horizontal="right" vertical="top" wrapText="1"/>
    </xf>
    <xf numFmtId="0" fontId="67" fillId="22" borderId="57" xfId="6" applyFont="1" applyFill="1" applyBorder="1" applyAlignment="1">
      <alignment horizontal="center" vertical="center"/>
    </xf>
    <xf numFmtId="0" fontId="67" fillId="22" borderId="57" xfId="6" applyFont="1" applyFill="1" applyBorder="1" applyAlignment="1">
      <alignment horizontal="center" vertical="center" wrapText="1"/>
    </xf>
    <xf numFmtId="14" fontId="67" fillId="22" borderId="57" xfId="6" applyNumberFormat="1" applyFont="1" applyFill="1" applyBorder="1" applyAlignment="1">
      <alignment horizontal="center" vertical="center" wrapText="1"/>
    </xf>
    <xf numFmtId="165" fontId="67" fillId="22" borderId="57" xfId="6" applyNumberFormat="1" applyFont="1" applyFill="1" applyBorder="1" applyAlignment="1">
      <alignment horizontal="center" vertical="center" wrapText="1"/>
    </xf>
    <xf numFmtId="168" fontId="67" fillId="22" borderId="57" xfId="6" applyNumberFormat="1" applyFont="1" applyFill="1" applyBorder="1" applyAlignment="1">
      <alignment horizontal="center" vertical="center" wrapText="1"/>
    </xf>
    <xf numFmtId="0" fontId="67" fillId="22" borderId="1" xfId="6" applyFont="1" applyFill="1" applyAlignment="1">
      <alignment horizontal="center" vertical="center"/>
    </xf>
    <xf numFmtId="0" fontId="13" fillId="22" borderId="15" xfId="6" applyFont="1" applyFill="1" applyBorder="1" applyAlignment="1">
      <alignment horizontal="center" vertical="center" wrapText="1"/>
    </xf>
    <xf numFmtId="14" fontId="13" fillId="22" borderId="15" xfId="6" applyNumberFormat="1" applyFont="1" applyFill="1" applyBorder="1" applyAlignment="1">
      <alignment horizontal="center" vertical="center" wrapText="1"/>
    </xf>
    <xf numFmtId="0" fontId="13" fillId="22" borderId="15" xfId="6" applyFont="1" applyFill="1" applyBorder="1" applyAlignment="1">
      <alignment horizontal="left" vertical="center" wrapText="1"/>
    </xf>
    <xf numFmtId="6" fontId="13" fillId="22" borderId="15" xfId="6" applyNumberFormat="1" applyFont="1" applyFill="1" applyBorder="1" applyAlignment="1">
      <alignment horizontal="left" vertical="center" wrapText="1"/>
    </xf>
    <xf numFmtId="0" fontId="13" fillId="22" borderId="1" xfId="6" applyFont="1" applyFill="1" applyAlignment="1">
      <alignment horizontal="center" wrapText="1"/>
    </xf>
    <xf numFmtId="0" fontId="25" fillId="23" borderId="1" xfId="6" applyFont="1" applyFill="1" applyAlignment="1">
      <alignment horizontal="left" vertical="center" wrapText="1"/>
    </xf>
    <xf numFmtId="164" fontId="14" fillId="23" borderId="11" xfId="7" applyNumberFormat="1" applyFill="1" applyBorder="1" applyAlignment="1">
      <alignment horizontal="right" vertical="top"/>
    </xf>
    <xf numFmtId="0" fontId="25" fillId="23" borderId="1" xfId="6" applyFont="1" applyFill="1" applyAlignment="1">
      <alignment horizontal="left" vertical="top" wrapText="1"/>
    </xf>
    <xf numFmtId="164" fontId="14" fillId="23" borderId="41" xfId="7" applyNumberFormat="1" applyFill="1" applyBorder="1" applyAlignment="1">
      <alignment horizontal="right" vertical="top"/>
    </xf>
    <xf numFmtId="165" fontId="25" fillId="23" borderId="1" xfId="7" applyNumberFormat="1" applyFont="1" applyFill="1" applyAlignment="1" applyProtection="1">
      <alignment horizontal="left" vertical="top"/>
      <protection locked="0"/>
    </xf>
    <xf numFmtId="165" fontId="25" fillId="23" borderId="1" xfId="7" applyNumberFormat="1" applyFont="1" applyFill="1" applyAlignment="1" applyProtection="1">
      <alignment horizontal="left" vertical="top" wrapText="1"/>
      <protection locked="0"/>
    </xf>
    <xf numFmtId="0" fontId="25" fillId="23" borderId="1" xfId="7" applyFont="1" applyFill="1" applyAlignment="1" applyProtection="1">
      <alignment horizontal="left" vertical="top" wrapText="1"/>
      <protection locked="0"/>
    </xf>
    <xf numFmtId="0" fontId="25" fillId="23" borderId="1" xfId="7" applyFont="1" applyFill="1" applyAlignment="1" applyProtection="1">
      <alignment horizontal="left" vertical="center" wrapText="1"/>
      <protection locked="0"/>
    </xf>
    <xf numFmtId="0" fontId="12" fillId="23" borderId="1" xfId="7" applyFont="1" applyFill="1" applyAlignment="1" applyProtection="1">
      <alignment horizontal="left" vertical="top" wrapText="1"/>
      <protection locked="0"/>
    </xf>
    <xf numFmtId="0" fontId="66" fillId="23" borderId="1" xfId="7" applyFont="1" applyFill="1" applyAlignment="1" applyProtection="1">
      <alignment horizontal="left" vertical="top" wrapText="1"/>
      <protection locked="0"/>
    </xf>
    <xf numFmtId="0" fontId="14" fillId="23" borderId="1" xfId="7" applyFill="1" applyAlignment="1" applyProtection="1">
      <alignment horizontal="left" vertical="top" wrapText="1"/>
      <protection locked="0"/>
    </xf>
    <xf numFmtId="0" fontId="12" fillId="23" borderId="1" xfId="6" applyFont="1" applyFill="1" applyAlignment="1">
      <alignment horizontal="left" vertical="center" wrapText="1"/>
    </xf>
    <xf numFmtId="0" fontId="12" fillId="23" borderId="1" xfId="6" applyFont="1" applyFill="1" applyAlignment="1">
      <alignment horizontal="left" vertical="top" wrapText="1"/>
    </xf>
    <xf numFmtId="165" fontId="12" fillId="23" borderId="1" xfId="7" applyNumberFormat="1" applyFont="1" applyFill="1" applyAlignment="1" applyProtection="1">
      <alignment horizontal="left" vertical="top"/>
      <protection locked="0"/>
    </xf>
    <xf numFmtId="0" fontId="12" fillId="23" borderId="1" xfId="7" applyFont="1" applyFill="1" applyAlignment="1" applyProtection="1">
      <alignment horizontal="left" vertical="center" wrapText="1"/>
      <protection locked="0"/>
    </xf>
    <xf numFmtId="165" fontId="12" fillId="23" borderId="1" xfId="7" applyNumberFormat="1" applyFont="1" applyFill="1" applyAlignment="1" applyProtection="1">
      <alignment horizontal="left" vertical="top" wrapText="1"/>
      <protection locked="0"/>
    </xf>
    <xf numFmtId="4" fontId="68" fillId="0" borderId="57" xfId="10" applyNumberFormat="1" applyFont="1" applyBorder="1" applyAlignment="1">
      <alignment horizontal="right" vertical="top"/>
    </xf>
    <xf numFmtId="14" fontId="68" fillId="0" borderId="57" xfId="10" applyNumberFormat="1" applyFont="1" applyBorder="1" applyAlignment="1">
      <alignment horizontal="center" vertical="top" wrapText="1"/>
    </xf>
    <xf numFmtId="0" fontId="68" fillId="0" borderId="57" xfId="10" applyFont="1" applyBorder="1" applyAlignment="1">
      <alignment horizontal="center" vertical="top" wrapText="1"/>
    </xf>
    <xf numFmtId="0" fontId="48" fillId="0" borderId="1" xfId="10" applyFont="1" applyAlignment="1">
      <alignment horizontal="right" wrapText="1"/>
    </xf>
    <xf numFmtId="0" fontId="50" fillId="0" borderId="1" xfId="10" applyFont="1" applyAlignment="1">
      <alignment horizontal="left" vertical="top"/>
    </xf>
    <xf numFmtId="164" fontId="52" fillId="0" borderId="32" xfId="10" applyNumberFormat="1" applyFont="1" applyBorder="1" applyAlignment="1">
      <alignment horizontal="right" vertical="top" wrapText="1"/>
    </xf>
    <xf numFmtId="0" fontId="12" fillId="0" borderId="32" xfId="10" applyFont="1" applyBorder="1" applyAlignment="1">
      <alignment horizontal="left" vertical="top" wrapText="1"/>
    </xf>
    <xf numFmtId="0" fontId="69" fillId="0" borderId="32" xfId="10" applyFont="1" applyBorder="1" applyAlignment="1">
      <alignment horizontal="left" vertical="top" wrapText="1"/>
    </xf>
    <xf numFmtId="0" fontId="13" fillId="0" borderId="53" xfId="10" applyFont="1" applyBorder="1" applyAlignment="1">
      <alignment horizontal="left" vertical="top" wrapText="1"/>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58" fillId="0" borderId="15" xfId="10" applyFont="1" applyBorder="1" applyAlignment="1">
      <alignment horizontal="left"/>
    </xf>
    <xf numFmtId="0" fontId="4" fillId="0" borderId="15" xfId="0" applyFont="1" applyBorder="1" applyAlignment="1">
      <alignment horizontal="left" vertical="top" wrapText="1"/>
    </xf>
    <xf numFmtId="0" fontId="12" fillId="0" borderId="15" xfId="6" applyFont="1" applyBorder="1" applyAlignment="1">
      <alignment horizontal="left" vertical="top" wrapText="1"/>
    </xf>
    <xf numFmtId="0" fontId="12" fillId="0" borderId="15" xfId="0" applyFont="1" applyBorder="1" applyAlignment="1">
      <alignment vertical="top" wrapText="1"/>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62" fillId="0" borderId="3" xfId="0" applyFont="1" applyBorder="1" applyAlignment="1">
      <alignment horizontal="left" vertical="top"/>
    </xf>
    <xf numFmtId="0" fontId="62" fillId="0" borderId="3" xfId="0" applyFont="1" applyBorder="1" applyAlignment="1">
      <alignment horizontal="center" vertical="top"/>
    </xf>
    <xf numFmtId="14" fontId="62" fillId="0" borderId="3" xfId="0" applyNumberFormat="1" applyFont="1" applyBorder="1" applyAlignment="1">
      <alignment horizontal="center" vertical="top"/>
    </xf>
    <xf numFmtId="0" fontId="62" fillId="0" borderId="3" xfId="0" applyFont="1" applyBorder="1" applyAlignment="1">
      <alignment horizontal="left" vertical="top" wrapText="1"/>
    </xf>
    <xf numFmtId="0" fontId="0" fillId="0" borderId="3" xfId="0" applyBorder="1"/>
    <xf numFmtId="169" fontId="0" fillId="0" borderId="3" xfId="0" applyNumberFormat="1" applyBorder="1"/>
    <xf numFmtId="16" fontId="4" fillId="0" borderId="15" xfId="0" quotePrefix="1" applyNumberFormat="1" applyFont="1" applyBorder="1" applyAlignment="1">
      <alignment horizontal="center" vertical="top"/>
    </xf>
    <xf numFmtId="0" fontId="4" fillId="0" borderId="15" xfId="0" applyFont="1" applyBorder="1" applyAlignment="1">
      <alignment horizontal="center" vertical="center"/>
    </xf>
    <xf numFmtId="0" fontId="58" fillId="0" borderId="15" xfId="10" applyFont="1" applyBorder="1"/>
    <xf numFmtId="0" fontId="58" fillId="0" borderId="15" xfId="10" applyFont="1" applyBorder="1" applyAlignment="1">
      <alignment horizontal="left" vertical="top"/>
    </xf>
    <xf numFmtId="0" fontId="60" fillId="0" borderId="3" xfId="0" applyFont="1" applyBorder="1" applyAlignment="1">
      <alignment vertical="top"/>
    </xf>
    <xf numFmtId="0" fontId="62" fillId="0" borderId="3" xfId="6" applyFont="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0" fontId="63" fillId="0" borderId="3" xfId="10" applyNumberFormat="1" applyFont="1" applyBorder="1" applyAlignment="1">
      <alignment horizontal="left" vertical="top"/>
    </xf>
    <xf numFmtId="0" fontId="12" fillId="0" borderId="3" xfId="10" applyFont="1" applyBorder="1" applyAlignment="1">
      <alignment horizontal="left" vertical="top"/>
    </xf>
    <xf numFmtId="165" fontId="63" fillId="0" borderId="3" xfId="10" applyNumberFormat="1" applyFont="1" applyBorder="1" applyAlignment="1">
      <alignment horizontal="right" vertical="top"/>
    </xf>
    <xf numFmtId="0" fontId="63" fillId="0" borderId="3" xfId="0" applyFont="1" applyBorder="1" applyAlignment="1">
      <alignment horizontal="left" vertical="top"/>
    </xf>
    <xf numFmtId="169" fontId="63" fillId="0" borderId="3" xfId="0" applyNumberFormat="1" applyFont="1" applyBorder="1" applyAlignment="1">
      <alignment horizontal="center" vertical="top"/>
    </xf>
    <xf numFmtId="0" fontId="64"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0" fontId="63" fillId="0" borderId="3" xfId="0" applyNumberFormat="1" applyFont="1" applyBorder="1" applyAlignment="1">
      <alignment horizontal="left" vertical="top"/>
    </xf>
    <xf numFmtId="0" fontId="12" fillId="0" borderId="3" xfId="0" applyFont="1" applyBorder="1" applyAlignment="1">
      <alignment horizontal="left" vertical="top"/>
    </xf>
    <xf numFmtId="0" fontId="65" fillId="0" borderId="3" xfId="0" applyFont="1" applyBorder="1" applyAlignment="1">
      <alignment horizontal="left"/>
    </xf>
    <xf numFmtId="165" fontId="63" fillId="0" borderId="3" xfId="0" applyNumberFormat="1" applyFont="1" applyBorder="1" applyAlignment="1">
      <alignment horizontal="right" vertical="top"/>
    </xf>
    <xf numFmtId="0" fontId="65" fillId="0" borderId="3" xfId="0" applyFont="1" applyBorder="1" applyAlignment="1">
      <alignment horizontal="left" vertical="top"/>
    </xf>
    <xf numFmtId="49" fontId="63" fillId="0" borderId="3" xfId="0" applyNumberFormat="1" applyFont="1" applyBorder="1" applyAlignment="1">
      <alignment horizontal="left" vertical="top"/>
    </xf>
    <xf numFmtId="0" fontId="64" fillId="0" borderId="3" xfId="0" applyFont="1" applyBorder="1" applyAlignment="1">
      <alignment horizontal="left" vertical="top"/>
    </xf>
    <xf numFmtId="169"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0" borderId="3" xfId="9" applyFont="1" applyFill="1" applyBorder="1" applyAlignment="1">
      <alignment horizontal="left" vertical="top"/>
    </xf>
    <xf numFmtId="0" fontId="4" fillId="0" borderId="3" xfId="10" applyFont="1" applyBorder="1"/>
    <xf numFmtId="0" fontId="12" fillId="0" borderId="3" xfId="10" applyFont="1" applyBorder="1"/>
    <xf numFmtId="0" fontId="56" fillId="0" borderId="3" xfId="10" applyFont="1" applyBorder="1"/>
    <xf numFmtId="0" fontId="4" fillId="0" borderId="3" xfId="0" applyFont="1" applyBorder="1"/>
    <xf numFmtId="0" fontId="12" fillId="0" borderId="3" xfId="0" applyFont="1" applyBorder="1"/>
    <xf numFmtId="0" fontId="64" fillId="0" borderId="3" xfId="0" applyFont="1" applyBorder="1"/>
    <xf numFmtId="0" fontId="56" fillId="0" borderId="3" xfId="0" applyFont="1" applyBorder="1"/>
    <xf numFmtId="0" fontId="7" fillId="0" borderId="1" xfId="6" applyFont="1" applyAlignment="1">
      <alignment horizontal="left" wrapText="1"/>
    </xf>
    <xf numFmtId="14" fontId="7" fillId="0" borderId="1" xfId="6" applyNumberFormat="1" applyFont="1" applyAlignment="1">
      <alignment horizontal="left" wrapText="1"/>
    </xf>
    <xf numFmtId="0" fontId="1" fillId="0" borderId="1" xfId="6" applyFont="1" applyAlignment="1">
      <alignment horizontal="left" wrapText="1"/>
    </xf>
    <xf numFmtId="0" fontId="2" fillId="0" borderId="1" xfId="6" applyAlignment="1">
      <alignment wrapText="1"/>
    </xf>
    <xf numFmtId="49" fontId="7" fillId="0" borderId="1" xfId="6" applyNumberFormat="1" applyFont="1" applyAlignment="1">
      <alignment horizontal="left" wrapText="1"/>
    </xf>
    <xf numFmtId="0" fontId="7" fillId="0" borderId="1" xfId="6" applyFont="1" applyAlignment="1">
      <alignment horizontal="center" wrapText="1"/>
    </xf>
    <xf numFmtId="14" fontId="2" fillId="0" borderId="1" xfId="6" applyNumberFormat="1" applyAlignment="1">
      <alignment horizontal="left" wrapText="1"/>
    </xf>
    <xf numFmtId="0" fontId="6" fillId="0" borderId="1" xfId="6" applyFont="1" applyAlignment="1">
      <alignment horizontal="left" wrapText="1"/>
    </xf>
    <xf numFmtId="0" fontId="35" fillId="15" borderId="1" xfId="10" applyFont="1" applyFill="1" applyAlignment="1">
      <alignment horizontal="center" vertical="center"/>
    </xf>
    <xf numFmtId="0" fontId="35" fillId="13" borderId="1" xfId="10" applyFont="1" applyFill="1" applyAlignment="1">
      <alignment horizontal="center" vertical="center"/>
    </xf>
    <xf numFmtId="0" fontId="35" fillId="17" borderId="1" xfId="10" applyFont="1" applyFill="1" applyAlignment="1">
      <alignment horizontal="center" vertical="center"/>
    </xf>
    <xf numFmtId="0" fontId="35" fillId="18" borderId="1" xfId="10" applyFont="1" applyFill="1" applyAlignment="1">
      <alignment horizontal="center" vertical="center"/>
    </xf>
    <xf numFmtId="0" fontId="35" fillId="19" borderId="1" xfId="10" applyFont="1" applyFill="1" applyAlignment="1">
      <alignment horizontal="center" vertical="center"/>
    </xf>
    <xf numFmtId="0" fontId="28" fillId="0" borderId="1" xfId="10" applyFont="1" applyAlignment="1">
      <alignment horizontal="center"/>
    </xf>
    <xf numFmtId="0" fontId="30" fillId="0" borderId="1" xfId="10" applyFont="1" applyAlignment="1">
      <alignment horizontal="center"/>
    </xf>
    <xf numFmtId="0" fontId="30" fillId="0" borderId="4" xfId="10" applyFont="1" applyBorder="1" applyAlignment="1">
      <alignment horizontal="center" vertical="center"/>
    </xf>
    <xf numFmtId="167" fontId="30" fillId="0" borderId="4" xfId="10" applyNumberFormat="1" applyFont="1" applyBorder="1" applyAlignment="1" applyProtection="1">
      <alignment horizontal="center"/>
      <protection locked="0"/>
    </xf>
    <xf numFmtId="0" fontId="30" fillId="0" borderId="4" xfId="10" applyFont="1" applyBorder="1" applyAlignment="1" applyProtection="1">
      <alignment horizontal="center"/>
      <protection locked="0"/>
    </xf>
    <xf numFmtId="49" fontId="35" fillId="0" borderId="4" xfId="10" applyNumberFormat="1" applyFont="1" applyBorder="1" applyAlignment="1" applyProtection="1">
      <alignment horizontal="center"/>
      <protection locked="0"/>
    </xf>
    <xf numFmtId="0" fontId="30" fillId="0" borderId="4" xfId="10" applyFont="1" applyBorder="1" applyAlignment="1">
      <alignment horizontal="center"/>
    </xf>
    <xf numFmtId="0" fontId="32" fillId="0" borderId="1" xfId="10" applyFont="1" applyAlignment="1" applyProtection="1">
      <alignment horizontal="center"/>
      <protection locked="0"/>
    </xf>
    <xf numFmtId="0" fontId="34" fillId="9" borderId="1" xfId="10" applyFont="1" applyFill="1" applyAlignment="1">
      <alignment horizontal="center" vertical="center"/>
    </xf>
    <xf numFmtId="0" fontId="34" fillId="9" borderId="5" xfId="10" applyFont="1" applyFill="1" applyBorder="1" applyAlignment="1">
      <alignment horizontal="center" vertical="center"/>
    </xf>
    <xf numFmtId="0" fontId="35" fillId="9" borderId="1" xfId="10" applyFont="1" applyFill="1" applyAlignment="1">
      <alignment horizontal="center" vertical="center"/>
    </xf>
    <xf numFmtId="0" fontId="35" fillId="9" borderId="5" xfId="10" applyFont="1" applyFill="1" applyBorder="1" applyAlignment="1">
      <alignment horizontal="center" vertical="center"/>
    </xf>
    <xf numFmtId="0" fontId="35" fillId="9" borderId="4" xfId="10" applyFont="1" applyFill="1" applyBorder="1" applyAlignment="1">
      <alignment horizontal="center" vertical="center"/>
    </xf>
    <xf numFmtId="0" fontId="35" fillId="9" borderId="7" xfId="10" applyFont="1" applyFill="1" applyBorder="1" applyAlignment="1">
      <alignment horizontal="center" vertical="center"/>
    </xf>
    <xf numFmtId="0" fontId="35" fillId="11" borderId="1" xfId="10" applyFont="1" applyFill="1" applyAlignment="1">
      <alignment horizontal="center" vertical="center"/>
    </xf>
    <xf numFmtId="0" fontId="35" fillId="10" borderId="1" xfId="10" applyFont="1" applyFill="1" applyAlignment="1">
      <alignment horizontal="center" vertical="center"/>
    </xf>
    <xf numFmtId="0" fontId="35" fillId="14" borderId="1" xfId="10" applyFont="1" applyFill="1" applyAlignment="1">
      <alignment horizontal="center" vertical="center"/>
    </xf>
    <xf numFmtId="0" fontId="41" fillId="0" borderId="1" xfId="10" applyFont="1" applyAlignment="1">
      <alignment horizontal="justify" vertical="top" wrapText="1"/>
    </xf>
    <xf numFmtId="0" fontId="44" fillId="0" borderId="1" xfId="10" applyFont="1" applyAlignment="1">
      <alignment horizontal="justify" vertical="top" wrapText="1"/>
    </xf>
    <xf numFmtId="0" fontId="43" fillId="0" borderId="1" xfId="10" applyFont="1" applyAlignment="1">
      <alignment horizontal="left"/>
    </xf>
    <xf numFmtId="0" fontId="28" fillId="0" borderId="1" xfId="10" applyFont="1" applyAlignment="1">
      <alignment horizontal="left"/>
    </xf>
    <xf numFmtId="0" fontId="43" fillId="0" borderId="1" xfId="10" applyFont="1" applyAlignment="1">
      <alignment horizontal="center" vertical="top"/>
    </xf>
    <xf numFmtId="4" fontId="48" fillId="0" borderId="1" xfId="10" applyNumberFormat="1" applyFont="1" applyAlignment="1">
      <alignment horizontal="left" vertical="top" wrapText="1"/>
    </xf>
    <xf numFmtId="0" fontId="49" fillId="0" borderId="1" xfId="10" applyFont="1" applyAlignment="1">
      <alignment horizontal="left" vertical="center"/>
    </xf>
    <xf numFmtId="4" fontId="48" fillId="0" borderId="1" xfId="10" applyNumberFormat="1" applyFont="1" applyAlignment="1">
      <alignment horizontal="left" vertical="top"/>
    </xf>
    <xf numFmtId="0" fontId="70" fillId="0" borderId="1" xfId="10" applyFont="1" applyAlignment="1">
      <alignment horizontal="left" vertical="top" wrapText="1"/>
    </xf>
    <xf numFmtId="164" fontId="48" fillId="0" borderId="1" xfId="10" applyNumberFormat="1" applyFont="1" applyAlignment="1">
      <alignment horizontal="left" vertical="top" wrapText="1"/>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171" fontId="18" fillId="3" borderId="32" xfId="7" applyNumberFormat="1" applyFon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6" fillId="0" borderId="32" xfId="7" applyFont="1" applyBorder="1" applyAlignment="1">
      <alignment horizontal="center" vertical="center"/>
    </xf>
    <xf numFmtId="0" fontId="26"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12" name="Graphic 11">
          <a:extLst>
            <a:ext uri="{FF2B5EF4-FFF2-40B4-BE49-F238E27FC236}">
              <a16:creationId xmlns:a16="http://schemas.microsoft.com/office/drawing/2014/main" id="{0ADDE6AC-833D-4F2E-8D09-79A9FEFFD8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13" name="Graphic 1">
          <a:extLst>
            <a:ext uri="{FF2B5EF4-FFF2-40B4-BE49-F238E27FC236}">
              <a16:creationId xmlns:a16="http://schemas.microsoft.com/office/drawing/2014/main" id="{0C6E5752-B0C5-4655-B757-BB5C1A9B40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4" name="Graphic 1">
          <a:extLst>
            <a:ext uri="{FF2B5EF4-FFF2-40B4-BE49-F238E27FC236}">
              <a16:creationId xmlns:a16="http://schemas.microsoft.com/office/drawing/2014/main" id="{0F994586-E1C2-4D47-A9BE-C7AE8EE496AA}"/>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5" name="Graphic 1">
          <a:extLst>
            <a:ext uri="{FF2B5EF4-FFF2-40B4-BE49-F238E27FC236}">
              <a16:creationId xmlns:a16="http://schemas.microsoft.com/office/drawing/2014/main" id="{DCFC8698-1459-4F4D-90D3-D87211ABEFF0}"/>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6" name="Graphic 1">
          <a:extLst>
            <a:ext uri="{FF2B5EF4-FFF2-40B4-BE49-F238E27FC236}">
              <a16:creationId xmlns:a16="http://schemas.microsoft.com/office/drawing/2014/main" id="{32A5CF72-DDAB-4026-8E5D-E30908B589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esktop\Horizon\Roger%20Mills\31-12N-24W%20Roger%20Mills%20Co.%20Cursory%20Title%20Report%20(7-2-26)%20-%20NHE.xlsx" TargetMode="External"/><Relationship Id="rId1" Type="http://schemas.openxmlformats.org/officeDocument/2006/relationships/externalLinkPath" Target="31-12N-24W%20Roger%20Mills%20Co.%20Cursory%20Title%20Report%20(7-2-26)%20-%20NH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_CENTER"/>
      <sheetName val="Workbook_Map"/>
      <sheetName val="Cleanup_Prompts"/>
      <sheetName val="Overview"/>
      <sheetName val="P260702_Overview"/>
      <sheetName val="Title "/>
      <sheetName val="P260702_Title"/>
      <sheetName val="OGL"/>
      <sheetName val="P260702_OGL"/>
      <sheetName val="PLAT"/>
      <sheetName val="Runsheet"/>
      <sheetName val="P260702_Runsheet"/>
      <sheetName val="Tract 1"/>
      <sheetName val="P260702_Tract 1"/>
      <sheetName val="Tract 2"/>
      <sheetName val="P260702_Tract 2"/>
      <sheetName val="Tract 3"/>
      <sheetName val="P260702_Tract 3"/>
      <sheetName val="Tract 4"/>
      <sheetName val="P260702_Tract 4"/>
      <sheetName val="Tract 5"/>
      <sheetName val="P260702_Tract 5"/>
      <sheetName val="Tract 6"/>
      <sheetName val="P260702_Tract 6"/>
      <sheetName val="Tract 7"/>
      <sheetName val="P260702_Tract 7"/>
      <sheetName val="Tract 8"/>
      <sheetName val="P260702_Tract 8"/>
      <sheetName val="Tract 9"/>
      <sheetName val="P260702_Tract 9"/>
      <sheetName val="Tract 10"/>
      <sheetName val="P260702_Tract 10"/>
      <sheetName val="WI 1"/>
      <sheetName val="P260702_WI 1"/>
      <sheetName val="WI 2"/>
      <sheetName val="P260702_WI 2"/>
      <sheetName val="Well 1"/>
      <sheetName val="P260702_Well 1"/>
      <sheetName val="rawdata"/>
      <sheetName val="Change_Log"/>
      <sheetName val="BAK_Overview"/>
      <sheetName val="BAK_Title"/>
      <sheetName val="BAK_OGL"/>
      <sheetName val="BAK_PLAT"/>
      <sheetName val="BAK_Runsheet"/>
      <sheetName val="BAK_Tract 1"/>
      <sheetName val="BAK_Tract 2"/>
      <sheetName val="BAK_Tract 3"/>
      <sheetName val="BAK_Tract 4"/>
      <sheetName val="BAK_Tract 5"/>
      <sheetName val="BAK_Tract 6"/>
      <sheetName val="BAK_Tract 7"/>
      <sheetName val="BAK_Tract 8"/>
      <sheetName val="BAK_Tract 9"/>
      <sheetName val="BAK_Tract 10"/>
      <sheetName val="BAK_WI 1"/>
      <sheetName val="BAK_WI 2"/>
      <sheetName val="BAK_Well 1"/>
      <sheetName val="Extracted_Notes_Comments"/>
      <sheetName val="Addresses"/>
      <sheetName val="Notes_Cleanup_Review"/>
      <sheetName val="Parsed_Owner_Check"/>
      <sheetName val="Name_Index"/>
      <sheetName val="Needs_Review"/>
      <sheetName val="Conveyance_Audit"/>
      <sheetName val="Tract_Acreage_Check"/>
      <sheetName val="Well_640_Spacing_Check"/>
      <sheetName val="QA_Report"/>
      <sheetName val="Tract_Assignment_Audit"/>
      <sheetName val="Tract_Chain_Audit"/>
      <sheetName val="WI_Chain_Audit"/>
      <sheetName val="OGL_Title_Tract_Check"/>
      <sheetName val="Safe_Fill_Log"/>
      <sheetName val="Title_Sheet_Audit"/>
      <sheetName val="Title_Owner_Check"/>
      <sheetName val="Title_OGL_Check"/>
      <sheetName val="Title_WI_Check"/>
      <sheetName val="Title_Well_HBP_Check"/>
      <sheetName val="AI_CHANGE_LOG"/>
      <sheetName val="SOURCE_QUEUE"/>
      <sheetName val="QA_DocMap"/>
      <sheetName val="RunSheet_Clean"/>
      <sheetName val="OGL_Verified"/>
      <sheetName val="Owner_Ledger_Final"/>
      <sheetName val="WI_Chain_Final"/>
      <sheetName val="Curative_Requirements"/>
      <sheetName val="P260702_Curative_Req"/>
      <sheetName val="Exceptions_Title_Issues"/>
      <sheetName val="P260702_Exceptions"/>
      <sheetName val="Final_Chain_QA"/>
      <sheetName val="Final_Title_QA"/>
      <sheetName val="Source_Index_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D5">
            <v>80</v>
          </cell>
        </row>
      </sheetData>
      <sheetData sheetId="19"/>
      <sheetData sheetId="20"/>
      <sheetData sheetId="21"/>
      <sheetData sheetId="22"/>
      <sheetData sheetId="23"/>
      <sheetData sheetId="24">
        <row r="5">
          <cell r="D5">
            <v>40</v>
          </cell>
        </row>
      </sheetData>
      <sheetData sheetId="25"/>
      <sheetData sheetId="26"/>
      <sheetData sheetId="27"/>
      <sheetData sheetId="28"/>
      <sheetData sheetId="29"/>
      <sheetData sheetId="30"/>
      <sheetData sheetId="31"/>
      <sheetData sheetId="32"/>
      <sheetData sheetId="33"/>
      <sheetData sheetId="34">
        <row r="15">
          <cell r="C15">
            <v>114.18230799999999</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0E774A-03A0-4A5E-B0DB-3CC5DBFA4BFC}">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5"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26-00251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L9" sqref="AL9"/>
    </sheetView>
  </sheetViews>
  <sheetFormatPr defaultColWidth="8.42578125" defaultRowHeight="12.75" x14ac:dyDescent="0.2"/>
  <cols>
    <col min="1" max="1" width="2.42578125" style="134" customWidth="1"/>
    <col min="2" max="33" width="2.85546875" style="134" customWidth="1"/>
    <col min="34" max="34" width="2.42578125" style="134" customWidth="1"/>
    <col min="35" max="16384" width="8.42578125" style="134"/>
  </cols>
  <sheetData>
    <row r="1" spans="1:34" ht="105" customHeight="1" x14ac:dyDescent="0.2">
      <c r="A1" s="506"/>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row>
    <row r="2" spans="1:34" ht="8.25" customHeight="1" x14ac:dyDescent="0.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row>
    <row r="3" spans="1:34" ht="21" customHeight="1" x14ac:dyDescent="0.35">
      <c r="A3" s="135"/>
      <c r="B3" s="135"/>
      <c r="D3" s="507" t="s">
        <v>133</v>
      </c>
      <c r="E3" s="507"/>
      <c r="F3" s="507"/>
      <c r="G3" s="507"/>
      <c r="H3" s="507"/>
      <c r="I3" s="507"/>
      <c r="J3" s="507"/>
      <c r="K3" s="507"/>
      <c r="L3" s="507"/>
      <c r="M3" s="507"/>
      <c r="N3" s="507"/>
      <c r="O3" s="507"/>
      <c r="P3" s="137"/>
      <c r="Q3" s="508" t="s">
        <v>95</v>
      </c>
      <c r="R3" s="508"/>
      <c r="S3" s="508"/>
      <c r="T3" s="508"/>
      <c r="U3" s="508"/>
      <c r="V3" s="508"/>
      <c r="W3" s="508"/>
      <c r="X3" s="508"/>
      <c r="Y3" s="508"/>
      <c r="Z3" s="508"/>
      <c r="AA3" s="508"/>
      <c r="AB3" s="508"/>
      <c r="AC3" s="508"/>
      <c r="AD3" s="508"/>
      <c r="AE3" s="508"/>
      <c r="AF3" s="508"/>
    </row>
    <row r="4" spans="1:34" ht="8.25" customHeight="1" x14ac:dyDescent="0.35">
      <c r="A4" s="138"/>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8"/>
    </row>
    <row r="5" spans="1:34" ht="21" customHeight="1" x14ac:dyDescent="0.35">
      <c r="A5" s="138"/>
      <c r="B5" s="139"/>
      <c r="C5" s="507" t="s">
        <v>134</v>
      </c>
      <c r="D5" s="507"/>
      <c r="E5" s="507"/>
      <c r="F5" s="507"/>
      <c r="G5" s="507"/>
      <c r="H5" s="509">
        <v>31</v>
      </c>
      <c r="I5" s="509"/>
      <c r="J5" s="509"/>
      <c r="K5" s="509"/>
      <c r="L5" s="507" t="s">
        <v>50</v>
      </c>
      <c r="M5" s="507"/>
      <c r="N5" s="507"/>
      <c r="O5" s="507"/>
      <c r="P5" s="507"/>
      <c r="Q5" s="507"/>
      <c r="R5" s="510" t="s">
        <v>135</v>
      </c>
      <c r="S5" s="510"/>
      <c r="T5" s="510"/>
      <c r="U5" s="510"/>
      <c r="V5" s="510"/>
      <c r="W5" s="510"/>
      <c r="X5" s="140"/>
      <c r="Y5" s="507" t="s">
        <v>51</v>
      </c>
      <c r="Z5" s="507"/>
      <c r="AA5" s="507"/>
      <c r="AB5" s="507"/>
      <c r="AC5" s="510" t="s">
        <v>96</v>
      </c>
      <c r="AD5" s="510"/>
      <c r="AE5" s="510"/>
      <c r="AF5" s="510"/>
      <c r="AG5" s="510"/>
      <c r="AH5" s="140"/>
    </row>
    <row r="6" spans="1:34" ht="8.25" customHeight="1" x14ac:dyDescent="0.35">
      <c r="A6" s="138"/>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8"/>
    </row>
    <row r="7" spans="1:34" ht="21" customHeight="1" x14ac:dyDescent="0.35">
      <c r="A7" s="138"/>
      <c r="D7" s="507" t="s">
        <v>52</v>
      </c>
      <c r="E7" s="507"/>
      <c r="F7" s="507"/>
      <c r="G7" s="507"/>
      <c r="H7" s="512" t="s">
        <v>97</v>
      </c>
      <c r="I7" s="512"/>
      <c r="J7" s="512"/>
      <c r="K7" s="512"/>
      <c r="L7" s="512"/>
      <c r="M7" s="512"/>
      <c r="N7" s="512"/>
      <c r="O7" s="512"/>
      <c r="P7" s="136"/>
      <c r="Q7" s="136"/>
      <c r="R7" s="136"/>
      <c r="S7" s="136"/>
      <c r="T7" s="136"/>
      <c r="U7" s="507" t="s">
        <v>136</v>
      </c>
      <c r="V7" s="507"/>
      <c r="W7" s="507"/>
      <c r="X7" s="512" t="s">
        <v>53</v>
      </c>
      <c r="Y7" s="512"/>
      <c r="Z7" s="512"/>
      <c r="AA7" s="512"/>
      <c r="AB7" s="512"/>
      <c r="AC7" s="512"/>
      <c r="AD7" s="512"/>
      <c r="AE7" s="512"/>
      <c r="AF7" s="512"/>
      <c r="AG7" s="136"/>
      <c r="AH7" s="136"/>
    </row>
    <row r="8" spans="1:34" ht="8.25" customHeight="1"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row>
    <row r="9" spans="1:34" ht="21" customHeight="1" x14ac:dyDescent="0.35">
      <c r="B9" s="513" t="s">
        <v>137</v>
      </c>
      <c r="C9" s="513"/>
      <c r="D9" s="513"/>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141"/>
    </row>
    <row r="10" spans="1:34" ht="7.5" customHeight="1" thickBot="1" x14ac:dyDescent="0.35">
      <c r="A10" s="138"/>
      <c r="B10" s="142"/>
      <c r="C10" s="143"/>
      <c r="D10" s="143"/>
      <c r="E10" s="143"/>
      <c r="F10" s="143"/>
      <c r="G10" s="144"/>
      <c r="H10" s="144"/>
      <c r="I10" s="144"/>
      <c r="J10" s="144"/>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row>
    <row r="11" spans="1:34" ht="15" customHeight="1" x14ac:dyDescent="0.2">
      <c r="A11" s="145"/>
      <c r="B11" s="146"/>
      <c r="C11" s="146"/>
      <c r="D11" s="146"/>
      <c r="E11" s="146"/>
      <c r="F11" s="147"/>
      <c r="G11" s="148"/>
      <c r="H11" s="148"/>
      <c r="I11" s="149"/>
      <c r="J11" s="150"/>
      <c r="K11" s="150"/>
      <c r="L11" s="150"/>
      <c r="M11" s="150"/>
      <c r="N11" s="150"/>
      <c r="O11" s="150"/>
      <c r="P11" s="150"/>
      <c r="Q11" s="151"/>
      <c r="R11" s="152"/>
      <c r="S11" s="152"/>
      <c r="T11" s="152"/>
      <c r="U11" s="152"/>
      <c r="V11" s="152"/>
      <c r="W11" s="152"/>
      <c r="X11" s="152"/>
      <c r="Y11" s="152"/>
      <c r="Z11" s="152"/>
      <c r="AA11" s="152"/>
      <c r="AB11" s="152"/>
      <c r="AC11" s="152"/>
      <c r="AD11" s="152"/>
      <c r="AE11" s="152"/>
      <c r="AF11" s="152"/>
      <c r="AG11" s="153"/>
    </row>
    <row r="12" spans="1:34" ht="15" customHeight="1" x14ac:dyDescent="0.2">
      <c r="A12" s="145"/>
      <c r="B12" s="146"/>
      <c r="C12" s="146"/>
      <c r="D12" s="146"/>
      <c r="E12" s="146"/>
      <c r="F12" s="147"/>
      <c r="G12" s="154"/>
      <c r="H12" s="155"/>
      <c r="I12" s="156"/>
      <c r="J12" s="157"/>
      <c r="K12" s="157"/>
      <c r="L12" s="157"/>
      <c r="M12" s="157"/>
      <c r="N12" s="158"/>
      <c r="O12" s="158"/>
      <c r="P12" s="158"/>
      <c r="Q12" s="159"/>
      <c r="R12" s="160"/>
      <c r="S12" s="160"/>
      <c r="T12" s="160"/>
      <c r="U12" s="160"/>
      <c r="V12" s="160"/>
      <c r="W12" s="160"/>
      <c r="X12" s="160"/>
      <c r="Y12" s="160"/>
      <c r="Z12" s="160"/>
      <c r="AA12" s="160"/>
      <c r="AB12" s="160"/>
      <c r="AC12" s="160"/>
      <c r="AD12" s="160"/>
      <c r="AE12" s="160"/>
      <c r="AF12" s="160"/>
      <c r="AG12" s="161"/>
    </row>
    <row r="13" spans="1:34" ht="15" customHeight="1" x14ac:dyDescent="0.2">
      <c r="A13" s="145"/>
      <c r="B13" s="162"/>
      <c r="C13" s="146"/>
      <c r="D13" s="146"/>
      <c r="E13" s="146"/>
      <c r="F13" s="147"/>
      <c r="G13" s="163"/>
      <c r="H13" s="155"/>
      <c r="I13" s="156"/>
      <c r="J13" s="157"/>
      <c r="K13" s="157"/>
      <c r="L13" s="157"/>
      <c r="M13" s="157"/>
      <c r="N13" s="158"/>
      <c r="O13" s="158"/>
      <c r="P13" s="158"/>
      <c r="Q13" s="159"/>
      <c r="R13" s="160"/>
      <c r="S13" s="160"/>
      <c r="T13" s="160"/>
      <c r="U13" s="160"/>
      <c r="V13" s="160"/>
      <c r="W13" s="160"/>
      <c r="X13" s="160"/>
      <c r="Y13" s="160"/>
      <c r="Z13" s="160"/>
      <c r="AA13" s="160"/>
      <c r="AB13" s="160"/>
      <c r="AC13" s="160"/>
      <c r="AD13" s="160"/>
      <c r="AE13" s="160"/>
      <c r="AF13" s="160"/>
      <c r="AG13" s="161"/>
    </row>
    <row r="14" spans="1:34" ht="15" customHeight="1" x14ac:dyDescent="0.2">
      <c r="A14" s="145"/>
      <c r="B14" s="514" t="s">
        <v>138</v>
      </c>
      <c r="C14" s="514"/>
      <c r="D14" s="514"/>
      <c r="E14" s="514"/>
      <c r="F14" s="515"/>
      <c r="G14" s="163"/>
      <c r="H14" s="155"/>
      <c r="I14" s="156"/>
      <c r="J14" s="164"/>
      <c r="K14" s="157"/>
      <c r="L14" s="158"/>
      <c r="M14" s="158"/>
      <c r="N14" s="158"/>
      <c r="O14" s="158"/>
      <c r="P14" s="158"/>
      <c r="Q14" s="159"/>
      <c r="R14" s="160"/>
      <c r="S14" s="160"/>
      <c r="T14" s="160"/>
      <c r="U14" s="160"/>
      <c r="V14" s="165"/>
      <c r="W14" s="166"/>
      <c r="X14" s="160"/>
      <c r="Y14" s="160" t="s">
        <v>8</v>
      </c>
      <c r="Z14" s="160"/>
      <c r="AA14" s="160"/>
      <c r="AB14" s="160"/>
      <c r="AC14" s="160"/>
      <c r="AD14" s="165"/>
      <c r="AE14" s="166"/>
      <c r="AF14" s="160"/>
      <c r="AG14" s="161"/>
    </row>
    <row r="15" spans="1:34" ht="15" customHeight="1" x14ac:dyDescent="0.2">
      <c r="A15" s="145"/>
      <c r="B15" s="162"/>
      <c r="C15" s="146"/>
      <c r="D15" s="167"/>
      <c r="E15" s="167"/>
      <c r="F15" s="147"/>
      <c r="G15" s="163"/>
      <c r="H15" s="155"/>
      <c r="I15" s="156"/>
      <c r="J15" s="168"/>
      <c r="K15" s="168"/>
      <c r="L15" s="158"/>
      <c r="M15" s="158"/>
      <c r="N15" s="158"/>
      <c r="O15" s="158"/>
      <c r="P15" s="158"/>
      <c r="Q15" s="159"/>
      <c r="R15" s="160"/>
      <c r="S15" s="160"/>
      <c r="T15" s="160"/>
      <c r="U15" s="160"/>
      <c r="V15" s="166"/>
      <c r="W15" s="166"/>
      <c r="X15" s="160"/>
      <c r="Y15" s="160"/>
      <c r="Z15" s="160"/>
      <c r="AA15" s="160"/>
      <c r="AB15" s="160"/>
      <c r="AC15" s="160"/>
      <c r="AD15" s="166"/>
      <c r="AE15" s="166"/>
      <c r="AF15" s="160"/>
      <c r="AG15" s="161"/>
    </row>
    <row r="16" spans="1:34" ht="15" customHeight="1" x14ac:dyDescent="0.2">
      <c r="A16" s="145"/>
      <c r="B16" s="162"/>
      <c r="C16" s="146"/>
      <c r="D16" s="146"/>
      <c r="E16" s="146"/>
      <c r="F16" s="147"/>
      <c r="G16" s="163"/>
      <c r="H16" s="155"/>
      <c r="I16" s="156"/>
      <c r="J16" s="158"/>
      <c r="K16" s="168"/>
      <c r="L16" s="158"/>
      <c r="M16" s="158"/>
      <c r="N16" s="158"/>
      <c r="O16" s="158"/>
      <c r="P16" s="158"/>
      <c r="Q16" s="159"/>
      <c r="R16" s="160"/>
      <c r="S16" s="160"/>
      <c r="T16" s="160"/>
      <c r="U16" s="160"/>
      <c r="V16" s="160"/>
      <c r="W16" s="160"/>
      <c r="X16" s="160"/>
      <c r="Y16" s="160"/>
      <c r="Z16" s="160"/>
      <c r="AA16" s="160"/>
      <c r="AB16" s="160"/>
      <c r="AC16" s="160"/>
      <c r="AD16" s="160"/>
      <c r="AE16" s="160"/>
      <c r="AF16" s="160"/>
      <c r="AG16" s="161"/>
    </row>
    <row r="17" spans="1:34" ht="15" customHeight="1" x14ac:dyDescent="0.2">
      <c r="A17" s="145"/>
      <c r="B17" s="162"/>
      <c r="C17" s="146"/>
      <c r="D17" s="146"/>
      <c r="E17" s="516"/>
      <c r="F17" s="517"/>
      <c r="G17" s="154"/>
      <c r="H17" s="155"/>
      <c r="I17" s="156"/>
      <c r="J17" s="158"/>
      <c r="K17" s="158"/>
      <c r="L17" s="158"/>
      <c r="M17" s="158"/>
      <c r="N17" s="158"/>
      <c r="O17" s="158"/>
      <c r="P17" s="158"/>
      <c r="Q17" s="159"/>
      <c r="R17" s="166"/>
      <c r="S17" s="160"/>
      <c r="T17" s="160"/>
      <c r="U17" s="160"/>
      <c r="V17" s="166"/>
      <c r="W17" s="166"/>
      <c r="X17" s="166"/>
      <c r="Y17" s="166"/>
      <c r="Z17" s="160"/>
      <c r="AA17" s="160"/>
      <c r="AB17" s="160"/>
      <c r="AC17" s="160"/>
      <c r="AD17" s="166"/>
      <c r="AE17" s="166"/>
      <c r="AF17" s="166"/>
      <c r="AG17" s="161"/>
    </row>
    <row r="18" spans="1:34" ht="15" customHeight="1" x14ac:dyDescent="0.2">
      <c r="A18" s="145"/>
      <c r="B18" s="169"/>
      <c r="C18" s="170"/>
      <c r="D18" s="170"/>
      <c r="E18" s="518"/>
      <c r="F18" s="519"/>
      <c r="G18" s="154"/>
      <c r="H18" s="155"/>
      <c r="I18" s="156"/>
      <c r="J18" s="158"/>
      <c r="K18" s="158"/>
      <c r="L18" s="158"/>
      <c r="M18" s="520" t="s">
        <v>61</v>
      </c>
      <c r="N18" s="520"/>
      <c r="O18" s="158"/>
      <c r="P18" s="158"/>
      <c r="Q18" s="159"/>
      <c r="R18" s="171"/>
      <c r="S18" s="172"/>
      <c r="T18" s="172"/>
      <c r="U18" s="172"/>
      <c r="V18" s="172"/>
      <c r="W18" s="172"/>
      <c r="X18" s="172"/>
      <c r="Y18" s="172"/>
      <c r="Z18" s="172"/>
      <c r="AA18" s="172"/>
      <c r="AB18" s="172"/>
      <c r="AC18" s="172"/>
      <c r="AD18" s="173"/>
      <c r="AE18" s="173"/>
      <c r="AF18" s="173"/>
      <c r="AG18" s="174"/>
    </row>
    <row r="19" spans="1:34" ht="15" customHeight="1" x14ac:dyDescent="0.2">
      <c r="A19" s="145"/>
      <c r="B19" s="175"/>
      <c r="C19" s="155"/>
      <c r="D19" s="155"/>
      <c r="E19" s="521"/>
      <c r="F19" s="521"/>
      <c r="G19" s="154"/>
      <c r="H19" s="155"/>
      <c r="I19" s="156"/>
      <c r="J19" s="158"/>
      <c r="K19" s="158"/>
      <c r="L19" s="158"/>
      <c r="M19" s="520"/>
      <c r="N19" s="520"/>
      <c r="O19" s="158"/>
      <c r="P19" s="158"/>
      <c r="Q19" s="159"/>
      <c r="R19" s="176"/>
      <c r="S19" s="176"/>
      <c r="T19" s="177"/>
      <c r="U19" s="177"/>
      <c r="V19" s="178"/>
      <c r="W19" s="178"/>
      <c r="X19" s="179"/>
      <c r="Y19" s="180"/>
      <c r="Z19" s="181"/>
      <c r="AA19" s="181"/>
      <c r="AB19" s="182"/>
      <c r="AC19" s="182"/>
      <c r="AD19" s="183"/>
      <c r="AE19" s="183"/>
      <c r="AF19" s="184"/>
      <c r="AG19" s="185"/>
    </row>
    <row r="20" spans="1:34" ht="15" customHeight="1" x14ac:dyDescent="0.2">
      <c r="A20" s="145"/>
      <c r="B20" s="175"/>
      <c r="C20" s="155"/>
      <c r="D20" s="155"/>
      <c r="E20" s="521"/>
      <c r="F20" s="521"/>
      <c r="G20" s="154"/>
      <c r="H20" s="155"/>
      <c r="I20" s="156"/>
      <c r="J20" s="158"/>
      <c r="K20" s="158"/>
      <c r="L20" s="158"/>
      <c r="M20" s="158"/>
      <c r="N20" s="158"/>
      <c r="O20" s="158"/>
      <c r="P20" s="158"/>
      <c r="Q20" s="159"/>
      <c r="R20" s="176"/>
      <c r="S20" s="176"/>
      <c r="T20" s="176"/>
      <c r="U20" s="176"/>
      <c r="V20" s="179"/>
      <c r="W20" s="179"/>
      <c r="X20" s="179"/>
      <c r="Y20" s="180"/>
      <c r="Z20" s="181"/>
      <c r="AA20" s="181"/>
      <c r="AB20" s="181"/>
      <c r="AC20" s="181"/>
      <c r="AD20" s="184"/>
      <c r="AE20" s="184"/>
      <c r="AF20" s="184"/>
      <c r="AG20" s="185"/>
    </row>
    <row r="21" spans="1:34" ht="15" customHeight="1" x14ac:dyDescent="0.2">
      <c r="A21" s="145"/>
      <c r="B21" s="155"/>
      <c r="C21" s="155"/>
      <c r="D21" s="155"/>
      <c r="E21" s="155"/>
      <c r="F21" s="155"/>
      <c r="G21" s="155"/>
      <c r="H21" s="155"/>
      <c r="I21" s="156"/>
      <c r="J21" s="157"/>
      <c r="K21" s="157"/>
      <c r="L21" s="157"/>
      <c r="M21" s="157"/>
      <c r="N21" s="158"/>
      <c r="O21" s="158"/>
      <c r="P21" s="158"/>
      <c r="Q21" s="159"/>
      <c r="R21" s="176"/>
      <c r="S21" s="176"/>
      <c r="T21" s="176"/>
      <c r="U21" s="176"/>
      <c r="V21" s="179"/>
      <c r="W21" s="179"/>
      <c r="X21" s="179"/>
      <c r="Y21" s="180"/>
      <c r="Z21" s="181"/>
      <c r="AA21" s="181"/>
      <c r="AB21" s="181"/>
      <c r="AC21" s="181"/>
      <c r="AD21" s="184"/>
      <c r="AE21" s="184"/>
      <c r="AF21" s="184"/>
      <c r="AG21" s="185"/>
    </row>
    <row r="22" spans="1:34" ht="15" customHeight="1" x14ac:dyDescent="0.2">
      <c r="A22" s="145"/>
      <c r="B22" s="186"/>
      <c r="C22" s="187"/>
      <c r="D22" s="187"/>
      <c r="E22" s="521" t="s">
        <v>88</v>
      </c>
      <c r="F22" s="521"/>
      <c r="G22" s="187"/>
      <c r="H22" s="187"/>
      <c r="I22" s="156"/>
      <c r="J22" s="164"/>
      <c r="K22" s="157"/>
      <c r="L22" s="158"/>
      <c r="M22" s="520"/>
      <c r="N22" s="520"/>
      <c r="O22" s="158"/>
      <c r="P22" s="158"/>
      <c r="Q22" s="159"/>
      <c r="R22" s="188"/>
      <c r="S22" s="176"/>
      <c r="T22" s="179"/>
      <c r="U22" s="502"/>
      <c r="V22" s="502"/>
      <c r="W22" s="179"/>
      <c r="X22" s="179"/>
      <c r="Y22" s="180"/>
      <c r="Z22" s="189"/>
      <c r="AA22" s="181"/>
      <c r="AB22" s="184"/>
      <c r="AC22" s="522" t="s">
        <v>9</v>
      </c>
      <c r="AD22" s="522"/>
      <c r="AE22" s="184"/>
      <c r="AF22" s="184"/>
      <c r="AG22" s="185"/>
    </row>
    <row r="23" spans="1:34" ht="15" customHeight="1" x14ac:dyDescent="0.2">
      <c r="A23" s="145"/>
      <c r="B23" s="186"/>
      <c r="C23" s="187"/>
      <c r="D23" s="187"/>
      <c r="E23" s="521"/>
      <c r="F23" s="521"/>
      <c r="G23" s="187"/>
      <c r="H23" s="187"/>
      <c r="I23" s="156"/>
      <c r="J23" s="168"/>
      <c r="K23" s="168"/>
      <c r="L23" s="158"/>
      <c r="M23" s="520"/>
      <c r="N23" s="520"/>
      <c r="O23" s="158"/>
      <c r="P23" s="158"/>
      <c r="Q23" s="159"/>
      <c r="R23" s="190"/>
      <c r="S23" s="190"/>
      <c r="T23" s="179"/>
      <c r="U23" s="502"/>
      <c r="V23" s="502"/>
      <c r="W23" s="179"/>
      <c r="X23" s="179"/>
      <c r="Y23" s="180"/>
      <c r="Z23" s="191"/>
      <c r="AA23" s="191"/>
      <c r="AB23" s="184"/>
      <c r="AC23" s="522"/>
      <c r="AD23" s="522"/>
      <c r="AE23" s="184"/>
      <c r="AF23" s="184"/>
      <c r="AG23" s="185"/>
      <c r="AH23" s="192"/>
    </row>
    <row r="24" spans="1:34" ht="15" customHeight="1" x14ac:dyDescent="0.2">
      <c r="A24" s="145"/>
      <c r="B24" s="186"/>
      <c r="C24" s="186"/>
      <c r="D24" s="186"/>
      <c r="E24" s="186"/>
      <c r="F24" s="186"/>
      <c r="G24" s="186"/>
      <c r="H24" s="186"/>
      <c r="I24" s="156"/>
      <c r="J24" s="158"/>
      <c r="K24" s="168"/>
      <c r="L24" s="158"/>
      <c r="M24" s="158"/>
      <c r="N24" s="158"/>
      <c r="O24" s="158"/>
      <c r="P24" s="158"/>
      <c r="Q24" s="159"/>
      <c r="R24" s="179"/>
      <c r="S24" s="190"/>
      <c r="T24" s="179"/>
      <c r="U24" s="179"/>
      <c r="V24" s="179"/>
      <c r="W24" s="179"/>
      <c r="X24" s="179"/>
      <c r="Y24" s="180"/>
      <c r="Z24" s="184"/>
      <c r="AA24" s="191"/>
      <c r="AB24" s="184"/>
      <c r="AC24" s="184"/>
      <c r="AD24" s="184"/>
      <c r="AE24" s="184"/>
      <c r="AF24" s="184"/>
      <c r="AG24" s="185"/>
      <c r="AH24" s="192"/>
    </row>
    <row r="25" spans="1:34" ht="15" customHeight="1" x14ac:dyDescent="0.2">
      <c r="A25" s="145"/>
      <c r="B25" s="186"/>
      <c r="C25" s="186"/>
      <c r="D25" s="186"/>
      <c r="E25" s="186"/>
      <c r="F25" s="186"/>
      <c r="G25" s="186"/>
      <c r="H25" s="186"/>
      <c r="I25" s="156"/>
      <c r="J25" s="158"/>
      <c r="K25" s="158"/>
      <c r="L25" s="158"/>
      <c r="M25" s="158"/>
      <c r="N25" s="158"/>
      <c r="O25" s="158"/>
      <c r="P25" s="158"/>
      <c r="Q25" s="159"/>
      <c r="R25" s="179"/>
      <c r="S25" s="179"/>
      <c r="T25" s="179"/>
      <c r="U25" s="179"/>
      <c r="V25" s="179"/>
      <c r="W25" s="179"/>
      <c r="X25" s="179"/>
      <c r="Y25" s="180"/>
      <c r="Z25" s="184"/>
      <c r="AA25" s="184"/>
      <c r="AB25" s="184"/>
      <c r="AC25" s="184"/>
      <c r="AD25" s="184"/>
      <c r="AE25" s="184"/>
      <c r="AF25" s="184"/>
      <c r="AG25" s="185"/>
      <c r="AH25" s="192"/>
    </row>
    <row r="26" spans="1:34" ht="15" customHeight="1" x14ac:dyDescent="0.2">
      <c r="A26" s="145"/>
      <c r="B26" s="337"/>
      <c r="C26" s="193"/>
      <c r="D26" s="193"/>
      <c r="E26" s="193"/>
      <c r="F26" s="193"/>
      <c r="G26" s="193"/>
      <c r="H26" s="193"/>
      <c r="I26" s="194"/>
      <c r="J26" s="195"/>
      <c r="K26" s="195"/>
      <c r="L26" s="195"/>
      <c r="M26" s="195"/>
      <c r="N26" s="195"/>
      <c r="O26" s="195"/>
      <c r="P26" s="196"/>
      <c r="Q26" s="197"/>
      <c r="R26" s="179"/>
      <c r="S26" s="179"/>
      <c r="T26" s="179"/>
      <c r="U26" s="179"/>
      <c r="V26" s="179"/>
      <c r="W26" s="179"/>
      <c r="X26" s="179"/>
      <c r="Y26" s="180"/>
      <c r="Z26" s="198"/>
      <c r="AA26" s="198"/>
      <c r="AB26" s="198"/>
      <c r="AC26" s="198"/>
      <c r="AD26" s="198"/>
      <c r="AE26" s="198"/>
      <c r="AF26" s="199"/>
      <c r="AG26" s="200"/>
    </row>
    <row r="27" spans="1:34" ht="15" customHeight="1" x14ac:dyDescent="0.2">
      <c r="A27" s="145"/>
      <c r="B27" s="201"/>
      <c r="C27" s="201"/>
      <c r="D27" s="201"/>
      <c r="E27" s="201"/>
      <c r="F27" s="201"/>
      <c r="G27" s="201"/>
      <c r="H27" s="201"/>
      <c r="I27" s="202"/>
      <c r="J27" s="203"/>
      <c r="K27" s="203"/>
      <c r="L27" s="204"/>
      <c r="M27" s="204"/>
      <c r="N27" s="205"/>
      <c r="O27" s="205"/>
      <c r="P27" s="206"/>
      <c r="Q27" s="207"/>
      <c r="R27" s="179"/>
      <c r="S27" s="179"/>
      <c r="T27" s="179"/>
      <c r="U27" s="179"/>
      <c r="V27" s="179"/>
      <c r="W27" s="179"/>
      <c r="X27" s="179"/>
      <c r="Y27" s="180"/>
      <c r="Z27" s="208"/>
      <c r="AA27" s="208"/>
      <c r="AB27" s="209"/>
      <c r="AC27" s="209"/>
      <c r="AD27" s="210"/>
      <c r="AE27" s="210"/>
      <c r="AF27" s="211"/>
      <c r="AG27" s="212"/>
    </row>
    <row r="28" spans="1:34" ht="15" customHeight="1" x14ac:dyDescent="0.2">
      <c r="A28" s="145"/>
      <c r="B28" s="201"/>
      <c r="C28" s="201"/>
      <c r="D28" s="201"/>
      <c r="E28" s="201"/>
      <c r="F28" s="201"/>
      <c r="G28" s="201"/>
      <c r="H28" s="201"/>
      <c r="I28" s="213"/>
      <c r="J28" s="203"/>
      <c r="K28" s="203"/>
      <c r="L28" s="203"/>
      <c r="M28" s="203"/>
      <c r="N28" s="206"/>
      <c r="O28" s="206"/>
      <c r="P28" s="206"/>
      <c r="Q28" s="207"/>
      <c r="R28" s="176"/>
      <c r="S28" s="176"/>
      <c r="T28" s="176"/>
      <c r="U28" s="176"/>
      <c r="V28" s="179"/>
      <c r="W28" s="179"/>
      <c r="X28" s="179"/>
      <c r="Y28" s="180"/>
      <c r="Z28" s="208"/>
      <c r="AA28" s="208"/>
      <c r="AB28" s="208"/>
      <c r="AC28" s="208"/>
      <c r="AD28" s="211"/>
      <c r="AE28" s="211"/>
      <c r="AF28" s="211"/>
      <c r="AG28" s="212"/>
    </row>
    <row r="29" spans="1:34" ht="15" customHeight="1" x14ac:dyDescent="0.2">
      <c r="A29" s="145"/>
      <c r="B29" s="201"/>
      <c r="C29" s="201"/>
      <c r="D29" s="501" t="s">
        <v>139</v>
      </c>
      <c r="E29" s="501"/>
      <c r="F29" s="501"/>
      <c r="G29" s="501"/>
      <c r="H29" s="201"/>
      <c r="I29" s="213"/>
      <c r="J29" s="203"/>
      <c r="K29" s="203"/>
      <c r="L29" s="203"/>
      <c r="M29" s="206" t="s">
        <v>140</v>
      </c>
      <c r="N29" s="206"/>
      <c r="O29" s="206"/>
      <c r="P29" s="206"/>
      <c r="Q29" s="207"/>
      <c r="R29" s="176"/>
      <c r="S29" s="176"/>
      <c r="T29" s="176"/>
      <c r="U29" s="176"/>
      <c r="V29" s="179"/>
      <c r="W29" s="179"/>
      <c r="X29" s="179"/>
      <c r="Y29" s="180"/>
      <c r="Z29" s="208"/>
      <c r="AA29" s="208"/>
      <c r="AB29" s="208"/>
      <c r="AC29" s="208"/>
      <c r="AD29" s="211"/>
      <c r="AE29" s="211"/>
      <c r="AF29" s="211"/>
      <c r="AG29" s="212"/>
    </row>
    <row r="30" spans="1:34" ht="15" customHeight="1" x14ac:dyDescent="0.2">
      <c r="A30" s="145"/>
      <c r="B30" s="201"/>
      <c r="C30" s="201"/>
      <c r="D30" s="501"/>
      <c r="E30" s="501"/>
      <c r="F30" s="501"/>
      <c r="G30" s="501"/>
      <c r="H30" s="201"/>
      <c r="I30" s="213"/>
      <c r="J30" s="214"/>
      <c r="K30" s="203"/>
      <c r="L30" s="206"/>
      <c r="M30" s="206"/>
      <c r="N30" s="206"/>
      <c r="O30" s="206"/>
      <c r="P30" s="206"/>
      <c r="Q30" s="207"/>
      <c r="R30" s="188"/>
      <c r="S30" s="176"/>
      <c r="T30" s="179"/>
      <c r="U30" s="502" t="s">
        <v>7</v>
      </c>
      <c r="V30" s="502"/>
      <c r="W30" s="179"/>
      <c r="X30" s="179"/>
      <c r="Y30" s="180"/>
      <c r="Z30" s="215"/>
      <c r="AA30" s="208"/>
      <c r="AB30" s="503" t="s">
        <v>8595</v>
      </c>
      <c r="AC30" s="503"/>
      <c r="AD30" s="503"/>
      <c r="AE30" s="503"/>
      <c r="AF30" s="211"/>
      <c r="AG30" s="212"/>
    </row>
    <row r="31" spans="1:34" ht="15" customHeight="1" x14ac:dyDescent="0.2">
      <c r="A31" s="145"/>
      <c r="B31" s="216"/>
      <c r="C31" s="217"/>
      <c r="D31" s="217"/>
      <c r="E31" s="217"/>
      <c r="F31" s="217"/>
      <c r="G31" s="217"/>
      <c r="H31" s="217"/>
      <c r="I31" s="218"/>
      <c r="J31" s="219"/>
      <c r="K31" s="219"/>
      <c r="L31" s="220"/>
      <c r="M31" s="220"/>
      <c r="N31" s="220"/>
      <c r="O31" s="220"/>
      <c r="P31" s="220"/>
      <c r="Q31" s="221"/>
      <c r="R31" s="190"/>
      <c r="S31" s="190"/>
      <c r="T31" s="179"/>
      <c r="U31" s="502"/>
      <c r="V31" s="502"/>
      <c r="W31" s="179"/>
      <c r="X31" s="179"/>
      <c r="Y31" s="180"/>
      <c r="Z31" s="222"/>
      <c r="AA31" s="222"/>
      <c r="AB31" s="211"/>
      <c r="AC31" s="211"/>
      <c r="AD31" s="211"/>
      <c r="AE31" s="211"/>
      <c r="AF31" s="211"/>
      <c r="AG31" s="212"/>
    </row>
    <row r="32" spans="1:34" ht="15" customHeight="1" x14ac:dyDescent="0.2">
      <c r="A32" s="145"/>
      <c r="B32" s="223"/>
      <c r="C32" s="223"/>
      <c r="D32" s="223"/>
      <c r="E32" s="223"/>
      <c r="F32" s="223"/>
      <c r="G32" s="223"/>
      <c r="H32" s="223"/>
      <c r="I32" s="224"/>
      <c r="J32" s="223"/>
      <c r="K32" s="223"/>
      <c r="L32" s="223"/>
      <c r="M32" s="223"/>
      <c r="N32" s="223"/>
      <c r="O32" s="223"/>
      <c r="P32" s="223"/>
      <c r="Q32" s="225"/>
      <c r="R32" s="179"/>
      <c r="S32" s="190"/>
      <c r="T32" s="179"/>
      <c r="U32" s="179"/>
      <c r="V32" s="179"/>
      <c r="W32" s="179"/>
      <c r="X32" s="179"/>
      <c r="Y32" s="180"/>
      <c r="Z32" s="211"/>
      <c r="AA32" s="222"/>
      <c r="AB32" s="211"/>
      <c r="AC32" s="211"/>
      <c r="AD32" s="211"/>
      <c r="AE32" s="211"/>
      <c r="AF32" s="211"/>
      <c r="AG32" s="212"/>
    </row>
    <row r="33" spans="1:33" ht="15" customHeight="1" x14ac:dyDescent="0.2">
      <c r="A33" s="145"/>
      <c r="B33" s="223"/>
      <c r="C33" s="223"/>
      <c r="D33" s="223"/>
      <c r="E33" s="223"/>
      <c r="F33" s="223"/>
      <c r="G33" s="223"/>
      <c r="H33" s="223"/>
      <c r="I33" s="223"/>
      <c r="J33" s="223"/>
      <c r="K33" s="223"/>
      <c r="L33" s="223"/>
      <c r="M33" s="223"/>
      <c r="N33" s="223"/>
      <c r="O33" s="223"/>
      <c r="P33" s="223"/>
      <c r="Q33" s="225"/>
      <c r="R33" s="179"/>
      <c r="S33" s="179"/>
      <c r="T33" s="179"/>
      <c r="U33" s="179"/>
      <c r="V33" s="179"/>
      <c r="W33" s="179"/>
      <c r="X33" s="179"/>
      <c r="Y33" s="180"/>
      <c r="Z33" s="211"/>
      <c r="AA33" s="211"/>
      <c r="AB33" s="211"/>
      <c r="AC33" s="211"/>
      <c r="AD33" s="211"/>
      <c r="AE33" s="211"/>
      <c r="AF33" s="211"/>
      <c r="AG33" s="212"/>
    </row>
    <row r="34" spans="1:33" ht="15" customHeight="1" x14ac:dyDescent="0.2">
      <c r="A34" s="145"/>
      <c r="B34" s="223"/>
      <c r="C34" s="223"/>
      <c r="D34" s="223"/>
      <c r="E34" s="223"/>
      <c r="F34" s="223"/>
      <c r="G34" s="223"/>
      <c r="H34" s="223"/>
      <c r="I34" s="223"/>
      <c r="J34" s="226"/>
      <c r="K34" s="226"/>
      <c r="L34" s="227"/>
      <c r="M34" s="227"/>
      <c r="N34" s="227"/>
      <c r="O34" s="227"/>
      <c r="P34" s="228"/>
      <c r="Q34" s="229"/>
      <c r="R34" s="179"/>
      <c r="S34" s="179"/>
      <c r="T34" s="179"/>
      <c r="U34" s="179"/>
      <c r="V34" s="179"/>
      <c r="W34" s="179"/>
      <c r="X34" s="179"/>
      <c r="Y34" s="180"/>
      <c r="Z34" s="230"/>
      <c r="AA34" s="230"/>
      <c r="AB34" s="230"/>
      <c r="AC34" s="230"/>
      <c r="AD34" s="230"/>
      <c r="AE34" s="230"/>
      <c r="AF34" s="231"/>
      <c r="AG34" s="232"/>
    </row>
    <row r="35" spans="1:33" ht="13.5" customHeight="1" x14ac:dyDescent="0.2">
      <c r="A35" s="145"/>
      <c r="B35" s="223"/>
      <c r="C35" s="223"/>
      <c r="D35" s="223"/>
      <c r="E35" s="223"/>
      <c r="F35" s="223"/>
      <c r="G35" s="223"/>
      <c r="H35" s="223"/>
      <c r="I35" s="225"/>
      <c r="J35" s="233"/>
      <c r="K35" s="233"/>
      <c r="L35" s="234"/>
      <c r="M35" s="234"/>
      <c r="N35" s="235"/>
      <c r="O35" s="235"/>
      <c r="P35" s="236"/>
      <c r="Q35" s="237"/>
      <c r="R35" s="179"/>
      <c r="S35" s="179"/>
      <c r="T35" s="179"/>
      <c r="U35" s="179"/>
      <c r="V35" s="179"/>
      <c r="W35" s="179"/>
      <c r="X35" s="179"/>
      <c r="Y35" s="179"/>
      <c r="Z35" s="177"/>
      <c r="AA35" s="177"/>
      <c r="AB35" s="177"/>
      <c r="AC35" s="177"/>
      <c r="AD35" s="178"/>
      <c r="AE35" s="178"/>
      <c r="AF35" s="179"/>
      <c r="AG35" s="238"/>
    </row>
    <row r="36" spans="1:33" ht="15" customHeight="1" x14ac:dyDescent="0.2">
      <c r="A36" s="145"/>
      <c r="B36" s="223"/>
      <c r="C36" s="223"/>
      <c r="D36" s="504" t="s">
        <v>8596</v>
      </c>
      <c r="E36" s="504"/>
      <c r="F36" s="504"/>
      <c r="G36" s="504"/>
      <c r="H36" s="223"/>
      <c r="I36" s="225"/>
      <c r="J36" s="233"/>
      <c r="K36" s="233"/>
      <c r="L36" s="233"/>
      <c r="M36" s="233"/>
      <c r="N36" s="236"/>
      <c r="O36" s="236"/>
      <c r="P36" s="236"/>
      <c r="Q36" s="237"/>
      <c r="R36" s="176"/>
      <c r="S36" s="176"/>
      <c r="T36" s="176"/>
      <c r="U36" s="176"/>
      <c r="V36" s="179"/>
      <c r="W36" s="179"/>
      <c r="X36" s="179"/>
      <c r="Y36" s="179"/>
      <c r="Z36" s="176"/>
      <c r="AA36" s="176"/>
      <c r="AB36" s="176"/>
      <c r="AC36" s="176"/>
      <c r="AD36" s="179"/>
      <c r="AE36" s="179"/>
      <c r="AF36" s="179"/>
      <c r="AG36" s="238"/>
    </row>
    <row r="37" spans="1:33" ht="15" customHeight="1" x14ac:dyDescent="0.2">
      <c r="A37" s="145"/>
      <c r="B37" s="223"/>
      <c r="C37" s="223"/>
      <c r="D37" s="223"/>
      <c r="E37" s="223"/>
      <c r="F37" s="223"/>
      <c r="G37" s="223"/>
      <c r="H37" s="223"/>
      <c r="I37" s="225"/>
      <c r="J37" s="233"/>
      <c r="K37" s="233"/>
      <c r="L37" s="233"/>
      <c r="M37" s="233"/>
      <c r="N37" s="236"/>
      <c r="O37" s="236"/>
      <c r="P37" s="236"/>
      <c r="Q37" s="237"/>
      <c r="R37" s="176"/>
      <c r="S37" s="176"/>
      <c r="T37" s="176"/>
      <c r="U37" s="176"/>
      <c r="V37" s="179"/>
      <c r="W37" s="179"/>
      <c r="X37" s="179"/>
      <c r="Y37" s="179"/>
      <c r="Z37" s="176"/>
      <c r="AA37" s="176"/>
      <c r="AB37" s="176"/>
      <c r="AC37" s="176"/>
      <c r="AD37" s="179"/>
      <c r="AE37" s="179"/>
      <c r="AF37" s="179"/>
      <c r="AG37" s="238"/>
    </row>
    <row r="38" spans="1:33" ht="15" customHeight="1" x14ac:dyDescent="0.2">
      <c r="A38" s="145"/>
      <c r="B38" s="223"/>
      <c r="C38" s="223"/>
      <c r="D38" s="504"/>
      <c r="E38" s="504"/>
      <c r="F38" s="504"/>
      <c r="G38" s="504"/>
      <c r="H38" s="223"/>
      <c r="I38" s="225"/>
      <c r="J38" s="239"/>
      <c r="K38" s="233"/>
      <c r="L38" s="236"/>
      <c r="M38" s="505" t="s">
        <v>88</v>
      </c>
      <c r="N38" s="505"/>
      <c r="O38" s="236"/>
      <c r="P38" s="236"/>
      <c r="Q38" s="237"/>
      <c r="R38" s="188"/>
      <c r="S38" s="176"/>
      <c r="T38" s="179"/>
      <c r="U38" s="502"/>
      <c r="V38" s="502"/>
      <c r="W38" s="179"/>
      <c r="X38" s="179"/>
      <c r="Y38" s="179"/>
      <c r="Z38" s="179"/>
      <c r="AA38" s="179"/>
      <c r="AB38" s="179"/>
      <c r="AC38" s="502"/>
      <c r="AD38" s="502"/>
      <c r="AE38" s="179"/>
      <c r="AF38" s="179"/>
      <c r="AG38" s="238"/>
    </row>
    <row r="39" spans="1:33" ht="15" customHeight="1" x14ac:dyDescent="0.2">
      <c r="A39" s="145"/>
      <c r="B39" s="223"/>
      <c r="C39" s="223"/>
      <c r="D39" s="223"/>
      <c r="E39" s="223"/>
      <c r="F39" s="223"/>
      <c r="G39" s="223"/>
      <c r="H39" s="223"/>
      <c r="I39" s="225"/>
      <c r="J39" s="240"/>
      <c r="K39" s="240"/>
      <c r="L39" s="236"/>
      <c r="M39" s="505"/>
      <c r="N39" s="505"/>
      <c r="O39" s="236"/>
      <c r="P39" s="236"/>
      <c r="Q39" s="237"/>
      <c r="R39" s="190"/>
      <c r="S39" s="190"/>
      <c r="T39" s="179"/>
      <c r="U39" s="502"/>
      <c r="V39" s="502"/>
      <c r="W39" s="179"/>
      <c r="X39" s="179"/>
      <c r="Y39" s="179"/>
      <c r="Z39" s="179"/>
      <c r="AA39" s="179"/>
      <c r="AB39" s="179"/>
      <c r="AC39" s="502"/>
      <c r="AD39" s="502"/>
      <c r="AE39" s="179"/>
      <c r="AF39" s="179"/>
      <c r="AG39" s="238"/>
    </row>
    <row r="40" spans="1:33" ht="15" customHeight="1" x14ac:dyDescent="0.2">
      <c r="A40" s="145"/>
      <c r="B40" s="223"/>
      <c r="C40" s="223"/>
      <c r="D40" s="223"/>
      <c r="E40" s="223"/>
      <c r="F40" s="223"/>
      <c r="G40" s="223"/>
      <c r="H40" s="223"/>
      <c r="I40" s="225"/>
      <c r="J40" s="236"/>
      <c r="K40" s="240"/>
      <c r="L40" s="236"/>
      <c r="M40" s="236"/>
      <c r="N40" s="236"/>
      <c r="O40" s="236"/>
      <c r="P40" s="236"/>
      <c r="Q40" s="237"/>
      <c r="R40" s="179"/>
      <c r="S40" s="190"/>
      <c r="T40" s="179"/>
      <c r="U40" s="179"/>
      <c r="V40" s="179"/>
      <c r="W40" s="179"/>
      <c r="X40" s="179"/>
      <c r="Y40" s="179"/>
      <c r="Z40" s="179"/>
      <c r="AA40" s="179"/>
      <c r="AB40" s="179"/>
      <c r="AC40" s="179"/>
      <c r="AD40" s="179"/>
      <c r="AE40" s="179"/>
      <c r="AF40" s="179"/>
      <c r="AG40" s="238"/>
    </row>
    <row r="41" spans="1:33" ht="15" customHeight="1" x14ac:dyDescent="0.2">
      <c r="A41" s="145"/>
      <c r="B41" s="223"/>
      <c r="C41" s="223"/>
      <c r="D41" s="223"/>
      <c r="E41" s="223"/>
      <c r="F41" s="223"/>
      <c r="G41" s="223"/>
      <c r="H41" s="241"/>
      <c r="I41" s="242"/>
      <c r="J41" s="236"/>
      <c r="K41" s="236"/>
      <c r="L41" s="236"/>
      <c r="M41" s="236"/>
      <c r="N41" s="236"/>
      <c r="O41" s="236"/>
      <c r="P41" s="236"/>
      <c r="Q41" s="237"/>
      <c r="R41" s="179"/>
      <c r="S41" s="179"/>
      <c r="T41" s="179"/>
      <c r="U41" s="179"/>
      <c r="V41" s="179"/>
      <c r="W41" s="179"/>
      <c r="X41" s="179"/>
      <c r="Y41" s="179"/>
      <c r="Z41" s="179"/>
      <c r="AA41" s="179"/>
      <c r="AB41" s="179"/>
      <c r="AC41" s="179"/>
      <c r="AD41" s="179"/>
      <c r="AE41" s="179"/>
      <c r="AF41" s="179"/>
      <c r="AG41" s="238"/>
    </row>
    <row r="42" spans="1:33" ht="15" customHeight="1" thickBot="1" x14ac:dyDescent="0.25">
      <c r="A42" s="145"/>
      <c r="B42" s="243"/>
      <c r="C42" s="243"/>
      <c r="D42" s="244"/>
      <c r="E42" s="244"/>
      <c r="F42" s="244"/>
      <c r="G42" s="244"/>
      <c r="H42" s="245"/>
      <c r="I42" s="246"/>
      <c r="J42" s="247"/>
      <c r="K42" s="247"/>
      <c r="L42" s="247"/>
      <c r="M42" s="247"/>
      <c r="N42" s="247"/>
      <c r="O42" s="247"/>
      <c r="P42" s="248"/>
      <c r="Q42" s="249"/>
      <c r="R42" s="250"/>
      <c r="S42" s="250"/>
      <c r="T42" s="250"/>
      <c r="U42" s="250"/>
      <c r="V42" s="250"/>
      <c r="W42" s="250"/>
      <c r="X42" s="251"/>
      <c r="Y42" s="251"/>
      <c r="Z42" s="250"/>
      <c r="AA42" s="250"/>
      <c r="AB42" s="250"/>
      <c r="AC42" s="250"/>
      <c r="AD42" s="250"/>
      <c r="AE42" s="250"/>
      <c r="AF42" s="251"/>
      <c r="AG42" s="252"/>
    </row>
    <row r="43" spans="1:33" ht="15" customHeight="1" x14ac:dyDescent="0.2"/>
    <row r="44" spans="1:33" ht="15" customHeight="1" x14ac:dyDescent="0.2">
      <c r="B44" s="253" t="s">
        <v>54</v>
      </c>
      <c r="C44" s="253"/>
      <c r="D44" s="253"/>
      <c r="E44" s="254"/>
      <c r="G44" s="338"/>
      <c r="I44" s="255" t="s">
        <v>55</v>
      </c>
      <c r="J44" s="255"/>
      <c r="K44" s="255"/>
      <c r="L44" s="255"/>
      <c r="M44" s="255"/>
      <c r="N44" s="255"/>
      <c r="O44" s="255"/>
      <c r="P44" s="255"/>
      <c r="Q44" s="255"/>
      <c r="R44" s="255"/>
      <c r="S44" s="511"/>
      <c r="T44" s="511"/>
      <c r="U44" s="511"/>
      <c r="V44" s="511"/>
      <c r="W44" s="511"/>
      <c r="Y44" s="253" t="s">
        <v>56</v>
      </c>
      <c r="Z44" s="253"/>
      <c r="AA44" s="253"/>
      <c r="AB44" s="253"/>
      <c r="AC44" s="511"/>
      <c r="AD44" s="511"/>
      <c r="AE44" s="511"/>
      <c r="AF44" s="511"/>
      <c r="AG44" s="511"/>
    </row>
    <row r="45" spans="1:33" ht="12.75" customHeight="1" x14ac:dyDescent="0.2">
      <c r="B45" s="253"/>
      <c r="G45" s="256"/>
    </row>
    <row r="46" spans="1:33" ht="15" customHeight="1" x14ac:dyDescent="0.2">
      <c r="G46" s="338"/>
      <c r="I46" s="255" t="s">
        <v>141</v>
      </c>
      <c r="J46" s="255"/>
      <c r="K46" s="255"/>
      <c r="L46" s="255"/>
      <c r="M46" s="255"/>
      <c r="N46" s="255"/>
      <c r="O46" s="255"/>
      <c r="P46" s="255"/>
      <c r="Q46" s="255"/>
      <c r="R46" s="255"/>
      <c r="S46" s="511"/>
      <c r="T46" s="511"/>
      <c r="U46" s="511"/>
      <c r="V46" s="511"/>
      <c r="W46" s="511"/>
      <c r="Y46" s="253" t="s">
        <v>56</v>
      </c>
      <c r="Z46" s="253"/>
      <c r="AA46" s="253"/>
      <c r="AB46" s="253"/>
      <c r="AC46" s="511"/>
      <c r="AD46" s="511"/>
      <c r="AE46" s="511"/>
      <c r="AF46" s="511"/>
      <c r="AG46" s="511"/>
    </row>
    <row r="47" spans="1:33" ht="12.75" customHeight="1" x14ac:dyDescent="0.2">
      <c r="G47" s="256"/>
      <c r="AD47" s="253"/>
      <c r="AE47" s="253"/>
      <c r="AF47" s="253"/>
      <c r="AG47" s="253"/>
    </row>
    <row r="48" spans="1:33" ht="15" customHeight="1" x14ac:dyDescent="0.2">
      <c r="G48" s="338" t="s">
        <v>94</v>
      </c>
      <c r="I48" s="257" t="s">
        <v>142</v>
      </c>
      <c r="J48" s="257"/>
      <c r="K48" s="257"/>
      <c r="L48" s="257"/>
      <c r="M48" s="257"/>
      <c r="N48" s="257"/>
      <c r="O48" s="257"/>
      <c r="P48" s="257"/>
      <c r="Q48" s="257"/>
      <c r="R48" s="257"/>
      <c r="S48" s="511" t="s">
        <v>9722</v>
      </c>
      <c r="T48" s="511"/>
      <c r="U48" s="511"/>
      <c r="V48" s="511"/>
      <c r="W48" s="511"/>
      <c r="Y48" s="253" t="s">
        <v>56</v>
      </c>
      <c r="Z48" s="253"/>
      <c r="AA48" s="253"/>
      <c r="AB48" s="253"/>
      <c r="AC48" s="511" t="s">
        <v>143</v>
      </c>
      <c r="AD48" s="511"/>
      <c r="AE48" s="511"/>
      <c r="AF48" s="511"/>
      <c r="AG48" s="511"/>
    </row>
    <row r="49" spans="2:34" ht="12.75" customHeight="1" x14ac:dyDescent="0.2">
      <c r="G49" s="258"/>
    </row>
    <row r="50" spans="2:34" ht="15" customHeight="1" x14ac:dyDescent="0.2">
      <c r="G50" s="338"/>
      <c r="I50" s="253" t="s">
        <v>57</v>
      </c>
      <c r="S50" s="511"/>
      <c r="T50" s="511"/>
      <c r="U50" s="511"/>
      <c r="V50" s="511"/>
      <c r="W50" s="511"/>
    </row>
    <row r="52" spans="2:34" ht="12.75" customHeight="1" x14ac:dyDescent="0.2">
      <c r="B52" s="527" t="s">
        <v>58</v>
      </c>
      <c r="C52" s="527"/>
      <c r="D52" s="527"/>
      <c r="E52" s="527"/>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row>
    <row r="53" spans="2:34" ht="27" customHeight="1" x14ac:dyDescent="0.2">
      <c r="B53" s="523" t="s">
        <v>8624</v>
      </c>
      <c r="C53" s="523"/>
      <c r="D53" s="523"/>
      <c r="E53" s="523"/>
      <c r="F53" s="523"/>
      <c r="G53" s="523"/>
      <c r="H53" s="523"/>
      <c r="I53" s="523"/>
      <c r="J53" s="523"/>
      <c r="K53" s="523"/>
      <c r="L53" s="523"/>
      <c r="M53" s="523"/>
      <c r="N53" s="523"/>
      <c r="O53" s="523"/>
      <c r="P53" s="523"/>
      <c r="Q53" s="523"/>
      <c r="R53" s="523"/>
      <c r="S53" s="523"/>
      <c r="T53" s="523"/>
      <c r="U53" s="523"/>
      <c r="V53" s="523"/>
      <c r="W53" s="523"/>
      <c r="X53" s="523"/>
      <c r="Y53" s="523"/>
      <c r="Z53" s="523"/>
      <c r="AA53" s="523"/>
      <c r="AB53" s="523"/>
      <c r="AC53" s="523"/>
      <c r="AD53" s="523"/>
      <c r="AE53" s="523"/>
      <c r="AF53" s="523"/>
      <c r="AG53" s="523"/>
      <c r="AH53" s="523"/>
    </row>
    <row r="54" spans="2:34" ht="12.75" customHeight="1" x14ac:dyDescent="0.2">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row>
    <row r="55" spans="2:34" x14ac:dyDescent="0.2">
      <c r="B55" s="134" t="s">
        <v>9752</v>
      </c>
    </row>
    <row r="56" spans="2:34" ht="12.75" customHeight="1" x14ac:dyDescent="0.2">
      <c r="B56" s="525" t="s">
        <v>59</v>
      </c>
      <c r="C56" s="525"/>
      <c r="D56" s="525"/>
      <c r="E56" s="525"/>
      <c r="F56" s="526" t="s">
        <v>144</v>
      </c>
      <c r="G56" s="526"/>
      <c r="H56" s="526"/>
      <c r="I56" s="526"/>
      <c r="J56" s="526"/>
      <c r="K56" s="526"/>
      <c r="L56" s="526"/>
      <c r="M56" s="526"/>
      <c r="N56" s="526"/>
      <c r="O56" s="526"/>
      <c r="P56" s="526"/>
      <c r="Q56" s="260"/>
      <c r="R56" s="260"/>
      <c r="S56" s="260"/>
      <c r="T56" s="260"/>
      <c r="U56" s="260"/>
      <c r="V56" s="260"/>
      <c r="W56" s="260"/>
      <c r="X56" s="260"/>
      <c r="Y56" s="260"/>
      <c r="Z56" s="260"/>
      <c r="AA56" s="260"/>
      <c r="AB56" s="260"/>
      <c r="AC56" s="260"/>
      <c r="AD56" s="260"/>
      <c r="AE56" s="260"/>
      <c r="AF56" s="260"/>
      <c r="AG56" s="260"/>
      <c r="AH56" s="26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220"/>
  <sheetViews>
    <sheetView view="pageBreakPreview" zoomScaleNormal="100" zoomScaleSheetLayoutView="100" workbookViewId="0">
      <selection activeCell="D212" sqref="D212"/>
    </sheetView>
  </sheetViews>
  <sheetFormatPr defaultColWidth="21.42578125" defaultRowHeight="15" customHeight="1" x14ac:dyDescent="0.25"/>
  <cols>
    <col min="1" max="1" width="13.28515625" style="261" customWidth="1"/>
    <col min="2" max="2" width="38.5703125" style="292" customWidth="1"/>
    <col min="3" max="3" width="13" style="263" customWidth="1"/>
    <col min="4" max="4" width="15.42578125" style="263" customWidth="1"/>
    <col min="5" max="5" width="21.42578125" style="264"/>
    <col min="6" max="6" width="21.42578125" style="263"/>
    <col min="7" max="7" width="20.28515625" style="263" customWidth="1"/>
    <col min="8" max="16384" width="21.42578125" style="261"/>
  </cols>
  <sheetData>
    <row r="1" spans="1:7" x14ac:dyDescent="0.25">
      <c r="B1" s="262"/>
      <c r="F1" s="265"/>
      <c r="G1" s="284"/>
    </row>
    <row r="2" spans="1:7" x14ac:dyDescent="0.25">
      <c r="B2" s="529"/>
      <c r="C2" s="529"/>
      <c r="D2" s="529"/>
      <c r="E2" s="529"/>
      <c r="F2" s="529"/>
      <c r="G2" s="529"/>
    </row>
    <row r="3" spans="1:7" x14ac:dyDescent="0.25">
      <c r="A3" s="266"/>
      <c r="B3" s="430"/>
      <c r="C3"/>
      <c r="D3"/>
      <c r="E3" s="267"/>
      <c r="F3"/>
      <c r="G3" s="429"/>
    </row>
    <row r="4" spans="1:7" x14ac:dyDescent="0.25">
      <c r="B4" s="268" t="s">
        <v>92</v>
      </c>
      <c r="C4" s="528" t="s">
        <v>145</v>
      </c>
      <c r="D4" s="528"/>
      <c r="E4" s="528"/>
      <c r="F4" s="528"/>
      <c r="G4" s="528"/>
    </row>
    <row r="5" spans="1:7" x14ac:dyDescent="0.25">
      <c r="B5" s="268" t="s">
        <v>0</v>
      </c>
      <c r="C5" s="530" t="s">
        <v>146</v>
      </c>
      <c r="D5" s="530"/>
      <c r="E5" s="530"/>
      <c r="F5" s="530"/>
      <c r="G5" s="530"/>
    </row>
    <row r="6" spans="1:7" x14ac:dyDescent="0.25">
      <c r="B6" s="268"/>
      <c r="C6" s="269"/>
      <c r="D6" s="270"/>
      <c r="E6" s="272"/>
      <c r="F6" s="271"/>
      <c r="G6" s="378"/>
    </row>
    <row r="7" spans="1:7" x14ac:dyDescent="0.25">
      <c r="A7" s="266"/>
      <c r="B7" s="273" t="s">
        <v>1</v>
      </c>
      <c r="C7" s="274" t="s">
        <v>2</v>
      </c>
      <c r="D7" s="275" t="s">
        <v>147</v>
      </c>
      <c r="E7" s="276" t="s">
        <v>3</v>
      </c>
      <c r="F7" s="277" t="s">
        <v>4</v>
      </c>
      <c r="G7" s="379" t="s">
        <v>5</v>
      </c>
    </row>
    <row r="8" spans="1:7" ht="48" x14ac:dyDescent="0.25">
      <c r="A8" s="266"/>
      <c r="B8" s="278" t="s">
        <v>9754</v>
      </c>
      <c r="C8" s="384">
        <v>20</v>
      </c>
      <c r="D8" s="340"/>
      <c r="E8" s="341"/>
      <c r="F8" s="342"/>
      <c r="G8" s="340" t="s">
        <v>8618</v>
      </c>
    </row>
    <row r="9" spans="1:7" ht="48" x14ac:dyDescent="0.25">
      <c r="A9" s="266"/>
      <c r="B9" s="278" t="s">
        <v>8621</v>
      </c>
      <c r="C9" s="384">
        <v>20</v>
      </c>
      <c r="D9" s="340"/>
      <c r="E9" s="341"/>
      <c r="F9" s="342"/>
      <c r="G9" s="340" t="s">
        <v>8618</v>
      </c>
    </row>
    <row r="10" spans="1:7" ht="72" x14ac:dyDescent="0.25">
      <c r="A10" s="266"/>
      <c r="B10" s="339" t="s">
        <v>148</v>
      </c>
      <c r="C10" s="385">
        <v>10</v>
      </c>
      <c r="D10" s="340" t="s">
        <v>8615</v>
      </c>
      <c r="E10" s="341">
        <v>0.1875</v>
      </c>
      <c r="F10" s="342" t="s">
        <v>9681</v>
      </c>
      <c r="G10" s="340" t="s">
        <v>9755</v>
      </c>
    </row>
    <row r="11" spans="1:7" ht="72" x14ac:dyDescent="0.25">
      <c r="A11" s="266"/>
      <c r="B11" s="377" t="s">
        <v>8620</v>
      </c>
      <c r="C11" s="385">
        <v>10</v>
      </c>
      <c r="D11" s="340" t="s">
        <v>8615</v>
      </c>
      <c r="E11" s="341">
        <v>0.1875</v>
      </c>
      <c r="F11" s="342" t="s">
        <v>9681</v>
      </c>
      <c r="G11" s="340" t="s">
        <v>9755</v>
      </c>
    </row>
    <row r="12" spans="1:7" ht="72" x14ac:dyDescent="0.25">
      <c r="A12" s="266"/>
      <c r="B12" s="339" t="s">
        <v>150</v>
      </c>
      <c r="C12" s="385">
        <v>10</v>
      </c>
      <c r="D12" s="340" t="s">
        <v>8616</v>
      </c>
      <c r="E12" s="341">
        <v>0.1875</v>
      </c>
      <c r="F12" s="342" t="s">
        <v>9682</v>
      </c>
      <c r="G12" s="340" t="s">
        <v>9756</v>
      </c>
    </row>
    <row r="13" spans="1:7" ht="72" x14ac:dyDescent="0.25">
      <c r="A13" s="266"/>
      <c r="B13" s="339" t="s">
        <v>151</v>
      </c>
      <c r="C13" s="385">
        <v>10</v>
      </c>
      <c r="D13" s="340" t="s">
        <v>8617</v>
      </c>
      <c r="E13" s="341">
        <v>0.1875</v>
      </c>
      <c r="F13" s="342" t="s">
        <v>9683</v>
      </c>
      <c r="G13" s="340" t="s">
        <v>9757</v>
      </c>
    </row>
    <row r="14" spans="1:7" x14ac:dyDescent="0.25">
      <c r="A14" s="266"/>
      <c r="B14" s="279" t="s">
        <v>60</v>
      </c>
      <c r="C14" s="386">
        <f>SUM(C8:C13)</f>
        <v>80</v>
      </c>
      <c r="F14" s="265"/>
      <c r="G14" s="284"/>
    </row>
    <row r="15" spans="1:7" x14ac:dyDescent="0.25">
      <c r="B15" s="281" t="s">
        <v>6</v>
      </c>
      <c r="C15" s="387">
        <f>C14</f>
        <v>80</v>
      </c>
      <c r="F15" s="265"/>
      <c r="G15" s="284"/>
    </row>
    <row r="16" spans="1:7" x14ac:dyDescent="0.25">
      <c r="B16" s="268"/>
      <c r="C16" s="388"/>
      <c r="F16" s="265"/>
      <c r="G16" s="284"/>
    </row>
    <row r="17" spans="1:7" x14ac:dyDescent="0.25">
      <c r="B17" s="268"/>
      <c r="C17" s="388"/>
      <c r="F17" s="265"/>
      <c r="G17" s="284"/>
    </row>
    <row r="18" spans="1:7" x14ac:dyDescent="0.25">
      <c r="B18" s="268" t="s">
        <v>93</v>
      </c>
      <c r="C18" s="528" t="s">
        <v>153</v>
      </c>
      <c r="D18" s="528"/>
      <c r="E18" s="528"/>
      <c r="F18" s="528"/>
      <c r="G18" s="528"/>
    </row>
    <row r="19" spans="1:7" x14ac:dyDescent="0.25">
      <c r="B19" s="268" t="s">
        <v>0</v>
      </c>
      <c r="C19" s="530" t="s">
        <v>154</v>
      </c>
      <c r="D19" s="530"/>
      <c r="E19" s="530"/>
      <c r="F19" s="530"/>
      <c r="G19" s="530"/>
    </row>
    <row r="20" spans="1:7" x14ac:dyDescent="0.25">
      <c r="B20" s="268"/>
      <c r="C20" s="269"/>
      <c r="D20" s="270"/>
      <c r="E20" s="272"/>
      <c r="F20" s="271"/>
      <c r="G20" s="378"/>
    </row>
    <row r="21" spans="1:7" x14ac:dyDescent="0.25">
      <c r="B21" s="273" t="s">
        <v>1</v>
      </c>
      <c r="C21" s="274" t="s">
        <v>2</v>
      </c>
      <c r="D21" s="275" t="s">
        <v>147</v>
      </c>
      <c r="E21" s="276" t="s">
        <v>3</v>
      </c>
      <c r="F21" s="277" t="s">
        <v>4</v>
      </c>
      <c r="G21" s="379" t="s">
        <v>5</v>
      </c>
    </row>
    <row r="22" spans="1:7" ht="36" x14ac:dyDescent="0.25">
      <c r="A22" s="266"/>
      <c r="B22" s="339" t="s">
        <v>155</v>
      </c>
      <c r="C22" s="385">
        <v>0.75</v>
      </c>
      <c r="D22" s="340" t="s">
        <v>156</v>
      </c>
      <c r="E22" s="341"/>
      <c r="F22" s="342" t="s">
        <v>149</v>
      </c>
      <c r="G22" s="340"/>
    </row>
    <row r="23" spans="1:7" ht="36" x14ac:dyDescent="0.25">
      <c r="A23" s="266"/>
      <c r="B23" s="339" t="s">
        <v>157</v>
      </c>
      <c r="C23" s="385">
        <v>0.75</v>
      </c>
      <c r="D23" s="340" t="s">
        <v>156</v>
      </c>
      <c r="E23" s="341"/>
      <c r="F23" s="342" t="s">
        <v>149</v>
      </c>
      <c r="G23" s="340"/>
    </row>
    <row r="24" spans="1:7" ht="60" x14ac:dyDescent="0.25">
      <c r="A24" s="266"/>
      <c r="B24" s="339" t="s">
        <v>158</v>
      </c>
      <c r="C24" s="426">
        <v>0.6064664485072081</v>
      </c>
      <c r="D24" s="340">
        <v>42</v>
      </c>
      <c r="E24" s="341">
        <v>0.25</v>
      </c>
      <c r="F24" s="427" t="s">
        <v>149</v>
      </c>
      <c r="G24" s="428" t="s">
        <v>9689</v>
      </c>
    </row>
    <row r="25" spans="1:7" ht="48" x14ac:dyDescent="0.25">
      <c r="A25" s="266"/>
      <c r="B25" s="339" t="s">
        <v>159</v>
      </c>
      <c r="C25" s="385">
        <v>1.5</v>
      </c>
      <c r="D25" s="340" t="s">
        <v>156</v>
      </c>
      <c r="E25" s="341"/>
      <c r="F25" s="342" t="s">
        <v>149</v>
      </c>
      <c r="G25" s="340"/>
    </row>
    <row r="26" spans="1:7" ht="36" x14ac:dyDescent="0.25">
      <c r="A26" s="266"/>
      <c r="B26" s="339" t="s">
        <v>160</v>
      </c>
      <c r="C26" s="385">
        <v>0.54867321263998758</v>
      </c>
      <c r="D26" s="340" t="s">
        <v>156</v>
      </c>
      <c r="E26" s="341"/>
      <c r="F26" s="342" t="s">
        <v>149</v>
      </c>
      <c r="G26" s="340"/>
    </row>
    <row r="27" spans="1:7" ht="36" x14ac:dyDescent="0.25">
      <c r="A27" s="266"/>
      <c r="B27" s="339" t="s">
        <v>161</v>
      </c>
      <c r="C27" s="385">
        <v>1.28769873660214</v>
      </c>
      <c r="D27" s="340" t="s">
        <v>156</v>
      </c>
      <c r="E27" s="341"/>
      <c r="F27" s="342" t="s">
        <v>149</v>
      </c>
      <c r="G27" s="340"/>
    </row>
    <row r="28" spans="1:7" ht="76.5" x14ac:dyDescent="0.25">
      <c r="A28" s="266"/>
      <c r="B28" s="343" t="s">
        <v>162</v>
      </c>
      <c r="C28" s="389">
        <v>5.4106266666666674</v>
      </c>
      <c r="D28" s="344" t="s">
        <v>156</v>
      </c>
      <c r="E28" s="345"/>
      <c r="F28" s="346" t="s">
        <v>149</v>
      </c>
      <c r="G28" s="344"/>
    </row>
    <row r="29" spans="1:7" ht="89.25" x14ac:dyDescent="0.25">
      <c r="A29" s="266"/>
      <c r="B29" s="343" t="s">
        <v>163</v>
      </c>
      <c r="C29" s="389">
        <v>4.4359466666666663</v>
      </c>
      <c r="D29" s="344" t="s">
        <v>156</v>
      </c>
      <c r="E29" s="345"/>
      <c r="F29" s="346" t="s">
        <v>149</v>
      </c>
      <c r="G29" s="344" t="s">
        <v>9690</v>
      </c>
    </row>
    <row r="30" spans="1:7" x14ac:dyDescent="0.25">
      <c r="A30" s="266"/>
      <c r="B30" s="343" t="s">
        <v>164</v>
      </c>
      <c r="C30" s="389">
        <v>0.20215548283573598</v>
      </c>
      <c r="D30" s="344" t="s">
        <v>156</v>
      </c>
      <c r="E30" s="345"/>
      <c r="F30" s="346" t="s">
        <v>149</v>
      </c>
      <c r="G30" s="344"/>
    </row>
    <row r="31" spans="1:7" ht="51" x14ac:dyDescent="0.25">
      <c r="A31" s="266"/>
      <c r="B31" s="343" t="s">
        <v>165</v>
      </c>
      <c r="C31" s="389">
        <v>0.40416000000000002</v>
      </c>
      <c r="D31" s="344" t="s">
        <v>156</v>
      </c>
      <c r="E31" s="345"/>
      <c r="F31" s="346" t="s">
        <v>149</v>
      </c>
      <c r="G31" s="344"/>
    </row>
    <row r="32" spans="1:7" ht="63.75" x14ac:dyDescent="0.25">
      <c r="A32" s="266"/>
      <c r="B32" s="347" t="s">
        <v>166</v>
      </c>
      <c r="C32" s="389">
        <v>0</v>
      </c>
      <c r="D32" s="348">
        <v>14</v>
      </c>
      <c r="E32" s="345">
        <v>0.25</v>
      </c>
      <c r="F32" s="346" t="s">
        <v>149</v>
      </c>
      <c r="G32" s="344" t="s">
        <v>9691</v>
      </c>
    </row>
    <row r="33" spans="1:7" ht="63.75" x14ac:dyDescent="0.25">
      <c r="A33" s="266"/>
      <c r="B33" s="347" t="s">
        <v>8763</v>
      </c>
      <c r="C33" s="389">
        <v>0</v>
      </c>
      <c r="D33" s="344" t="s">
        <v>167</v>
      </c>
      <c r="E33" s="345"/>
      <c r="F33" s="346"/>
      <c r="G33" s="344"/>
    </row>
    <row r="34" spans="1:7" x14ac:dyDescent="0.25">
      <c r="A34" s="266"/>
      <c r="B34" s="339" t="s">
        <v>484</v>
      </c>
      <c r="C34" s="385">
        <v>16.17243983979181</v>
      </c>
      <c r="D34" s="340" t="s">
        <v>167</v>
      </c>
      <c r="E34" s="341"/>
      <c r="F34" s="342"/>
      <c r="G34" s="340"/>
    </row>
    <row r="35" spans="1:7" x14ac:dyDescent="0.25">
      <c r="A35" s="266"/>
      <c r="B35" s="339" t="s">
        <v>726</v>
      </c>
      <c r="C35" s="385">
        <v>17.553159766005024</v>
      </c>
      <c r="D35" s="340" t="s">
        <v>167</v>
      </c>
      <c r="E35" s="341"/>
      <c r="F35" s="342"/>
      <c r="G35" s="340"/>
    </row>
    <row r="36" spans="1:7" ht="36" x14ac:dyDescent="0.25">
      <c r="A36" s="266"/>
      <c r="B36" s="339" t="s">
        <v>9745</v>
      </c>
      <c r="C36" s="385">
        <v>8.0862193134294422</v>
      </c>
      <c r="D36" s="340" t="s">
        <v>167</v>
      </c>
      <c r="E36" s="341"/>
      <c r="F36" s="342"/>
      <c r="G36" s="340"/>
    </row>
    <row r="37" spans="1:7" ht="24" x14ac:dyDescent="0.25">
      <c r="A37" s="266"/>
      <c r="B37" s="339" t="s">
        <v>2715</v>
      </c>
      <c r="C37" s="385">
        <v>3.9766005022201512E-5</v>
      </c>
      <c r="D37" s="340" t="s">
        <v>167</v>
      </c>
      <c r="E37" s="341"/>
      <c r="F37" s="342"/>
      <c r="G37" s="340"/>
    </row>
    <row r="38" spans="1:7" ht="24" x14ac:dyDescent="0.25">
      <c r="A38" s="266"/>
      <c r="B38" s="339" t="s">
        <v>2716</v>
      </c>
      <c r="C38" s="385">
        <v>0.60652107496177221</v>
      </c>
      <c r="D38" s="340" t="s">
        <v>167</v>
      </c>
      <c r="E38" s="341"/>
      <c r="F38" s="342"/>
      <c r="G38" s="340"/>
    </row>
    <row r="39" spans="1:7" ht="36" x14ac:dyDescent="0.25">
      <c r="A39" s="266"/>
      <c r="B39" s="339" t="s">
        <v>1507</v>
      </c>
      <c r="C39" s="385">
        <v>15.90214855901044</v>
      </c>
      <c r="D39" s="340" t="s">
        <v>167</v>
      </c>
      <c r="E39" s="341"/>
      <c r="F39" s="342"/>
      <c r="G39" s="340"/>
    </row>
    <row r="40" spans="1:7" x14ac:dyDescent="0.25">
      <c r="A40" s="266"/>
      <c r="B40" s="339" t="s">
        <v>838</v>
      </c>
      <c r="C40" s="385">
        <v>7.5482835735982134E-5</v>
      </c>
      <c r="D40" s="340" t="s">
        <v>167</v>
      </c>
      <c r="E40" s="341"/>
      <c r="F40" s="342"/>
      <c r="G40" s="340"/>
    </row>
    <row r="41" spans="1:7" ht="36" x14ac:dyDescent="0.25">
      <c r="A41" s="266"/>
      <c r="B41" s="339" t="s">
        <v>1781</v>
      </c>
      <c r="C41" s="385">
        <v>7.5482835736016829E-5</v>
      </c>
      <c r="D41" s="340" t="s">
        <v>167</v>
      </c>
      <c r="E41" s="341"/>
      <c r="F41" s="342"/>
      <c r="G41" s="340"/>
    </row>
    <row r="42" spans="1:7" x14ac:dyDescent="0.25">
      <c r="A42" s="266"/>
      <c r="B42" s="339" t="s">
        <v>855</v>
      </c>
      <c r="C42" s="385">
        <v>1.6176924457022981</v>
      </c>
      <c r="D42" s="340" t="s">
        <v>167</v>
      </c>
      <c r="E42" s="341"/>
      <c r="F42" s="342"/>
      <c r="G42" s="340"/>
    </row>
    <row r="43" spans="1:7" x14ac:dyDescent="0.25">
      <c r="A43" s="266"/>
      <c r="B43" s="339" t="s">
        <v>863</v>
      </c>
      <c r="C43" s="385">
        <v>7.5482835736016829E-5</v>
      </c>
      <c r="D43" s="340" t="s">
        <v>167</v>
      </c>
      <c r="E43" s="341"/>
      <c r="F43" s="342"/>
      <c r="G43" s="340"/>
    </row>
    <row r="44" spans="1:7" x14ac:dyDescent="0.25">
      <c r="A44" s="266"/>
      <c r="B44" s="339" t="s">
        <v>866</v>
      </c>
      <c r="C44" s="385">
        <v>0.20215548283573603</v>
      </c>
      <c r="D44" s="340" t="s">
        <v>167</v>
      </c>
      <c r="E44" s="341"/>
      <c r="F44" s="342"/>
      <c r="G44" s="340"/>
    </row>
    <row r="45" spans="1:7" x14ac:dyDescent="0.25">
      <c r="A45" s="266"/>
      <c r="B45" s="339" t="s">
        <v>869</v>
      </c>
      <c r="C45" s="385">
        <v>0.20215548283573603</v>
      </c>
      <c r="D45" s="340" t="s">
        <v>167</v>
      </c>
      <c r="E45" s="341"/>
      <c r="F45" s="342"/>
      <c r="G45" s="340"/>
    </row>
    <row r="46" spans="1:7" x14ac:dyDescent="0.25">
      <c r="A46" s="266"/>
      <c r="B46" s="339" t="s">
        <v>872</v>
      </c>
      <c r="C46" s="385">
        <v>0.20215548283573603</v>
      </c>
      <c r="D46" s="340" t="s">
        <v>167</v>
      </c>
      <c r="E46" s="341"/>
      <c r="F46" s="342"/>
      <c r="G46" s="340"/>
    </row>
    <row r="47" spans="1:7" x14ac:dyDescent="0.25">
      <c r="A47" s="266"/>
      <c r="B47" s="339" t="s">
        <v>875</v>
      </c>
      <c r="C47" s="385">
        <v>0.40431096567147207</v>
      </c>
      <c r="D47" s="340" t="s">
        <v>167</v>
      </c>
      <c r="E47" s="341"/>
      <c r="F47" s="342"/>
      <c r="G47" s="340"/>
    </row>
    <row r="48" spans="1:7" x14ac:dyDescent="0.25">
      <c r="A48" s="266"/>
      <c r="B48" s="339" t="s">
        <v>892</v>
      </c>
      <c r="C48" s="385">
        <v>0.40431096567147207</v>
      </c>
      <c r="D48" s="340" t="s">
        <v>167</v>
      </c>
      <c r="E48" s="341"/>
      <c r="F48" s="342"/>
      <c r="G48" s="340"/>
    </row>
    <row r="49" spans="1:7" ht="36" x14ac:dyDescent="0.25">
      <c r="A49" s="266"/>
      <c r="B49" s="339" t="s">
        <v>9746</v>
      </c>
      <c r="C49" s="385">
        <v>0.8292979614631657</v>
      </c>
      <c r="D49" s="340" t="s">
        <v>167</v>
      </c>
      <c r="E49" s="341"/>
      <c r="F49" s="342"/>
      <c r="G49" s="340"/>
    </row>
    <row r="50" spans="1:7" x14ac:dyDescent="0.25">
      <c r="A50" s="266"/>
      <c r="B50" s="339" t="s">
        <v>941</v>
      </c>
      <c r="C50" s="385">
        <v>1.0107774141786803</v>
      </c>
      <c r="D50" s="340" t="s">
        <v>167</v>
      </c>
      <c r="E50" s="341"/>
      <c r="F50" s="342"/>
      <c r="G50" s="340"/>
    </row>
    <row r="51" spans="1:7" x14ac:dyDescent="0.25">
      <c r="A51" s="266"/>
      <c r="B51" s="339" t="s">
        <v>952</v>
      </c>
      <c r="C51" s="385">
        <v>0.40431096567147207</v>
      </c>
      <c r="D51" s="340" t="s">
        <v>167</v>
      </c>
      <c r="E51" s="341"/>
      <c r="F51" s="342"/>
      <c r="G51" s="340"/>
    </row>
    <row r="52" spans="1:7" x14ac:dyDescent="0.25">
      <c r="A52" s="266"/>
      <c r="B52" s="339" t="s">
        <v>956</v>
      </c>
      <c r="C52" s="385">
        <v>0.20215548283573603</v>
      </c>
      <c r="D52" s="340" t="s">
        <v>167</v>
      </c>
      <c r="E52" s="341"/>
      <c r="F52" s="342"/>
      <c r="G52" s="340"/>
    </row>
    <row r="53" spans="1:7" x14ac:dyDescent="0.25">
      <c r="A53" s="266"/>
      <c r="B53" s="339" t="s">
        <v>980</v>
      </c>
      <c r="C53" s="385">
        <v>0.11309752032745299</v>
      </c>
      <c r="D53" s="340" t="s">
        <v>167</v>
      </c>
      <c r="E53" s="341"/>
      <c r="F53" s="342"/>
      <c r="G53" s="340"/>
    </row>
    <row r="54" spans="1:7" x14ac:dyDescent="0.25">
      <c r="A54" s="266"/>
      <c r="B54" s="339" t="s">
        <v>983</v>
      </c>
      <c r="C54" s="385">
        <v>0.11309752032745285</v>
      </c>
      <c r="D54" s="340" t="s">
        <v>167</v>
      </c>
      <c r="E54" s="341"/>
      <c r="F54" s="342"/>
      <c r="G54" s="340"/>
    </row>
    <row r="55" spans="1:7" x14ac:dyDescent="0.25">
      <c r="A55" s="266"/>
      <c r="B55" s="339" t="s">
        <v>986</v>
      </c>
      <c r="C55" s="385">
        <v>0.11309752032745285</v>
      </c>
      <c r="D55" s="340" t="s">
        <v>167</v>
      </c>
      <c r="E55" s="341"/>
      <c r="F55" s="342"/>
      <c r="G55" s="340"/>
    </row>
    <row r="56" spans="1:7" ht="36" x14ac:dyDescent="0.25">
      <c r="A56" s="266"/>
      <c r="B56" s="339" t="s">
        <v>9747</v>
      </c>
      <c r="C56" s="385">
        <v>1.1685905224455251</v>
      </c>
      <c r="D56" s="340" t="s">
        <v>167</v>
      </c>
      <c r="E56" s="341"/>
      <c r="F56" s="342"/>
      <c r="G56" s="340"/>
    </row>
    <row r="57" spans="1:7" x14ac:dyDescent="0.25">
      <c r="A57" s="266"/>
      <c r="B57" s="339" t="s">
        <v>1057</v>
      </c>
      <c r="C57" s="385">
        <v>0.70687020354529451</v>
      </c>
      <c r="D57" s="340" t="s">
        <v>167</v>
      </c>
      <c r="E57" s="341"/>
      <c r="F57" s="342"/>
      <c r="G57" s="340"/>
    </row>
    <row r="58" spans="1:7" ht="36" x14ac:dyDescent="0.25">
      <c r="A58" s="266"/>
      <c r="B58" s="339" t="s">
        <v>1505</v>
      </c>
      <c r="C58" s="385">
        <v>9.2650849179375054</v>
      </c>
      <c r="D58" s="340" t="s">
        <v>167</v>
      </c>
      <c r="E58" s="341"/>
      <c r="F58" s="342"/>
      <c r="G58" s="340"/>
    </row>
    <row r="59" spans="1:7" ht="36" x14ac:dyDescent="0.25">
      <c r="A59" s="266"/>
      <c r="B59" s="339" t="s">
        <v>1509</v>
      </c>
      <c r="C59" s="385">
        <v>7.2650849179375054</v>
      </c>
      <c r="D59" s="340" t="s">
        <v>167</v>
      </c>
      <c r="E59" s="341"/>
      <c r="F59" s="342"/>
      <c r="G59" s="340"/>
    </row>
    <row r="60" spans="1:7" x14ac:dyDescent="0.25">
      <c r="A60" s="266"/>
      <c r="B60" s="339" t="s">
        <v>782</v>
      </c>
      <c r="C60" s="385">
        <v>2.0215608930218472</v>
      </c>
      <c r="D60" s="340" t="s">
        <v>167</v>
      </c>
      <c r="E60" s="341"/>
      <c r="F60" s="342"/>
      <c r="G60" s="340"/>
    </row>
    <row r="61" spans="1:7" ht="36" x14ac:dyDescent="0.25">
      <c r="A61" s="266"/>
      <c r="B61" s="339" t="s">
        <v>1509</v>
      </c>
      <c r="C61" s="385">
        <v>2</v>
      </c>
      <c r="D61" s="340" t="s">
        <v>167</v>
      </c>
      <c r="E61" s="341"/>
      <c r="F61" s="342"/>
      <c r="G61" s="340"/>
    </row>
    <row r="62" spans="1:7" x14ac:dyDescent="0.25">
      <c r="A62" s="266"/>
      <c r="B62" s="339" t="s">
        <v>1105</v>
      </c>
      <c r="C62" s="385">
        <v>0.67385093560084486</v>
      </c>
      <c r="D62" s="340" t="s">
        <v>167</v>
      </c>
      <c r="E62" s="341"/>
      <c r="F62" s="342"/>
      <c r="G62" s="340"/>
    </row>
    <row r="63" spans="1:7" ht="36" x14ac:dyDescent="0.25">
      <c r="A63" s="266"/>
      <c r="B63" s="339" t="s">
        <v>9748</v>
      </c>
      <c r="C63" s="385">
        <v>5.006986998873364E-5</v>
      </c>
      <c r="D63" s="340" t="s">
        <v>167</v>
      </c>
      <c r="E63" s="341"/>
      <c r="F63" s="342"/>
      <c r="G63" s="340"/>
    </row>
    <row r="64" spans="1:7" x14ac:dyDescent="0.25">
      <c r="A64" s="266"/>
      <c r="B64" s="339" t="s">
        <v>1215</v>
      </c>
      <c r="C64" s="385">
        <v>0.97701006986998884</v>
      </c>
      <c r="D64" s="340" t="s">
        <v>167</v>
      </c>
      <c r="E64" s="341"/>
      <c r="F64" s="342"/>
      <c r="G64" s="340"/>
    </row>
    <row r="65" spans="1:7" x14ac:dyDescent="0.25">
      <c r="A65" s="266"/>
      <c r="B65" s="339" t="s">
        <v>2725</v>
      </c>
      <c r="C65" s="385">
        <v>0.43319032036229144</v>
      </c>
      <c r="D65" s="340" t="s">
        <v>167</v>
      </c>
      <c r="E65" s="341"/>
      <c r="F65" s="342"/>
      <c r="G65" s="340"/>
    </row>
    <row r="66" spans="1:7" ht="36" x14ac:dyDescent="0.25">
      <c r="A66" s="266"/>
      <c r="B66" s="339" t="s">
        <v>9749</v>
      </c>
      <c r="C66" s="385">
        <v>9.7370302490302869</v>
      </c>
      <c r="D66" s="340" t="s">
        <v>167</v>
      </c>
      <c r="E66" s="341"/>
      <c r="F66" s="342"/>
      <c r="G66" s="340"/>
    </row>
    <row r="67" spans="1:7" ht="48" x14ac:dyDescent="0.25">
      <c r="A67" s="266"/>
      <c r="B67" s="339" t="s">
        <v>9750</v>
      </c>
      <c r="C67" s="385">
        <v>0.28879354690819431</v>
      </c>
      <c r="D67" s="340" t="s">
        <v>167</v>
      </c>
      <c r="E67" s="341"/>
      <c r="F67" s="342"/>
      <c r="G67" s="340"/>
    </row>
    <row r="68" spans="1:7" x14ac:dyDescent="0.25">
      <c r="A68" s="266"/>
      <c r="B68" s="339" t="s">
        <v>2733</v>
      </c>
      <c r="C68" s="385">
        <v>0.28879354690819431</v>
      </c>
      <c r="D68" s="340" t="s">
        <v>167</v>
      </c>
      <c r="E68" s="341"/>
      <c r="F68" s="342"/>
      <c r="G68" s="340"/>
    </row>
    <row r="69" spans="1:7" x14ac:dyDescent="0.25">
      <c r="A69" s="266"/>
      <c r="B69" s="339" t="s">
        <v>1997</v>
      </c>
      <c r="C69" s="385">
        <v>0.72198386727048591</v>
      </c>
      <c r="D69" s="340" t="s">
        <v>167</v>
      </c>
      <c r="E69" s="341"/>
      <c r="F69" s="342"/>
      <c r="G69" s="340"/>
    </row>
    <row r="70" spans="1:7" ht="48" x14ac:dyDescent="0.25">
      <c r="A70" s="266"/>
      <c r="B70" s="339" t="s">
        <v>9751</v>
      </c>
      <c r="C70" s="385">
        <v>0.28879354690819431</v>
      </c>
      <c r="D70" s="340" t="s">
        <v>167</v>
      </c>
      <c r="E70" s="341"/>
      <c r="F70" s="342"/>
      <c r="G70" s="340"/>
    </row>
    <row r="71" spans="1:7" ht="36" x14ac:dyDescent="0.25">
      <c r="A71" s="266"/>
      <c r="B71" s="339" t="s">
        <v>8795</v>
      </c>
      <c r="C71" s="385">
        <v>2.9255199999999997</v>
      </c>
      <c r="D71" s="340" t="s">
        <v>167</v>
      </c>
      <c r="E71" s="341"/>
      <c r="F71" s="342"/>
      <c r="G71" s="340"/>
    </row>
    <row r="72" spans="1:7" ht="36" x14ac:dyDescent="0.25">
      <c r="A72" s="266"/>
      <c r="B72" s="339" t="s">
        <v>8796</v>
      </c>
      <c r="C72" s="385">
        <v>1.3813199999999997</v>
      </c>
      <c r="D72" s="340" t="s">
        <v>167</v>
      </c>
      <c r="E72" s="341"/>
      <c r="F72" s="342"/>
      <c r="G72" s="340"/>
    </row>
    <row r="73" spans="1:7" ht="36" x14ac:dyDescent="0.25">
      <c r="A73" s="266"/>
      <c r="B73" s="339" t="s">
        <v>1708</v>
      </c>
      <c r="C73" s="385">
        <v>2.9255199999999997</v>
      </c>
      <c r="D73" s="340" t="s">
        <v>167</v>
      </c>
      <c r="E73" s="341"/>
      <c r="F73" s="342"/>
      <c r="G73" s="340"/>
    </row>
    <row r="74" spans="1:7" x14ac:dyDescent="0.25">
      <c r="A74" s="266"/>
      <c r="B74" s="339" t="s">
        <v>2058</v>
      </c>
      <c r="C74" s="385">
        <v>3.9999999999762448E-5</v>
      </c>
      <c r="D74" s="340" t="s">
        <v>167</v>
      </c>
      <c r="E74" s="341"/>
      <c r="F74" s="342"/>
      <c r="G74" s="340"/>
    </row>
    <row r="75" spans="1:7" ht="36" x14ac:dyDescent="0.25">
      <c r="A75" s="266"/>
      <c r="B75" s="339" t="s">
        <v>1701</v>
      </c>
      <c r="C75" s="385">
        <v>1.3813199999999997</v>
      </c>
      <c r="D75" s="340" t="s">
        <v>167</v>
      </c>
      <c r="E75" s="341"/>
      <c r="F75" s="342"/>
      <c r="G75" s="340"/>
    </row>
    <row r="76" spans="1:7" ht="36" x14ac:dyDescent="0.25">
      <c r="A76" s="266"/>
      <c r="B76" s="339" t="s">
        <v>8779</v>
      </c>
      <c r="C76" s="385">
        <v>2.9310298389915808</v>
      </c>
      <c r="D76" s="340" t="s">
        <v>167</v>
      </c>
      <c r="E76" s="341"/>
      <c r="F76" s="342"/>
      <c r="G76" s="340"/>
    </row>
    <row r="77" spans="1:7" x14ac:dyDescent="0.25">
      <c r="A77" s="266"/>
      <c r="B77" s="339" t="s">
        <v>2736</v>
      </c>
      <c r="C77" s="385">
        <v>1.4655149194957904</v>
      </c>
      <c r="D77" s="340" t="s">
        <v>167</v>
      </c>
      <c r="E77" s="341"/>
      <c r="F77" s="342"/>
      <c r="G77" s="340"/>
    </row>
    <row r="78" spans="1:7" ht="36" x14ac:dyDescent="0.25">
      <c r="A78" s="266"/>
      <c r="B78" s="339" t="s">
        <v>1580</v>
      </c>
      <c r="C78" s="385">
        <v>1.4655149194957904</v>
      </c>
      <c r="D78" s="340" t="s">
        <v>167</v>
      </c>
      <c r="E78" s="341"/>
      <c r="F78" s="342"/>
      <c r="G78" s="340"/>
    </row>
    <row r="79" spans="1:7" ht="24" x14ac:dyDescent="0.25">
      <c r="A79" s="266"/>
      <c r="B79" s="339" t="s">
        <v>1687</v>
      </c>
      <c r="C79" s="385">
        <v>0.40431096567147196</v>
      </c>
      <c r="D79" s="340" t="s">
        <v>167</v>
      </c>
      <c r="E79" s="341"/>
      <c r="F79" s="342"/>
      <c r="G79" s="340"/>
    </row>
    <row r="80" spans="1:7" x14ac:dyDescent="0.25">
      <c r="A80" s="266"/>
      <c r="B80" s="339" t="s">
        <v>1720</v>
      </c>
      <c r="C80" s="385">
        <v>0.1709620761368158</v>
      </c>
      <c r="D80" s="340" t="s">
        <v>167</v>
      </c>
      <c r="E80" s="341"/>
      <c r="F80" s="342"/>
      <c r="G80" s="340"/>
    </row>
    <row r="81" spans="1:7" x14ac:dyDescent="0.25">
      <c r="A81" s="266"/>
      <c r="B81" s="339" t="s">
        <v>1729</v>
      </c>
      <c r="C81" s="385">
        <v>6.0138800000000003</v>
      </c>
      <c r="D81" s="340" t="s">
        <v>167</v>
      </c>
      <c r="E81" s="341"/>
      <c r="F81" s="342"/>
      <c r="G81" s="340"/>
    </row>
    <row r="82" spans="1:7" x14ac:dyDescent="0.25">
      <c r="A82" s="266"/>
      <c r="B82" s="339" t="s">
        <v>2737</v>
      </c>
      <c r="C82" s="385">
        <v>0.91818597462106133</v>
      </c>
      <c r="D82" s="340" t="s">
        <v>167</v>
      </c>
      <c r="E82" s="341"/>
      <c r="F82" s="342"/>
      <c r="G82" s="340"/>
    </row>
    <row r="83" spans="1:7" ht="24" x14ac:dyDescent="0.25">
      <c r="A83" s="266"/>
      <c r="B83" s="339" t="s">
        <v>2742</v>
      </c>
      <c r="C83" s="385">
        <v>2.2179733333333278</v>
      </c>
      <c r="D83" s="340" t="s">
        <v>167</v>
      </c>
      <c r="E83" s="341"/>
      <c r="F83" s="342"/>
      <c r="G83" s="340"/>
    </row>
    <row r="84" spans="1:7" x14ac:dyDescent="0.25">
      <c r="A84" s="266"/>
      <c r="B84" s="339" t="s">
        <v>2743</v>
      </c>
      <c r="C84" s="385">
        <v>1.1089866666666672</v>
      </c>
      <c r="D84" s="340" t="s">
        <v>167</v>
      </c>
      <c r="E84" s="341"/>
      <c r="F84" s="342"/>
      <c r="G84" s="340"/>
    </row>
    <row r="85" spans="1:7" x14ac:dyDescent="0.25">
      <c r="A85" s="266"/>
      <c r="B85" s="339" t="s">
        <v>2744</v>
      </c>
      <c r="C85" s="385">
        <v>1.1089866666666672</v>
      </c>
      <c r="D85" s="340" t="s">
        <v>167</v>
      </c>
      <c r="E85" s="341"/>
      <c r="F85" s="342"/>
      <c r="G85" s="340"/>
    </row>
    <row r="86" spans="1:7" x14ac:dyDescent="0.25">
      <c r="A86" s="266"/>
      <c r="B86" s="339" t="s">
        <v>2244</v>
      </c>
      <c r="C86" s="385">
        <v>1.4359466666666665</v>
      </c>
      <c r="D86" s="340" t="s">
        <v>167</v>
      </c>
      <c r="E86" s="341"/>
      <c r="F86" s="342"/>
      <c r="G86" s="340"/>
    </row>
    <row r="87" spans="1:7" ht="36" x14ac:dyDescent="0.25">
      <c r="A87" s="266"/>
      <c r="B87" s="339" t="s">
        <v>8657</v>
      </c>
      <c r="C87" s="385">
        <v>2.9310298389915808</v>
      </c>
      <c r="D87" s="340" t="s">
        <v>167</v>
      </c>
      <c r="E87" s="341"/>
      <c r="F87" s="342"/>
      <c r="G87" s="340"/>
    </row>
    <row r="88" spans="1:7" x14ac:dyDescent="0.25">
      <c r="A88" s="266"/>
      <c r="B88" s="339" t="s">
        <v>2754</v>
      </c>
      <c r="C88" s="385">
        <v>5.4106266666666674</v>
      </c>
      <c r="D88" s="340" t="s">
        <v>167</v>
      </c>
      <c r="E88" s="341"/>
      <c r="F88" s="342"/>
      <c r="G88" s="340"/>
    </row>
    <row r="89" spans="1:7" x14ac:dyDescent="0.25">
      <c r="A89" s="266"/>
      <c r="B89" s="339" t="s">
        <v>2755</v>
      </c>
      <c r="C89" s="385">
        <v>5.4106266666666674</v>
      </c>
      <c r="D89" s="340" t="s">
        <v>167</v>
      </c>
      <c r="E89" s="341"/>
      <c r="F89" s="342"/>
      <c r="G89" s="340"/>
    </row>
    <row r="90" spans="1:7" x14ac:dyDescent="0.25">
      <c r="A90" s="266"/>
      <c r="B90" s="339" t="s">
        <v>2757</v>
      </c>
      <c r="C90" s="385">
        <v>1.1594200000000001</v>
      </c>
      <c r="D90" s="340" t="s">
        <v>167</v>
      </c>
      <c r="E90" s="341"/>
      <c r="F90" s="342"/>
      <c r="G90" s="340"/>
    </row>
    <row r="91" spans="1:7" x14ac:dyDescent="0.25">
      <c r="A91" s="266"/>
      <c r="B91" s="339" t="s">
        <v>2758</v>
      </c>
      <c r="C91" s="385">
        <v>1.1594200000000001</v>
      </c>
      <c r="D91" s="340" t="s">
        <v>167</v>
      </c>
      <c r="E91" s="341"/>
      <c r="F91" s="342"/>
      <c r="G91" s="340"/>
    </row>
    <row r="92" spans="1:7" x14ac:dyDescent="0.25">
      <c r="A92" s="266"/>
      <c r="B92" s="339" t="s">
        <v>2759</v>
      </c>
      <c r="C92" s="385">
        <v>5.0520000000000002E-2</v>
      </c>
      <c r="D92" s="340" t="s">
        <v>167</v>
      </c>
      <c r="E92" s="341"/>
      <c r="F92" s="342"/>
      <c r="G92" s="340"/>
    </row>
    <row r="93" spans="1:7" x14ac:dyDescent="0.25">
      <c r="A93" s="266"/>
      <c r="B93" s="339" t="s">
        <v>2760</v>
      </c>
      <c r="C93" s="385">
        <v>5.0520000000000002E-2</v>
      </c>
      <c r="D93" s="340" t="s">
        <v>167</v>
      </c>
      <c r="E93" s="341"/>
      <c r="F93" s="342"/>
      <c r="G93" s="340"/>
    </row>
    <row r="94" spans="1:7" x14ac:dyDescent="0.25">
      <c r="A94" s="266"/>
      <c r="B94" s="339" t="s">
        <v>2761</v>
      </c>
      <c r="C94" s="385">
        <v>5.0520000000000002E-2</v>
      </c>
      <c r="D94" s="340" t="s">
        <v>167</v>
      </c>
      <c r="E94" s="341"/>
      <c r="F94" s="342"/>
      <c r="G94" s="340"/>
    </row>
    <row r="95" spans="1:7" x14ac:dyDescent="0.25">
      <c r="A95" s="266"/>
      <c r="B95" s="339" t="s">
        <v>2762</v>
      </c>
      <c r="C95" s="385">
        <v>5.0520000000000002E-2</v>
      </c>
      <c r="D95" s="340" t="s">
        <v>167</v>
      </c>
      <c r="E95" s="341"/>
      <c r="F95" s="342"/>
      <c r="G95" s="340"/>
    </row>
    <row r="96" spans="1:7" x14ac:dyDescent="0.25">
      <c r="B96" s="279" t="s">
        <v>60</v>
      </c>
      <c r="C96" s="386">
        <f>ROUND(SUM(C22:C95),2)</f>
        <v>160</v>
      </c>
      <c r="F96" s="265"/>
      <c r="G96" s="284"/>
    </row>
    <row r="97" spans="1:7" x14ac:dyDescent="0.25">
      <c r="B97" s="281" t="s">
        <v>6</v>
      </c>
      <c r="C97" s="390">
        <f>C96</f>
        <v>160</v>
      </c>
      <c r="F97" s="265"/>
      <c r="G97" s="284"/>
    </row>
    <row r="98" spans="1:7" x14ac:dyDescent="0.25">
      <c r="B98" s="268"/>
      <c r="C98" s="269"/>
      <c r="D98" s="270"/>
      <c r="E98" s="272"/>
      <c r="F98" s="271"/>
      <c r="G98" s="378"/>
    </row>
    <row r="99" spans="1:7" x14ac:dyDescent="0.25">
      <c r="B99" s="268"/>
      <c r="C99" s="269"/>
      <c r="D99" s="270"/>
      <c r="E99" s="272"/>
      <c r="F99" s="271"/>
      <c r="G99" s="378"/>
    </row>
    <row r="100" spans="1:7" x14ac:dyDescent="0.25">
      <c r="B100" s="268" t="s">
        <v>62</v>
      </c>
      <c r="C100" s="528" t="s">
        <v>168</v>
      </c>
      <c r="D100" s="528"/>
      <c r="E100" s="528"/>
      <c r="F100" s="528"/>
      <c r="G100" s="528"/>
    </row>
    <row r="101" spans="1:7" x14ac:dyDescent="0.25">
      <c r="B101" s="268" t="s">
        <v>0</v>
      </c>
      <c r="C101" s="530" t="s">
        <v>169</v>
      </c>
      <c r="D101" s="530"/>
      <c r="E101" s="530"/>
      <c r="F101" s="530"/>
      <c r="G101" s="530"/>
    </row>
    <row r="102" spans="1:7" x14ac:dyDescent="0.25">
      <c r="B102" s="268"/>
      <c r="C102" s="269"/>
      <c r="D102" s="270"/>
      <c r="E102" s="272"/>
      <c r="F102" s="271"/>
      <c r="G102" s="378"/>
    </row>
    <row r="103" spans="1:7" x14ac:dyDescent="0.25">
      <c r="A103" s="266"/>
      <c r="B103" s="273" t="s">
        <v>1</v>
      </c>
      <c r="C103" s="274" t="s">
        <v>2</v>
      </c>
      <c r="D103" s="275" t="s">
        <v>147</v>
      </c>
      <c r="E103" s="276" t="s">
        <v>3</v>
      </c>
      <c r="F103" s="277" t="s">
        <v>4</v>
      </c>
      <c r="G103" s="379" t="s">
        <v>5</v>
      </c>
    </row>
    <row r="104" spans="1:7" ht="60" x14ac:dyDescent="0.25">
      <c r="A104" s="266"/>
      <c r="B104" s="339" t="s">
        <v>148</v>
      </c>
      <c r="C104" s="391">
        <v>5.3896890564016289</v>
      </c>
      <c r="D104" s="340" t="s">
        <v>8615</v>
      </c>
      <c r="E104" s="341">
        <v>0.1875</v>
      </c>
      <c r="F104" s="342" t="s">
        <v>149</v>
      </c>
      <c r="G104" s="340" t="s">
        <v>9692</v>
      </c>
    </row>
    <row r="105" spans="1:7" ht="60" x14ac:dyDescent="0.25">
      <c r="A105" s="266"/>
      <c r="B105" s="339" t="s">
        <v>150</v>
      </c>
      <c r="C105" s="391">
        <v>5.3896890564016289</v>
      </c>
      <c r="D105" s="340" t="s">
        <v>8616</v>
      </c>
      <c r="E105" s="341">
        <v>0.1875</v>
      </c>
      <c r="F105" s="342" t="s">
        <v>149</v>
      </c>
      <c r="G105" s="340" t="s">
        <v>9693</v>
      </c>
    </row>
    <row r="106" spans="1:7" ht="60" x14ac:dyDescent="0.25">
      <c r="A106" s="266"/>
      <c r="B106" s="339" t="s">
        <v>8764</v>
      </c>
      <c r="C106" s="391">
        <v>5.3896890564016289</v>
      </c>
      <c r="D106" s="340" t="s">
        <v>8626</v>
      </c>
      <c r="E106" s="341">
        <v>0.1875</v>
      </c>
      <c r="F106" s="342" t="s">
        <v>149</v>
      </c>
      <c r="G106" s="340" t="s">
        <v>9694</v>
      </c>
    </row>
    <row r="107" spans="1:7" ht="60" x14ac:dyDescent="0.25">
      <c r="A107" s="266"/>
      <c r="B107" s="339" t="s">
        <v>151</v>
      </c>
      <c r="C107" s="391">
        <v>5.379689633291421</v>
      </c>
      <c r="D107" s="340" t="s">
        <v>8617</v>
      </c>
      <c r="E107" s="341">
        <v>0.1875</v>
      </c>
      <c r="F107" s="342" t="s">
        <v>149</v>
      </c>
      <c r="G107" s="340" t="s">
        <v>9695</v>
      </c>
    </row>
    <row r="108" spans="1:7" ht="60" x14ac:dyDescent="0.25">
      <c r="A108" s="266"/>
      <c r="B108" s="339" t="s">
        <v>170</v>
      </c>
      <c r="C108" s="391">
        <v>7.6918639309208485</v>
      </c>
      <c r="D108" s="340" t="s">
        <v>8627</v>
      </c>
      <c r="E108" s="341">
        <v>0.1875</v>
      </c>
      <c r="F108" s="342" t="s">
        <v>149</v>
      </c>
      <c r="G108" s="340" t="s">
        <v>9696</v>
      </c>
    </row>
    <row r="109" spans="1:7" ht="72" x14ac:dyDescent="0.25">
      <c r="A109" s="266"/>
      <c r="B109" s="339" t="s">
        <v>152</v>
      </c>
      <c r="C109" s="391">
        <v>5.379689633291421</v>
      </c>
      <c r="D109" s="340" t="s">
        <v>8628</v>
      </c>
      <c r="E109" s="341">
        <v>0.1875</v>
      </c>
      <c r="F109" s="342" t="s">
        <v>149</v>
      </c>
      <c r="G109" s="340" t="s">
        <v>9697</v>
      </c>
    </row>
    <row r="110" spans="1:7" ht="72" x14ac:dyDescent="0.25">
      <c r="A110" s="266"/>
      <c r="B110" s="339" t="s">
        <v>171</v>
      </c>
      <c r="C110" s="391">
        <v>5.379689633291421</v>
      </c>
      <c r="D110" s="340" t="s">
        <v>172</v>
      </c>
      <c r="E110" s="341">
        <v>0.1875</v>
      </c>
      <c r="F110" s="342" t="s">
        <v>149</v>
      </c>
      <c r="G110" s="340" t="s">
        <v>9698</v>
      </c>
    </row>
    <row r="111" spans="1:7" x14ac:dyDescent="0.25">
      <c r="A111" s="266"/>
      <c r="B111" s="279" t="s">
        <v>60</v>
      </c>
      <c r="C111" s="386">
        <v>40</v>
      </c>
      <c r="F111" s="265"/>
      <c r="G111" s="284"/>
    </row>
    <row r="112" spans="1:7" x14ac:dyDescent="0.25">
      <c r="B112" s="281" t="s">
        <v>6</v>
      </c>
      <c r="C112" s="387">
        <v>40</v>
      </c>
      <c r="F112" s="265"/>
      <c r="G112" s="284"/>
    </row>
    <row r="113" spans="1:7" x14ac:dyDescent="0.25">
      <c r="B113" s="268"/>
      <c r="C113" s="269"/>
      <c r="F113" s="265"/>
      <c r="G113" s="284"/>
    </row>
    <row r="114" spans="1:7" x14ac:dyDescent="0.25">
      <c r="B114" s="268" t="s">
        <v>124</v>
      </c>
      <c r="C114" s="528" t="s">
        <v>173</v>
      </c>
      <c r="D114" s="528"/>
      <c r="E114" s="528"/>
      <c r="F114" s="528"/>
      <c r="G114" s="528"/>
    </row>
    <row r="115" spans="1:7" x14ac:dyDescent="0.25">
      <c r="B115" s="268" t="s">
        <v>0</v>
      </c>
      <c r="C115" s="530" t="s">
        <v>146</v>
      </c>
      <c r="D115" s="530"/>
      <c r="E115" s="530"/>
      <c r="F115" s="530"/>
      <c r="G115" s="530"/>
    </row>
    <row r="116" spans="1:7" x14ac:dyDescent="0.25">
      <c r="B116" s="268"/>
      <c r="C116" s="269"/>
      <c r="D116" s="270"/>
      <c r="E116" s="272"/>
      <c r="F116" s="271"/>
      <c r="G116" s="378"/>
    </row>
    <row r="117" spans="1:7" x14ac:dyDescent="0.25">
      <c r="A117" s="266"/>
      <c r="B117" s="273" t="s">
        <v>1</v>
      </c>
      <c r="C117" s="274" t="s">
        <v>2</v>
      </c>
      <c r="D117" s="275" t="s">
        <v>147</v>
      </c>
      <c r="E117" s="276" t="s">
        <v>3</v>
      </c>
      <c r="F117" s="277" t="s">
        <v>4</v>
      </c>
      <c r="G117" s="379" t="s">
        <v>5</v>
      </c>
    </row>
    <row r="118" spans="1:7" ht="72" x14ac:dyDescent="0.25">
      <c r="A118" s="266"/>
      <c r="B118" s="278" t="s">
        <v>152</v>
      </c>
      <c r="C118" s="384">
        <v>10</v>
      </c>
      <c r="D118" s="340" t="s">
        <v>8628</v>
      </c>
      <c r="E118" s="341">
        <v>0.1875</v>
      </c>
      <c r="F118" s="342" t="s">
        <v>149</v>
      </c>
      <c r="G118" s="340" t="s">
        <v>9697</v>
      </c>
    </row>
    <row r="119" spans="1:7" ht="84" x14ac:dyDescent="0.25">
      <c r="A119" s="266"/>
      <c r="B119" s="339" t="s">
        <v>151</v>
      </c>
      <c r="C119" s="391">
        <v>0</v>
      </c>
      <c r="D119" s="340" t="s">
        <v>8617</v>
      </c>
      <c r="E119" s="341">
        <v>0.1875</v>
      </c>
      <c r="F119" s="342" t="s">
        <v>9683</v>
      </c>
      <c r="G119" s="350" t="s">
        <v>9699</v>
      </c>
    </row>
    <row r="120" spans="1:7" ht="48" x14ac:dyDescent="0.25">
      <c r="B120" s="339" t="s">
        <v>174</v>
      </c>
      <c r="C120" s="392">
        <v>2.10135295407895</v>
      </c>
      <c r="D120" s="340" t="s">
        <v>156</v>
      </c>
      <c r="E120" s="341"/>
      <c r="F120" s="342" t="s">
        <v>149</v>
      </c>
      <c r="G120" s="340" t="s">
        <v>9700</v>
      </c>
    </row>
    <row r="121" spans="1:7" ht="60" x14ac:dyDescent="0.25">
      <c r="B121" s="339" t="s">
        <v>175</v>
      </c>
      <c r="C121" s="393">
        <v>2.1</v>
      </c>
      <c r="D121" s="340" t="s">
        <v>156</v>
      </c>
      <c r="E121" s="341"/>
      <c r="F121" s="342" t="s">
        <v>149</v>
      </c>
      <c r="G121" s="351" t="s">
        <v>9701</v>
      </c>
    </row>
    <row r="122" spans="1:7" ht="84" x14ac:dyDescent="0.25">
      <c r="B122" s="339" t="s">
        <v>176</v>
      </c>
      <c r="C122" s="393">
        <v>2.1</v>
      </c>
      <c r="D122" s="340" t="s">
        <v>156</v>
      </c>
      <c r="E122" s="341"/>
      <c r="F122" s="342" t="s">
        <v>149</v>
      </c>
      <c r="G122" s="351" t="s">
        <v>9702</v>
      </c>
    </row>
    <row r="123" spans="1:7" ht="108" x14ac:dyDescent="0.25">
      <c r="A123" s="266"/>
      <c r="B123" s="278" t="s">
        <v>197</v>
      </c>
      <c r="C123" s="394">
        <v>2.1</v>
      </c>
      <c r="D123" s="340" t="s">
        <v>8617</v>
      </c>
      <c r="E123" s="341">
        <v>0.1875</v>
      </c>
      <c r="F123" s="342" t="s">
        <v>9683</v>
      </c>
      <c r="G123" s="350" t="s">
        <v>9703</v>
      </c>
    </row>
    <row r="124" spans="1:7" ht="96" x14ac:dyDescent="0.25">
      <c r="A124" s="266"/>
      <c r="B124" s="434" t="s">
        <v>9743</v>
      </c>
      <c r="C124" s="394">
        <f>'[3]Tract 4'!$D$5-SUM(C118:C123)</f>
        <v>61.598647045921048</v>
      </c>
      <c r="D124" s="340" t="s">
        <v>167</v>
      </c>
      <c r="E124" s="341" t="s">
        <v>167</v>
      </c>
      <c r="F124" s="342" t="s">
        <v>167</v>
      </c>
      <c r="G124" s="350" t="s">
        <v>9744</v>
      </c>
    </row>
    <row r="125" spans="1:7" x14ac:dyDescent="0.25">
      <c r="A125" s="266"/>
      <c r="B125" s="279" t="s">
        <v>60</v>
      </c>
      <c r="C125" s="386">
        <f>SUM(C118:C124)</f>
        <v>80</v>
      </c>
      <c r="F125" s="265"/>
      <c r="G125" s="284"/>
    </row>
    <row r="126" spans="1:7" x14ac:dyDescent="0.25">
      <c r="B126" s="281" t="s">
        <v>6</v>
      </c>
      <c r="C126" s="387">
        <f>C125</f>
        <v>80</v>
      </c>
      <c r="F126" s="265"/>
      <c r="G126" s="284"/>
    </row>
    <row r="127" spans="1:7" x14ac:dyDescent="0.25">
      <c r="B127" s="268"/>
      <c r="C127" s="269"/>
      <c r="F127" s="265"/>
      <c r="G127" s="284"/>
    </row>
    <row r="128" spans="1:7" x14ac:dyDescent="0.25">
      <c r="B128" s="268" t="s">
        <v>125</v>
      </c>
      <c r="C128" s="528" t="s">
        <v>8765</v>
      </c>
      <c r="D128" s="528"/>
      <c r="E128" s="528"/>
      <c r="F128" s="528"/>
      <c r="G128" s="528"/>
    </row>
    <row r="129" spans="1:7" x14ac:dyDescent="0.25">
      <c r="B129" s="268" t="s">
        <v>0</v>
      </c>
      <c r="C129" s="530" t="s">
        <v>178</v>
      </c>
      <c r="D129" s="530"/>
      <c r="E129" s="530"/>
      <c r="F129" s="530"/>
      <c r="G129" s="530"/>
    </row>
    <row r="130" spans="1:7" x14ac:dyDescent="0.25">
      <c r="B130" s="268"/>
      <c r="C130" s="269"/>
      <c r="F130" s="265"/>
      <c r="G130" s="284"/>
    </row>
    <row r="131" spans="1:7" x14ac:dyDescent="0.25">
      <c r="B131" s="273" t="s">
        <v>1</v>
      </c>
      <c r="C131" s="274" t="s">
        <v>2</v>
      </c>
      <c r="D131" s="275" t="s">
        <v>147</v>
      </c>
      <c r="E131" s="276" t="s">
        <v>3</v>
      </c>
      <c r="F131" s="277" t="s">
        <v>4</v>
      </c>
      <c r="G131" s="380" t="s">
        <v>5</v>
      </c>
    </row>
    <row r="132" spans="1:7" x14ac:dyDescent="0.25">
      <c r="B132" s="339"/>
      <c r="C132" s="392"/>
      <c r="D132" s="340"/>
      <c r="E132" s="341"/>
      <c r="F132" s="342"/>
      <c r="G132" s="353"/>
    </row>
    <row r="133" spans="1:7" x14ac:dyDescent="0.25">
      <c r="B133" s="339" t="s">
        <v>176</v>
      </c>
      <c r="C133" s="392">
        <v>0.73837563529588102</v>
      </c>
      <c r="D133" s="340"/>
      <c r="E133" s="341"/>
      <c r="F133" s="342" t="s">
        <v>149</v>
      </c>
      <c r="G133" s="353"/>
    </row>
    <row r="134" spans="1:7" ht="108" x14ac:dyDescent="0.25">
      <c r="B134" s="433" t="s">
        <v>9740</v>
      </c>
      <c r="C134" s="395">
        <v>37.54162436470412</v>
      </c>
      <c r="D134" s="340" t="s">
        <v>167</v>
      </c>
      <c r="E134" s="341" t="s">
        <v>167</v>
      </c>
      <c r="F134" s="342" t="s">
        <v>167</v>
      </c>
      <c r="G134" s="340" t="s">
        <v>9742</v>
      </c>
    </row>
    <row r="135" spans="1:7" x14ac:dyDescent="0.25">
      <c r="B135" s="279" t="s">
        <v>60</v>
      </c>
      <c r="C135" s="386">
        <v>38.28</v>
      </c>
      <c r="F135" s="265"/>
      <c r="G135" s="284"/>
    </row>
    <row r="136" spans="1:7" x14ac:dyDescent="0.25">
      <c r="B136" s="281" t="s">
        <v>6</v>
      </c>
      <c r="C136" s="387">
        <v>38.28</v>
      </c>
      <c r="F136" s="265"/>
      <c r="G136" s="284"/>
    </row>
    <row r="137" spans="1:7" x14ac:dyDescent="0.25">
      <c r="B137" s="268"/>
      <c r="C137" s="269"/>
      <c r="D137" s="270"/>
      <c r="E137" s="272"/>
      <c r="F137" s="271"/>
      <c r="G137" s="378"/>
    </row>
    <row r="138" spans="1:7" x14ac:dyDescent="0.25">
      <c r="B138" s="268" t="s">
        <v>179</v>
      </c>
      <c r="C138" s="528" t="s">
        <v>8766</v>
      </c>
      <c r="D138" s="528"/>
      <c r="E138" s="528"/>
      <c r="F138" s="528"/>
      <c r="G138" s="528"/>
    </row>
    <row r="139" spans="1:7" x14ac:dyDescent="0.25">
      <c r="B139" s="268" t="s">
        <v>0</v>
      </c>
      <c r="C139" s="530" t="s">
        <v>181</v>
      </c>
      <c r="D139" s="530"/>
      <c r="E139" s="530"/>
      <c r="F139" s="530"/>
      <c r="G139" s="530"/>
    </row>
    <row r="140" spans="1:7" x14ac:dyDescent="0.25">
      <c r="B140" s="268"/>
      <c r="C140" s="269"/>
      <c r="D140" s="270"/>
      <c r="E140" s="272"/>
      <c r="F140" s="271"/>
      <c r="G140" s="378"/>
    </row>
    <row r="141" spans="1:7" x14ac:dyDescent="0.25">
      <c r="A141" s="266"/>
      <c r="B141" s="273" t="s">
        <v>1</v>
      </c>
      <c r="C141" s="274" t="s">
        <v>2</v>
      </c>
      <c r="D141" s="275" t="s">
        <v>147</v>
      </c>
      <c r="E141" s="276" t="s">
        <v>3</v>
      </c>
      <c r="F141" s="277" t="s">
        <v>4</v>
      </c>
      <c r="G141" s="379" t="s">
        <v>5</v>
      </c>
    </row>
    <row r="142" spans="1:7" ht="36" x14ac:dyDescent="0.25">
      <c r="B142" s="339" t="s">
        <v>175</v>
      </c>
      <c r="C142" s="392">
        <v>2.2000000000000002</v>
      </c>
      <c r="D142" s="340" t="s">
        <v>156</v>
      </c>
      <c r="E142" s="341" t="s">
        <v>182</v>
      </c>
      <c r="F142" s="342" t="s">
        <v>149</v>
      </c>
      <c r="G142" s="353"/>
    </row>
    <row r="143" spans="1:7" ht="96" x14ac:dyDescent="0.25">
      <c r="B143" s="339" t="s">
        <v>9704</v>
      </c>
      <c r="C143" s="392">
        <v>48.8</v>
      </c>
      <c r="D143" s="340" t="s">
        <v>167</v>
      </c>
      <c r="E143" s="341" t="s">
        <v>167</v>
      </c>
      <c r="F143" s="342" t="s">
        <v>167</v>
      </c>
      <c r="G143" s="353" t="s">
        <v>9705</v>
      </c>
    </row>
    <row r="144" spans="1:7" x14ac:dyDescent="0.25">
      <c r="B144" s="285" t="s">
        <v>60</v>
      </c>
      <c r="C144" s="396">
        <f>SUM(C142:C143)</f>
        <v>51</v>
      </c>
      <c r="F144" s="265"/>
      <c r="G144" s="284"/>
    </row>
    <row r="145" spans="1:7" x14ac:dyDescent="0.25">
      <c r="B145" s="281" t="s">
        <v>6</v>
      </c>
      <c r="C145" s="387">
        <f>C144</f>
        <v>51</v>
      </c>
      <c r="F145" s="265"/>
      <c r="G145" s="284"/>
    </row>
    <row r="146" spans="1:7" x14ac:dyDescent="0.25">
      <c r="B146" s="268"/>
      <c r="C146" s="269"/>
      <c r="D146" s="270"/>
      <c r="E146" s="272"/>
      <c r="F146" s="271"/>
      <c r="G146" s="378"/>
    </row>
    <row r="147" spans="1:7" x14ac:dyDescent="0.25">
      <c r="B147" s="268" t="s">
        <v>183</v>
      </c>
      <c r="C147" s="528" t="s">
        <v>184</v>
      </c>
      <c r="D147" s="528"/>
      <c r="E147" s="528"/>
      <c r="F147" s="528"/>
      <c r="G147" s="528"/>
    </row>
    <row r="148" spans="1:7" x14ac:dyDescent="0.25">
      <c r="B148" s="268" t="s">
        <v>0</v>
      </c>
      <c r="C148" s="530" t="s">
        <v>169</v>
      </c>
      <c r="D148" s="530"/>
      <c r="E148" s="530"/>
      <c r="F148" s="530"/>
      <c r="G148" s="530"/>
    </row>
    <row r="149" spans="1:7" x14ac:dyDescent="0.25">
      <c r="B149" s="268"/>
      <c r="C149" s="269"/>
      <c r="D149" s="270"/>
      <c r="E149" s="272"/>
      <c r="F149" s="271"/>
      <c r="G149" s="378"/>
    </row>
    <row r="150" spans="1:7" x14ac:dyDescent="0.25">
      <c r="B150" s="273" t="s">
        <v>1</v>
      </c>
      <c r="C150" s="397" t="s">
        <v>2</v>
      </c>
      <c r="D150" s="275" t="s">
        <v>147</v>
      </c>
      <c r="E150" s="276" t="s">
        <v>3</v>
      </c>
      <c r="F150" s="277" t="s">
        <v>4</v>
      </c>
      <c r="G150" s="380" t="s">
        <v>5</v>
      </c>
    </row>
    <row r="151" spans="1:7" ht="132" x14ac:dyDescent="0.25">
      <c r="A151" s="266"/>
      <c r="B151" s="356" t="s">
        <v>185</v>
      </c>
      <c r="C151" s="391">
        <v>1.1399999999999999</v>
      </c>
      <c r="D151" s="350" t="s">
        <v>167</v>
      </c>
      <c r="E151" s="357"/>
      <c r="F151" s="342" t="s">
        <v>149</v>
      </c>
      <c r="G151" s="358" t="s">
        <v>9706</v>
      </c>
    </row>
    <row r="152" spans="1:7" ht="60" x14ac:dyDescent="0.25">
      <c r="A152" s="266"/>
      <c r="B152" s="356" t="s">
        <v>186</v>
      </c>
      <c r="C152" s="391">
        <v>1.1399999999999999</v>
      </c>
      <c r="D152" s="350" t="s">
        <v>156</v>
      </c>
      <c r="E152" s="341"/>
      <c r="F152" s="342" t="s">
        <v>149</v>
      </c>
      <c r="G152" s="350" t="s">
        <v>9707</v>
      </c>
    </row>
    <row r="153" spans="1:7" ht="204" x14ac:dyDescent="0.25">
      <c r="A153" s="266"/>
      <c r="B153" s="356" t="s">
        <v>187</v>
      </c>
      <c r="C153" s="391">
        <v>0.87</v>
      </c>
      <c r="D153" s="350" t="s">
        <v>8630</v>
      </c>
      <c r="E153" s="357">
        <v>0.1875</v>
      </c>
      <c r="F153" s="342" t="s">
        <v>149</v>
      </c>
      <c r="G153" s="350" t="s">
        <v>9708</v>
      </c>
    </row>
    <row r="154" spans="1:7" ht="60" x14ac:dyDescent="0.25">
      <c r="B154" s="287" t="s">
        <v>9709</v>
      </c>
      <c r="C154" s="398">
        <f>C155-SUM(C151:C153)</f>
        <v>36.85</v>
      </c>
      <c r="D154" s="340"/>
      <c r="E154" s="341"/>
      <c r="F154" s="342"/>
      <c r="G154" s="351" t="s">
        <v>9710</v>
      </c>
    </row>
    <row r="155" spans="1:7" x14ac:dyDescent="0.25">
      <c r="B155" s="279" t="s">
        <v>60</v>
      </c>
      <c r="C155" s="386">
        <f>'[3]Tract 7'!$D$5</f>
        <v>40</v>
      </c>
      <c r="F155" s="265"/>
      <c r="G155" s="284"/>
    </row>
    <row r="156" spans="1:7" x14ac:dyDescent="0.25">
      <c r="B156" s="281" t="s">
        <v>6</v>
      </c>
      <c r="C156" s="387">
        <f>C155</f>
        <v>40</v>
      </c>
      <c r="F156" s="265"/>
      <c r="G156" s="284"/>
    </row>
    <row r="157" spans="1:7" x14ac:dyDescent="0.25">
      <c r="B157" s="268"/>
      <c r="C157" s="269"/>
      <c r="D157" s="270"/>
      <c r="E157" s="272"/>
      <c r="F157" s="271"/>
      <c r="G157" s="378"/>
    </row>
    <row r="158" spans="1:7" ht="50.25" customHeight="1" x14ac:dyDescent="0.25">
      <c r="B158" s="268" t="s">
        <v>188</v>
      </c>
      <c r="C158" s="528" t="s">
        <v>189</v>
      </c>
      <c r="D158" s="528"/>
      <c r="E158" s="528"/>
      <c r="F158" s="528"/>
      <c r="G158" s="528"/>
    </row>
    <row r="159" spans="1:7" x14ac:dyDescent="0.25">
      <c r="B159" s="268" t="s">
        <v>0</v>
      </c>
      <c r="C159" s="530" t="s">
        <v>190</v>
      </c>
      <c r="D159" s="530"/>
      <c r="E159" s="530"/>
      <c r="F159" s="530"/>
      <c r="G159" s="530"/>
    </row>
    <row r="160" spans="1:7" x14ac:dyDescent="0.25">
      <c r="B160" s="268"/>
      <c r="C160" s="269"/>
      <c r="F160" s="265"/>
      <c r="G160" s="284"/>
    </row>
    <row r="161" spans="1:7" x14ac:dyDescent="0.25">
      <c r="B161" s="268"/>
      <c r="C161" s="269"/>
      <c r="D161" s="270"/>
      <c r="E161" s="272"/>
      <c r="F161" s="271"/>
      <c r="G161" s="378"/>
    </row>
    <row r="162" spans="1:7" x14ac:dyDescent="0.25">
      <c r="B162" s="273" t="s">
        <v>1</v>
      </c>
      <c r="C162" s="274" t="s">
        <v>2</v>
      </c>
      <c r="D162" s="275" t="s">
        <v>147</v>
      </c>
      <c r="E162" s="276" t="s">
        <v>3</v>
      </c>
      <c r="F162" s="277" t="s">
        <v>4</v>
      </c>
      <c r="G162" s="380" t="s">
        <v>5</v>
      </c>
    </row>
    <row r="163" spans="1:7" ht="48" x14ac:dyDescent="0.25">
      <c r="A163" s="266"/>
      <c r="B163" s="356" t="s">
        <v>191</v>
      </c>
      <c r="C163" s="391">
        <v>32.799999999999997</v>
      </c>
      <c r="D163" s="340">
        <v>62</v>
      </c>
      <c r="E163" s="341">
        <v>0.1875</v>
      </c>
      <c r="F163" s="342" t="s">
        <v>149</v>
      </c>
      <c r="G163" s="340" t="s">
        <v>9711</v>
      </c>
    </row>
    <row r="164" spans="1:7" x14ac:dyDescent="0.25">
      <c r="B164" s="279" t="s">
        <v>60</v>
      </c>
      <c r="C164" s="386">
        <f>SUM(C163:C163)</f>
        <v>32.799999999999997</v>
      </c>
      <c r="F164" s="265"/>
      <c r="G164" s="284"/>
    </row>
    <row r="165" spans="1:7" x14ac:dyDescent="0.25">
      <c r="B165" s="281" t="s">
        <v>6</v>
      </c>
      <c r="C165" s="386">
        <f>C164</f>
        <v>32.799999999999997</v>
      </c>
      <c r="F165" s="265"/>
      <c r="G165" s="284"/>
    </row>
    <row r="166" spans="1:7" x14ac:dyDescent="0.25">
      <c r="B166" s="268"/>
      <c r="C166" s="269"/>
      <c r="D166" s="270"/>
      <c r="E166" s="272"/>
      <c r="F166" s="271"/>
      <c r="G166" s="378"/>
    </row>
    <row r="167" spans="1:7" ht="48" customHeight="1" x14ac:dyDescent="0.25">
      <c r="B167" s="268" t="s">
        <v>192</v>
      </c>
      <c r="C167" s="528" t="s">
        <v>193</v>
      </c>
      <c r="D167" s="528"/>
      <c r="E167" s="528"/>
      <c r="F167" s="528"/>
      <c r="G167" s="528"/>
    </row>
    <row r="168" spans="1:7" x14ac:dyDescent="0.25">
      <c r="B168" s="268" t="s">
        <v>0</v>
      </c>
      <c r="C168" s="530" t="s">
        <v>194</v>
      </c>
      <c r="D168" s="530"/>
      <c r="E168" s="530"/>
      <c r="F168" s="530"/>
      <c r="G168" s="530"/>
    </row>
    <row r="169" spans="1:7" x14ac:dyDescent="0.25">
      <c r="B169" s="268"/>
      <c r="C169" s="269"/>
      <c r="D169" s="270"/>
      <c r="E169" s="272"/>
      <c r="F169" s="271"/>
      <c r="G169" s="378"/>
    </row>
    <row r="170" spans="1:7" x14ac:dyDescent="0.25">
      <c r="B170" s="273" t="s">
        <v>1</v>
      </c>
      <c r="C170" s="274" t="s">
        <v>2</v>
      </c>
      <c r="D170" s="275" t="s">
        <v>147</v>
      </c>
      <c r="E170" s="276" t="s">
        <v>3</v>
      </c>
      <c r="F170" s="277" t="s">
        <v>4</v>
      </c>
      <c r="G170" s="380" t="s">
        <v>5</v>
      </c>
    </row>
    <row r="171" spans="1:7" ht="168" x14ac:dyDescent="0.25">
      <c r="A171" s="266"/>
      <c r="B171" s="356" t="s">
        <v>151</v>
      </c>
      <c r="C171" s="391">
        <v>18.835000000000001</v>
      </c>
      <c r="D171" s="340" t="s">
        <v>8617</v>
      </c>
      <c r="E171" s="341">
        <v>0.1875</v>
      </c>
      <c r="F171" s="342" t="s">
        <v>9683</v>
      </c>
      <c r="G171" s="340" t="s">
        <v>9685</v>
      </c>
    </row>
    <row r="172" spans="1:7" ht="120" x14ac:dyDescent="0.25">
      <c r="A172" s="266"/>
      <c r="B172" s="432" t="s">
        <v>148</v>
      </c>
      <c r="C172" s="394">
        <v>18.835000000000001</v>
      </c>
      <c r="D172" s="340">
        <v>66</v>
      </c>
      <c r="E172" s="341"/>
      <c r="F172" s="342" t="s">
        <v>9681</v>
      </c>
      <c r="G172" s="340" t="s">
        <v>9737</v>
      </c>
    </row>
    <row r="173" spans="1:7" ht="120" x14ac:dyDescent="0.25">
      <c r="A173" s="266"/>
      <c r="B173" s="432" t="s">
        <v>9738</v>
      </c>
      <c r="C173" s="394">
        <v>18.835000000000001</v>
      </c>
      <c r="D173" s="340">
        <v>64</v>
      </c>
      <c r="E173" s="341"/>
      <c r="F173" s="342" t="s">
        <v>9682</v>
      </c>
      <c r="G173" s="340" t="s">
        <v>9739</v>
      </c>
    </row>
    <row r="174" spans="1:7" ht="96" x14ac:dyDescent="0.25">
      <c r="A174" s="266"/>
      <c r="B174" s="287" t="s">
        <v>9740</v>
      </c>
      <c r="C174" s="394">
        <v>18.835000000000001</v>
      </c>
      <c r="D174" s="340" t="s">
        <v>167</v>
      </c>
      <c r="E174" s="341" t="s">
        <v>167</v>
      </c>
      <c r="F174" s="342" t="s">
        <v>167</v>
      </c>
      <c r="G174" s="340" t="s">
        <v>9741</v>
      </c>
    </row>
    <row r="175" spans="1:7" x14ac:dyDescent="0.25">
      <c r="B175" s="279" t="s">
        <v>60</v>
      </c>
      <c r="C175" s="386">
        <f>SUM(C171:C174)</f>
        <v>75.34</v>
      </c>
      <c r="F175" s="265"/>
      <c r="G175" s="284"/>
    </row>
    <row r="176" spans="1:7" x14ac:dyDescent="0.25">
      <c r="B176" s="281" t="s">
        <v>6</v>
      </c>
      <c r="C176" s="390">
        <f>C175</f>
        <v>75.34</v>
      </c>
      <c r="F176" s="265"/>
      <c r="G176" s="284"/>
    </row>
    <row r="177" spans="1:7" x14ac:dyDescent="0.25">
      <c r="B177" s="268"/>
      <c r="C177" s="269"/>
      <c r="D177" s="270"/>
      <c r="E177" s="272"/>
      <c r="F177" s="271"/>
      <c r="G177" s="378"/>
    </row>
    <row r="178" spans="1:7" x14ac:dyDescent="0.25">
      <c r="B178" s="268" t="s">
        <v>195</v>
      </c>
      <c r="C178" s="528" t="s">
        <v>108</v>
      </c>
      <c r="D178" s="528"/>
      <c r="E178" s="528"/>
      <c r="F178" s="528"/>
      <c r="G178" s="528"/>
    </row>
    <row r="179" spans="1:7" x14ac:dyDescent="0.25">
      <c r="B179" s="268" t="s">
        <v>0</v>
      </c>
      <c r="C179" s="530" t="s">
        <v>169</v>
      </c>
      <c r="D179" s="530"/>
      <c r="E179" s="530"/>
      <c r="F179" s="530"/>
      <c r="G179" s="530"/>
    </row>
    <row r="180" spans="1:7" x14ac:dyDescent="0.25">
      <c r="B180" s="268"/>
      <c r="C180" s="269"/>
      <c r="F180" s="265"/>
      <c r="G180" s="284"/>
    </row>
    <row r="181" spans="1:7" x14ac:dyDescent="0.25">
      <c r="B181" s="359" t="s">
        <v>1</v>
      </c>
      <c r="C181" s="397" t="s">
        <v>2</v>
      </c>
      <c r="D181" s="352" t="s">
        <v>147</v>
      </c>
      <c r="E181" s="360" t="s">
        <v>3</v>
      </c>
      <c r="F181" s="361" t="s">
        <v>4</v>
      </c>
      <c r="G181" s="380" t="s">
        <v>5</v>
      </c>
    </row>
    <row r="182" spans="1:7" ht="96" x14ac:dyDescent="0.25">
      <c r="A182" s="266"/>
      <c r="B182" s="339" t="s">
        <v>8764</v>
      </c>
      <c r="C182" s="385">
        <v>13.319999999999961</v>
      </c>
      <c r="D182" s="340" t="s">
        <v>8626</v>
      </c>
      <c r="E182" s="341">
        <v>0.1875</v>
      </c>
      <c r="F182" s="342" t="s">
        <v>9686</v>
      </c>
      <c r="G182" s="340" t="s">
        <v>9712</v>
      </c>
    </row>
    <row r="183" spans="1:7" ht="96" x14ac:dyDescent="0.25">
      <c r="A183" s="266"/>
      <c r="B183" s="339" t="s">
        <v>170</v>
      </c>
      <c r="C183" s="385">
        <v>13.319999999999961</v>
      </c>
      <c r="D183" s="340" t="s">
        <v>8627</v>
      </c>
      <c r="E183" s="341">
        <v>0.1875</v>
      </c>
      <c r="F183" s="342" t="s">
        <v>9687</v>
      </c>
      <c r="G183" s="340" t="s">
        <v>9713</v>
      </c>
    </row>
    <row r="184" spans="1:7" ht="96" x14ac:dyDescent="0.25">
      <c r="A184" s="266"/>
      <c r="B184" s="278" t="s">
        <v>152</v>
      </c>
      <c r="C184" s="384">
        <v>13.35999999999996</v>
      </c>
      <c r="D184" s="340" t="s">
        <v>8628</v>
      </c>
      <c r="E184" s="341">
        <v>0.1875</v>
      </c>
      <c r="F184" s="342" t="s">
        <v>9688</v>
      </c>
      <c r="G184" s="340" t="s">
        <v>9714</v>
      </c>
    </row>
    <row r="185" spans="1:7" x14ac:dyDescent="0.25">
      <c r="B185" s="279" t="s">
        <v>60</v>
      </c>
      <c r="C185" s="386">
        <v>40</v>
      </c>
      <c r="D185" s="286"/>
      <c r="E185" s="354"/>
      <c r="F185" s="355"/>
      <c r="G185" s="381"/>
    </row>
    <row r="186" spans="1:7" x14ac:dyDescent="0.25">
      <c r="B186" s="281" t="s">
        <v>6</v>
      </c>
      <c r="C186" s="387">
        <v>40</v>
      </c>
      <c r="D186" s="286"/>
      <c r="E186" s="354"/>
      <c r="F186" s="355"/>
      <c r="G186" s="381"/>
    </row>
    <row r="187" spans="1:7" x14ac:dyDescent="0.25">
      <c r="B187" s="268"/>
      <c r="C187" s="269"/>
      <c r="D187" s="270"/>
      <c r="E187" s="272"/>
      <c r="F187" s="271"/>
      <c r="G187" s="378"/>
    </row>
    <row r="188" spans="1:7" ht="39.75" customHeight="1" x14ac:dyDescent="0.25">
      <c r="B188" s="288" t="s">
        <v>196</v>
      </c>
      <c r="C188" s="528" t="s">
        <v>8631</v>
      </c>
      <c r="D188" s="528"/>
      <c r="E188" s="528"/>
      <c r="F188" s="528"/>
      <c r="G188" s="528"/>
    </row>
    <row r="189" spans="1:7" x14ac:dyDescent="0.25">
      <c r="B189" s="268"/>
      <c r="C189" s="269"/>
      <c r="D189" s="270"/>
      <c r="E189" s="272"/>
      <c r="F189" s="271"/>
      <c r="G189" s="378"/>
    </row>
    <row r="190" spans="1:7" x14ac:dyDescent="0.25">
      <c r="B190" s="273" t="s">
        <v>65</v>
      </c>
      <c r="C190" s="274" t="s">
        <v>2</v>
      </c>
      <c r="D190" s="275" t="s">
        <v>66</v>
      </c>
      <c r="E190" s="360" t="s">
        <v>3</v>
      </c>
      <c r="F190" s="277" t="s">
        <v>4</v>
      </c>
      <c r="G190" s="379" t="s">
        <v>5</v>
      </c>
    </row>
    <row r="191" spans="1:7" ht="84" x14ac:dyDescent="0.25">
      <c r="B191" s="339" t="s">
        <v>3020</v>
      </c>
      <c r="C191" s="363" t="s">
        <v>182</v>
      </c>
      <c r="D191" s="342" t="s">
        <v>3037</v>
      </c>
      <c r="E191" s="341" t="s">
        <v>182</v>
      </c>
      <c r="F191" s="342" t="s">
        <v>149</v>
      </c>
      <c r="G191" s="353" t="s">
        <v>9724</v>
      </c>
    </row>
    <row r="192" spans="1:7" ht="96" x14ac:dyDescent="0.25">
      <c r="B192" s="339" t="s">
        <v>2371</v>
      </c>
      <c r="C192" s="363" t="s">
        <v>182</v>
      </c>
      <c r="D192" s="342" t="s">
        <v>3038</v>
      </c>
      <c r="E192" s="341" t="s">
        <v>182</v>
      </c>
      <c r="F192" s="342" t="s">
        <v>149</v>
      </c>
      <c r="G192" s="353" t="s">
        <v>9725</v>
      </c>
    </row>
    <row r="193" spans="2:7" ht="84" x14ac:dyDescent="0.25">
      <c r="B193" s="278" t="s">
        <v>2287</v>
      </c>
      <c r="C193" s="431" t="s">
        <v>182</v>
      </c>
      <c r="D193" s="342" t="s">
        <v>3041</v>
      </c>
      <c r="E193" s="341" t="s">
        <v>182</v>
      </c>
      <c r="F193" s="342" t="s">
        <v>149</v>
      </c>
      <c r="G193" s="353" t="s">
        <v>9726</v>
      </c>
    </row>
    <row r="194" spans="2:7" ht="84" x14ac:dyDescent="0.25">
      <c r="B194" s="278" t="s">
        <v>2435</v>
      </c>
      <c r="C194" s="431" t="s">
        <v>182</v>
      </c>
      <c r="D194" s="342" t="s">
        <v>3042</v>
      </c>
      <c r="E194" s="341" t="s">
        <v>182</v>
      </c>
      <c r="F194" s="342" t="s">
        <v>149</v>
      </c>
      <c r="G194" s="353" t="s">
        <v>9727</v>
      </c>
    </row>
    <row r="195" spans="2:7" ht="96" x14ac:dyDescent="0.25">
      <c r="B195" s="278" t="s">
        <v>3025</v>
      </c>
      <c r="C195" s="431" t="s">
        <v>182</v>
      </c>
      <c r="D195" s="342" t="s">
        <v>3045</v>
      </c>
      <c r="E195" s="341" t="s">
        <v>182</v>
      </c>
      <c r="F195" s="342" t="s">
        <v>149</v>
      </c>
      <c r="G195" s="353" t="s">
        <v>9728</v>
      </c>
    </row>
    <row r="196" spans="2:7" ht="84" x14ac:dyDescent="0.25">
      <c r="B196" s="278" t="s">
        <v>3027</v>
      </c>
      <c r="C196" s="431" t="s">
        <v>182</v>
      </c>
      <c r="D196" s="342" t="s">
        <v>3047</v>
      </c>
      <c r="E196" s="341" t="s">
        <v>182</v>
      </c>
      <c r="F196" s="342" t="s">
        <v>149</v>
      </c>
      <c r="G196" s="353" t="s">
        <v>9729</v>
      </c>
    </row>
    <row r="197" spans="2:7" ht="96" x14ac:dyDescent="0.25">
      <c r="B197" s="278" t="s">
        <v>3028</v>
      </c>
      <c r="C197" s="431" t="s">
        <v>182</v>
      </c>
      <c r="D197" s="342" t="s">
        <v>3048</v>
      </c>
      <c r="E197" s="341" t="s">
        <v>182</v>
      </c>
      <c r="F197" s="342" t="s">
        <v>149</v>
      </c>
      <c r="G197" s="353" t="s">
        <v>9730</v>
      </c>
    </row>
    <row r="198" spans="2:7" ht="96" x14ac:dyDescent="0.25">
      <c r="B198" s="278" t="s">
        <v>3029</v>
      </c>
      <c r="C198" s="431" t="s">
        <v>182</v>
      </c>
      <c r="D198" s="342" t="s">
        <v>3049</v>
      </c>
      <c r="E198" s="341" t="s">
        <v>182</v>
      </c>
      <c r="F198" s="342" t="s">
        <v>149</v>
      </c>
      <c r="G198" s="353" t="s">
        <v>9731</v>
      </c>
    </row>
    <row r="199" spans="2:7" ht="120" x14ac:dyDescent="0.25">
      <c r="B199" s="278" t="s">
        <v>9732</v>
      </c>
      <c r="C199" s="431" t="s">
        <v>182</v>
      </c>
      <c r="D199" s="342" t="s">
        <v>3050</v>
      </c>
      <c r="E199" s="341" t="s">
        <v>182</v>
      </c>
      <c r="F199" s="342" t="s">
        <v>149</v>
      </c>
      <c r="G199" s="353" t="s">
        <v>9733</v>
      </c>
    </row>
    <row r="200" spans="2:7" ht="84" x14ac:dyDescent="0.25">
      <c r="B200" s="278" t="s">
        <v>3031</v>
      </c>
      <c r="C200" s="431" t="s">
        <v>182</v>
      </c>
      <c r="D200" s="342" t="s">
        <v>3051</v>
      </c>
      <c r="E200" s="341" t="s">
        <v>182</v>
      </c>
      <c r="F200" s="342" t="s">
        <v>149</v>
      </c>
      <c r="G200" s="353" t="s">
        <v>9734</v>
      </c>
    </row>
    <row r="201" spans="2:7" ht="84" x14ac:dyDescent="0.25">
      <c r="B201" s="278" t="s">
        <v>2542</v>
      </c>
      <c r="C201" s="431" t="s">
        <v>182</v>
      </c>
      <c r="D201" s="342" t="s">
        <v>3052</v>
      </c>
      <c r="E201" s="341" t="s">
        <v>182</v>
      </c>
      <c r="F201" s="342" t="s">
        <v>149</v>
      </c>
      <c r="G201" s="353" t="s">
        <v>9735</v>
      </c>
    </row>
    <row r="202" spans="2:7" ht="96" x14ac:dyDescent="0.25">
      <c r="B202" s="278" t="s">
        <v>8603</v>
      </c>
      <c r="C202" s="431" t="s">
        <v>182</v>
      </c>
      <c r="D202" s="342" t="s">
        <v>3191</v>
      </c>
      <c r="E202" s="341" t="s">
        <v>182</v>
      </c>
      <c r="F202" s="342" t="s">
        <v>149</v>
      </c>
      <c r="G202" s="353" t="s">
        <v>9736</v>
      </c>
    </row>
    <row r="203" spans="2:7" x14ac:dyDescent="0.25">
      <c r="B203" s="278"/>
      <c r="C203" s="365"/>
      <c r="D203" s="340"/>
      <c r="E203" s="341"/>
      <c r="F203" s="342"/>
      <c r="G203" s="353"/>
    </row>
    <row r="204" spans="2:7" x14ac:dyDescent="0.25">
      <c r="B204" s="279" t="s">
        <v>60</v>
      </c>
      <c r="C204" s="280" t="s">
        <v>182</v>
      </c>
      <c r="F204" s="265"/>
      <c r="G204" s="284"/>
    </row>
    <row r="205" spans="2:7" x14ac:dyDescent="0.25">
      <c r="B205" s="281" t="s">
        <v>6</v>
      </c>
      <c r="C205" s="349" t="s">
        <v>182</v>
      </c>
      <c r="D205" s="366"/>
      <c r="F205" s="265"/>
      <c r="G205" s="284"/>
    </row>
    <row r="206" spans="2:7" x14ac:dyDescent="0.25">
      <c r="B206" s="268"/>
      <c r="C206" s="282"/>
      <c r="D206" s="270"/>
      <c r="E206" s="272"/>
      <c r="F206" s="271"/>
      <c r="G206" s="378"/>
    </row>
    <row r="207" spans="2:7" x14ac:dyDescent="0.25">
      <c r="B207" s="268"/>
      <c r="C207" s="282"/>
      <c r="D207" s="270"/>
      <c r="E207" s="272"/>
      <c r="F207" s="271"/>
      <c r="G207" s="378"/>
    </row>
    <row r="208" spans="2:7" ht="42" customHeight="1" x14ac:dyDescent="0.25">
      <c r="B208" s="288" t="s">
        <v>196</v>
      </c>
      <c r="C208" s="532" t="s">
        <v>9684</v>
      </c>
      <c r="D208" s="532"/>
      <c r="E208" s="532"/>
      <c r="F208" s="532"/>
      <c r="G208" s="532"/>
    </row>
    <row r="209" spans="1:7" x14ac:dyDescent="0.25">
      <c r="B209" s="268"/>
      <c r="C209" s="282"/>
      <c r="D209" s="270"/>
      <c r="E209" s="272"/>
      <c r="F209" s="271"/>
      <c r="G209" s="378"/>
    </row>
    <row r="210" spans="1:7" x14ac:dyDescent="0.25">
      <c r="B210" s="273" t="s">
        <v>65</v>
      </c>
      <c r="C210" s="283" t="s">
        <v>2</v>
      </c>
      <c r="D210" s="275" t="s">
        <v>66</v>
      </c>
      <c r="E210" s="360" t="s">
        <v>3</v>
      </c>
      <c r="F210" s="277" t="s">
        <v>4</v>
      </c>
      <c r="G210" s="379" t="s">
        <v>5</v>
      </c>
    </row>
    <row r="211" spans="1:7" ht="390" x14ac:dyDescent="0.25">
      <c r="B211" s="362" t="s">
        <v>197</v>
      </c>
      <c r="C211" s="384">
        <f>'[3]WI 2'!C15</f>
        <v>114.18230799999999</v>
      </c>
      <c r="D211" s="368" t="s">
        <v>8632</v>
      </c>
      <c r="E211" s="369">
        <v>0.1875</v>
      </c>
      <c r="F211" s="370" t="s">
        <v>198</v>
      </c>
      <c r="G211" s="368" t="s">
        <v>9723</v>
      </c>
    </row>
    <row r="212" spans="1:7" ht="132" x14ac:dyDescent="0.25">
      <c r="B212" s="339" t="s">
        <v>199</v>
      </c>
      <c r="C212" s="363" t="s">
        <v>182</v>
      </c>
      <c r="D212" s="367" t="s">
        <v>8597</v>
      </c>
      <c r="E212" s="341" t="s">
        <v>182</v>
      </c>
      <c r="F212" s="367" t="s">
        <v>149</v>
      </c>
      <c r="G212" s="353" t="s">
        <v>9715</v>
      </c>
    </row>
    <row r="213" spans="1:7" ht="48" x14ac:dyDescent="0.25">
      <c r="B213" s="339" t="s">
        <v>200</v>
      </c>
      <c r="C213" s="363" t="s">
        <v>182</v>
      </c>
      <c r="D213" s="342" t="s">
        <v>8598</v>
      </c>
      <c r="E213" s="341" t="s">
        <v>182</v>
      </c>
      <c r="F213" s="342" t="s">
        <v>201</v>
      </c>
      <c r="G213" s="353" t="s">
        <v>9716</v>
      </c>
    </row>
    <row r="214" spans="1:7" x14ac:dyDescent="0.25">
      <c r="B214" s="278"/>
      <c r="C214" s="365"/>
      <c r="D214" s="340"/>
      <c r="E214" s="341"/>
      <c r="F214" s="342"/>
      <c r="G214" s="364"/>
    </row>
    <row r="215" spans="1:7" x14ac:dyDescent="0.25">
      <c r="B215" s="279" t="s">
        <v>60</v>
      </c>
      <c r="C215" s="280" t="s">
        <v>182</v>
      </c>
      <c r="F215" s="265"/>
      <c r="G215" s="284"/>
    </row>
    <row r="216" spans="1:7" x14ac:dyDescent="0.25">
      <c r="B216" s="281" t="s">
        <v>6</v>
      </c>
      <c r="C216" s="349" t="s">
        <v>182</v>
      </c>
      <c r="F216" s="265"/>
      <c r="G216" s="284"/>
    </row>
    <row r="217" spans="1:7" x14ac:dyDescent="0.25">
      <c r="B217" s="268"/>
      <c r="C217" s="282"/>
      <c r="D217" s="270"/>
      <c r="E217" s="272"/>
      <c r="F217" s="271"/>
      <c r="G217" s="378"/>
    </row>
    <row r="218" spans="1:7" x14ac:dyDescent="0.25">
      <c r="B218" s="289" t="s">
        <v>9753</v>
      </c>
      <c r="C218" s="282"/>
      <c r="D218" s="270"/>
      <c r="E218" s="272"/>
      <c r="F218" s="271"/>
      <c r="G218" s="378"/>
    </row>
    <row r="219" spans="1:7" ht="57.75" customHeight="1" x14ac:dyDescent="0.25">
      <c r="B219" s="531" t="s">
        <v>9717</v>
      </c>
      <c r="C219" s="531"/>
      <c r="D219" s="531"/>
      <c r="E219" s="531"/>
      <c r="F219" s="531"/>
      <c r="G219" s="531"/>
    </row>
    <row r="220" spans="1:7" x14ac:dyDescent="0.25">
      <c r="A220" s="290"/>
      <c r="B220"/>
      <c r="C220" s="291"/>
      <c r="D220"/>
      <c r="E220" s="267"/>
      <c r="F220"/>
      <c r="G220"/>
    </row>
  </sheetData>
  <autoFilter ref="A7:G7" xr:uid="{F2C56A8B-8BDB-433F-8082-D657BEAB7EB5}"/>
  <mergeCells count="24">
    <mergeCell ref="B219:G219"/>
    <mergeCell ref="C159:G159"/>
    <mergeCell ref="C167:G167"/>
    <mergeCell ref="C168:G168"/>
    <mergeCell ref="C178:G178"/>
    <mergeCell ref="C179:G179"/>
    <mergeCell ref="C188:G188"/>
    <mergeCell ref="C208:G208"/>
    <mergeCell ref="C158:G158"/>
    <mergeCell ref="B2:G2"/>
    <mergeCell ref="C4:G4"/>
    <mergeCell ref="C5:G5"/>
    <mergeCell ref="C18:G18"/>
    <mergeCell ref="C19:G19"/>
    <mergeCell ref="C129:G129"/>
    <mergeCell ref="C138:G138"/>
    <mergeCell ref="C139:G139"/>
    <mergeCell ref="C147:G147"/>
    <mergeCell ref="C148:G148"/>
    <mergeCell ref="C100:G100"/>
    <mergeCell ref="C101:G101"/>
    <mergeCell ref="C114:G114"/>
    <mergeCell ref="C115:G115"/>
    <mergeCell ref="C128:G128"/>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31" max="6" man="1"/>
    <brk id="232" max="6" man="1"/>
    <brk id="258" max="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F16-5F50-46D1-B3E8-7F62D22941C2}">
  <dimension ref="A1:AB70"/>
  <sheetViews>
    <sheetView zoomScale="85" zoomScaleNormal="85" workbookViewId="0">
      <pane ySplit="1" topLeftCell="A2" activePane="bottomLeft" state="frozen"/>
      <selection pane="bottomLeft" activeCell="K6" sqref="K6"/>
    </sheetView>
  </sheetViews>
  <sheetFormatPr defaultColWidth="9.140625" defaultRowHeight="12.75" outlineLevelCol="1" x14ac:dyDescent="0.25"/>
  <cols>
    <col min="1" max="1" width="6.85546875" style="1" customWidth="1"/>
    <col min="2" max="2" width="11.42578125" style="1" bestFit="1" customWidth="1"/>
    <col min="3" max="3" width="7.5703125" style="2" bestFit="1" customWidth="1"/>
    <col min="4" max="4" width="15.42578125" style="2" bestFit="1" customWidth="1"/>
    <col min="5" max="5" width="8.7109375" style="2" bestFit="1" customWidth="1"/>
    <col min="6" max="7" width="10.28515625" style="310" bestFit="1" customWidth="1"/>
    <col min="8" max="8" width="23.140625" style="2" customWidth="1"/>
    <col min="9" max="9" width="26" style="2" customWidth="1"/>
    <col min="10" max="10" width="44.140625" style="2" bestFit="1" customWidth="1"/>
    <col min="11" max="11" width="36" style="2" bestFit="1" customWidth="1"/>
    <col min="12" max="12" width="9.85546875" style="2" bestFit="1" customWidth="1"/>
    <col min="13" max="13" width="7.7109375" style="2" bestFit="1" customWidth="1"/>
    <col min="14" max="14" width="15" style="2" bestFit="1" customWidth="1"/>
    <col min="15" max="15" width="10.28515625" style="310" bestFit="1" customWidth="1"/>
    <col min="16" max="16" width="10.42578125" style="78" bestFit="1" customWidth="1"/>
    <col min="17" max="17" width="7.28515625" style="309" bestFit="1" customWidth="1"/>
    <col min="18" max="21" width="6.85546875" style="2" hidden="1" customWidth="1" outlineLevel="1"/>
    <col min="22" max="22" width="12.140625" style="2" bestFit="1" customWidth="1" collapsed="1"/>
    <col min="23" max="23" width="14.5703125" style="2" bestFit="1" customWidth="1"/>
    <col min="24" max="24" width="11.42578125" style="2" bestFit="1" customWidth="1"/>
    <col min="25" max="25" width="9.7109375" style="2" bestFit="1" customWidth="1"/>
    <col min="26" max="26" width="10.5703125" style="1" bestFit="1" customWidth="1"/>
    <col min="27" max="27" width="9.140625" style="1"/>
    <col min="28" max="28" width="6.85546875" style="1" customWidth="1"/>
    <col min="29" max="16384" width="9.140625" style="1"/>
  </cols>
  <sheetData>
    <row r="1" spans="1:28" s="94" customFormat="1" ht="38.25" x14ac:dyDescent="0.25">
      <c r="A1" s="399" t="s">
        <v>84</v>
      </c>
      <c r="B1" s="399" t="s">
        <v>83</v>
      </c>
      <c r="C1" s="400" t="s">
        <v>10</v>
      </c>
      <c r="D1" s="400" t="s">
        <v>82</v>
      </c>
      <c r="E1" s="400" t="s">
        <v>81</v>
      </c>
      <c r="F1" s="401" t="s">
        <v>80</v>
      </c>
      <c r="G1" s="401" t="s">
        <v>79</v>
      </c>
      <c r="H1" s="400" t="s">
        <v>16</v>
      </c>
      <c r="I1" s="400" t="s">
        <v>17</v>
      </c>
      <c r="J1" s="400" t="s">
        <v>78</v>
      </c>
      <c r="K1" s="400" t="s">
        <v>77</v>
      </c>
      <c r="L1" s="400" t="s">
        <v>76</v>
      </c>
      <c r="M1" s="400" t="s">
        <v>75</v>
      </c>
      <c r="N1" s="400" t="s">
        <v>74</v>
      </c>
      <c r="O1" s="401" t="s">
        <v>73</v>
      </c>
      <c r="P1" s="402" t="s">
        <v>72</v>
      </c>
      <c r="Q1" s="403" t="s">
        <v>3</v>
      </c>
      <c r="R1" s="400"/>
      <c r="S1" s="400"/>
      <c r="T1" s="400"/>
      <c r="U1" s="400"/>
      <c r="V1" s="400" t="s">
        <v>71</v>
      </c>
      <c r="W1" s="400" t="s">
        <v>70</v>
      </c>
      <c r="X1" s="400" t="s">
        <v>69</v>
      </c>
      <c r="Y1" s="400" t="s">
        <v>68</v>
      </c>
      <c r="Z1" s="404"/>
      <c r="AA1" s="404"/>
      <c r="AB1" s="404"/>
    </row>
    <row r="2" spans="1:28" s="110" customFormat="1" ht="36" x14ac:dyDescent="0.25">
      <c r="A2" s="311">
        <v>1</v>
      </c>
      <c r="B2" s="311" t="s">
        <v>149</v>
      </c>
      <c r="C2" s="312" t="s">
        <v>182</v>
      </c>
      <c r="D2" s="313" t="s">
        <v>202</v>
      </c>
      <c r="E2" s="313" t="s">
        <v>203</v>
      </c>
      <c r="F2" s="314">
        <v>38000</v>
      </c>
      <c r="G2" s="314">
        <v>38029</v>
      </c>
      <c r="H2" s="315" t="s">
        <v>204</v>
      </c>
      <c r="I2" s="316" t="s">
        <v>205</v>
      </c>
      <c r="J2" s="316" t="s">
        <v>206</v>
      </c>
      <c r="K2" s="316" t="s">
        <v>207</v>
      </c>
      <c r="L2" s="312" t="s">
        <v>117</v>
      </c>
      <c r="M2" s="312">
        <v>375.33499999999998</v>
      </c>
      <c r="N2" s="312" t="s">
        <v>502</v>
      </c>
      <c r="O2" s="317">
        <v>39096</v>
      </c>
      <c r="P2" s="318">
        <v>28.08</v>
      </c>
      <c r="Q2" s="319">
        <v>0.1875</v>
      </c>
      <c r="R2" s="312" t="s">
        <v>89</v>
      </c>
      <c r="S2" s="312" t="s">
        <v>89</v>
      </c>
      <c r="T2" s="312" t="s">
        <v>89</v>
      </c>
      <c r="U2" s="312" t="s">
        <v>89</v>
      </c>
      <c r="V2" s="312" t="s">
        <v>89</v>
      </c>
      <c r="W2" s="312" t="s">
        <v>89</v>
      </c>
      <c r="X2" s="312" t="s">
        <v>89</v>
      </c>
      <c r="Y2" s="312" t="s">
        <v>89</v>
      </c>
      <c r="Z2" s="111"/>
    </row>
    <row r="3" spans="1:28" s="110" customFormat="1" ht="36" x14ac:dyDescent="0.25">
      <c r="A3" s="311">
        <v>2</v>
      </c>
      <c r="B3" s="311" t="s">
        <v>149</v>
      </c>
      <c r="C3" s="312" t="s">
        <v>182</v>
      </c>
      <c r="D3" s="313" t="s">
        <v>202</v>
      </c>
      <c r="E3" s="313" t="s">
        <v>208</v>
      </c>
      <c r="F3" s="314">
        <v>38000</v>
      </c>
      <c r="G3" s="314">
        <v>38029</v>
      </c>
      <c r="H3" s="315" t="s">
        <v>209</v>
      </c>
      <c r="I3" s="316" t="s">
        <v>205</v>
      </c>
      <c r="J3" s="316" t="s">
        <v>206</v>
      </c>
      <c r="K3" s="316" t="s">
        <v>207</v>
      </c>
      <c r="L3" s="312" t="s">
        <v>117</v>
      </c>
      <c r="M3" s="312">
        <v>375.33499999999998</v>
      </c>
      <c r="N3" s="312" t="s">
        <v>502</v>
      </c>
      <c r="O3" s="317">
        <v>39096</v>
      </c>
      <c r="P3" s="318">
        <v>100.17</v>
      </c>
      <c r="Q3" s="319">
        <v>0.1875</v>
      </c>
      <c r="R3" s="312" t="s">
        <v>89</v>
      </c>
      <c r="S3" s="312" t="s">
        <v>89</v>
      </c>
      <c r="T3" s="312" t="s">
        <v>89</v>
      </c>
      <c r="U3" s="312" t="s">
        <v>89</v>
      </c>
      <c r="V3" s="312" t="s">
        <v>89</v>
      </c>
      <c r="W3" s="312" t="s">
        <v>89</v>
      </c>
      <c r="X3" s="312" t="s">
        <v>89</v>
      </c>
      <c r="Y3" s="312" t="s">
        <v>89</v>
      </c>
    </row>
    <row r="4" spans="1:28" s="110" customFormat="1" ht="36" x14ac:dyDescent="0.25">
      <c r="A4" s="311">
        <v>3</v>
      </c>
      <c r="B4" s="311" t="s">
        <v>149</v>
      </c>
      <c r="C4" s="312" t="s">
        <v>182</v>
      </c>
      <c r="D4" s="313" t="s">
        <v>202</v>
      </c>
      <c r="E4" s="313" t="s">
        <v>210</v>
      </c>
      <c r="F4" s="314">
        <v>38000</v>
      </c>
      <c r="G4" s="314">
        <v>38029</v>
      </c>
      <c r="H4" s="316" t="s">
        <v>211</v>
      </c>
      <c r="I4" s="316" t="s">
        <v>205</v>
      </c>
      <c r="J4" s="316" t="s">
        <v>206</v>
      </c>
      <c r="K4" s="316" t="s">
        <v>207</v>
      </c>
      <c r="L4" s="312" t="s">
        <v>117</v>
      </c>
      <c r="M4" s="312">
        <v>375.33499999999998</v>
      </c>
      <c r="N4" s="312" t="s">
        <v>502</v>
      </c>
      <c r="O4" s="317">
        <v>39096</v>
      </c>
      <c r="P4" s="318">
        <v>45.39</v>
      </c>
      <c r="Q4" s="319">
        <v>0.1875</v>
      </c>
      <c r="R4" s="312" t="s">
        <v>89</v>
      </c>
      <c r="S4" s="312" t="s">
        <v>89</v>
      </c>
      <c r="T4" s="312" t="s">
        <v>89</v>
      </c>
      <c r="U4" s="312" t="s">
        <v>89</v>
      </c>
      <c r="V4" s="312" t="s">
        <v>89</v>
      </c>
      <c r="W4" s="312" t="s">
        <v>89</v>
      </c>
      <c r="X4" s="312" t="s">
        <v>89</v>
      </c>
      <c r="Y4" s="312" t="s">
        <v>89</v>
      </c>
    </row>
    <row r="5" spans="1:28" s="110" customFormat="1" ht="36" x14ac:dyDescent="0.25">
      <c r="A5" s="311">
        <v>4</v>
      </c>
      <c r="B5" s="311" t="s">
        <v>149</v>
      </c>
      <c r="C5" s="312" t="s">
        <v>182</v>
      </c>
      <c r="D5" s="313" t="s">
        <v>202</v>
      </c>
      <c r="E5" s="313" t="s">
        <v>212</v>
      </c>
      <c r="F5" s="314">
        <v>38000</v>
      </c>
      <c r="G5" s="314">
        <v>38029</v>
      </c>
      <c r="H5" s="316" t="s">
        <v>1221</v>
      </c>
      <c r="I5" s="316" t="s">
        <v>205</v>
      </c>
      <c r="J5" s="316" t="s">
        <v>206</v>
      </c>
      <c r="K5" s="316" t="s">
        <v>207</v>
      </c>
      <c r="L5" s="312" t="s">
        <v>117</v>
      </c>
      <c r="M5" s="312">
        <v>375.33499999999998</v>
      </c>
      <c r="N5" s="312" t="s">
        <v>502</v>
      </c>
      <c r="O5" s="317">
        <v>39096</v>
      </c>
      <c r="P5" s="318">
        <v>45.39</v>
      </c>
      <c r="Q5" s="319">
        <v>0.1875</v>
      </c>
      <c r="R5" s="312" t="s">
        <v>89</v>
      </c>
      <c r="S5" s="312" t="s">
        <v>89</v>
      </c>
      <c r="T5" s="312" t="s">
        <v>89</v>
      </c>
      <c r="U5" s="312" t="s">
        <v>89</v>
      </c>
      <c r="V5" s="312" t="s">
        <v>89</v>
      </c>
      <c r="W5" s="312" t="s">
        <v>89</v>
      </c>
      <c r="X5" s="312" t="s">
        <v>89</v>
      </c>
      <c r="Y5" s="312" t="s">
        <v>89</v>
      </c>
    </row>
    <row r="6" spans="1:28" s="110" customFormat="1" ht="36" x14ac:dyDescent="0.25">
      <c r="A6" s="311">
        <v>5</v>
      </c>
      <c r="B6" s="311" t="s">
        <v>149</v>
      </c>
      <c r="C6" s="312" t="s">
        <v>182</v>
      </c>
      <c r="D6" s="313" t="s">
        <v>202</v>
      </c>
      <c r="E6" s="313" t="s">
        <v>213</v>
      </c>
      <c r="F6" s="314">
        <v>38002</v>
      </c>
      <c r="G6" s="314">
        <v>38020</v>
      </c>
      <c r="H6" s="316" t="s">
        <v>214</v>
      </c>
      <c r="I6" s="316" t="s">
        <v>205</v>
      </c>
      <c r="J6" s="316" t="s">
        <v>215</v>
      </c>
      <c r="K6" s="316" t="s">
        <v>216</v>
      </c>
      <c r="L6" s="312" t="s">
        <v>117</v>
      </c>
      <c r="M6" s="312">
        <v>160</v>
      </c>
      <c r="N6" s="312">
        <v>2</v>
      </c>
      <c r="O6" s="317">
        <v>39098</v>
      </c>
      <c r="P6" s="318">
        <v>10.530169835875011</v>
      </c>
      <c r="Q6" s="319">
        <v>0.1875</v>
      </c>
      <c r="R6" s="312" t="s">
        <v>89</v>
      </c>
      <c r="S6" s="312" t="s">
        <v>89</v>
      </c>
      <c r="T6" s="312" t="s">
        <v>89</v>
      </c>
      <c r="U6" s="312" t="s">
        <v>89</v>
      </c>
      <c r="V6" s="312" t="s">
        <v>89</v>
      </c>
      <c r="W6" s="312" t="s">
        <v>89</v>
      </c>
      <c r="X6" s="312" t="s">
        <v>89</v>
      </c>
      <c r="Y6" s="312" t="s">
        <v>89</v>
      </c>
      <c r="Z6" s="111"/>
    </row>
    <row r="7" spans="1:28" s="110" customFormat="1" ht="36" x14ac:dyDescent="0.25">
      <c r="A7" s="311">
        <v>6</v>
      </c>
      <c r="B7" s="311" t="s">
        <v>149</v>
      </c>
      <c r="C7" s="312" t="s">
        <v>182</v>
      </c>
      <c r="D7" s="313" t="s">
        <v>202</v>
      </c>
      <c r="E7" s="313" t="s">
        <v>217</v>
      </c>
      <c r="F7" s="314">
        <v>38002</v>
      </c>
      <c r="G7" s="314">
        <v>38029</v>
      </c>
      <c r="H7" s="316" t="s">
        <v>218</v>
      </c>
      <c r="I7" s="316" t="s">
        <v>205</v>
      </c>
      <c r="J7" s="316" t="s">
        <v>215</v>
      </c>
      <c r="K7" s="316" t="s">
        <v>216</v>
      </c>
      <c r="L7" s="312" t="s">
        <v>117</v>
      </c>
      <c r="M7" s="312">
        <v>160</v>
      </c>
      <c r="N7" s="312">
        <v>2</v>
      </c>
      <c r="O7" s="317">
        <v>39098</v>
      </c>
      <c r="P7" s="318">
        <v>9.7370302490302869</v>
      </c>
      <c r="Q7" s="319">
        <v>0.1875</v>
      </c>
      <c r="R7" s="312" t="s">
        <v>89</v>
      </c>
      <c r="S7" s="312" t="s">
        <v>89</v>
      </c>
      <c r="T7" s="312" t="s">
        <v>89</v>
      </c>
      <c r="U7" s="312" t="s">
        <v>89</v>
      </c>
      <c r="V7" s="312" t="s">
        <v>89</v>
      </c>
      <c r="W7" s="312" t="s">
        <v>89</v>
      </c>
      <c r="X7" s="312" t="s">
        <v>89</v>
      </c>
      <c r="Y7" s="312" t="s">
        <v>89</v>
      </c>
      <c r="Z7" s="111"/>
    </row>
    <row r="8" spans="1:28" s="110" customFormat="1" ht="36" x14ac:dyDescent="0.25">
      <c r="A8" s="311">
        <v>7</v>
      </c>
      <c r="B8" s="311" t="s">
        <v>149</v>
      </c>
      <c r="C8" s="312" t="s">
        <v>182</v>
      </c>
      <c r="D8" s="313" t="s">
        <v>202</v>
      </c>
      <c r="E8" s="313" t="s">
        <v>219</v>
      </c>
      <c r="F8" s="314">
        <v>38002</v>
      </c>
      <c r="G8" s="314">
        <v>38762</v>
      </c>
      <c r="H8" s="316" t="s">
        <v>214</v>
      </c>
      <c r="I8" s="316" t="s">
        <v>205</v>
      </c>
      <c r="J8" s="316" t="s">
        <v>215</v>
      </c>
      <c r="K8" s="316" t="s">
        <v>216</v>
      </c>
      <c r="L8" s="312" t="s">
        <v>117</v>
      </c>
      <c r="M8" s="312">
        <v>160</v>
      </c>
      <c r="N8" s="312">
        <v>2</v>
      </c>
      <c r="O8" s="317">
        <v>39098</v>
      </c>
      <c r="P8" s="318">
        <v>10.530169835875011</v>
      </c>
      <c r="Q8" s="319">
        <v>0.1875</v>
      </c>
      <c r="R8" s="312" t="s">
        <v>89</v>
      </c>
      <c r="S8" s="312" t="s">
        <v>89</v>
      </c>
      <c r="T8" s="312" t="s">
        <v>89</v>
      </c>
      <c r="U8" s="312" t="s">
        <v>89</v>
      </c>
      <c r="V8" s="312" t="s">
        <v>89</v>
      </c>
      <c r="W8" s="312" t="s">
        <v>89</v>
      </c>
      <c r="X8" s="312" t="s">
        <v>89</v>
      </c>
      <c r="Y8" s="312" t="s">
        <v>89</v>
      </c>
      <c r="Z8" s="111"/>
    </row>
    <row r="9" spans="1:28" s="110" customFormat="1" ht="36" x14ac:dyDescent="0.25">
      <c r="A9" s="311">
        <v>8</v>
      </c>
      <c r="B9" s="311" t="s">
        <v>149</v>
      </c>
      <c r="C9" s="312" t="s">
        <v>182</v>
      </c>
      <c r="D9" s="313" t="s">
        <v>202</v>
      </c>
      <c r="E9" s="313" t="s">
        <v>220</v>
      </c>
      <c r="F9" s="314">
        <v>38020</v>
      </c>
      <c r="G9" s="314">
        <v>38027</v>
      </c>
      <c r="H9" s="316" t="s">
        <v>221</v>
      </c>
      <c r="I9" s="316" t="s">
        <v>205</v>
      </c>
      <c r="J9" s="316" t="s">
        <v>222</v>
      </c>
      <c r="K9" s="316" t="s">
        <v>223</v>
      </c>
      <c r="L9" s="312" t="s">
        <v>117</v>
      </c>
      <c r="M9" s="312">
        <v>180</v>
      </c>
      <c r="N9" s="312" t="s">
        <v>625</v>
      </c>
      <c r="O9" s="317">
        <v>39116</v>
      </c>
      <c r="P9" s="318">
        <v>0</v>
      </c>
      <c r="Q9" s="319">
        <v>0.1875</v>
      </c>
      <c r="R9" s="312" t="s">
        <v>89</v>
      </c>
      <c r="S9" s="312" t="s">
        <v>89</v>
      </c>
      <c r="T9" s="312" t="s">
        <v>89</v>
      </c>
      <c r="U9" s="312" t="s">
        <v>89</v>
      </c>
      <c r="V9" s="312" t="s">
        <v>89</v>
      </c>
      <c r="W9" s="312" t="s">
        <v>89</v>
      </c>
      <c r="X9" s="312" t="s">
        <v>89</v>
      </c>
      <c r="Y9" s="312" t="s">
        <v>89</v>
      </c>
    </row>
    <row r="10" spans="1:28" s="110" customFormat="1" ht="24" x14ac:dyDescent="0.25">
      <c r="A10" s="311">
        <v>9</v>
      </c>
      <c r="B10" s="311" t="s">
        <v>149</v>
      </c>
      <c r="C10" s="312" t="s">
        <v>182</v>
      </c>
      <c r="D10" s="313" t="s">
        <v>202</v>
      </c>
      <c r="E10" s="313" t="s">
        <v>224</v>
      </c>
      <c r="F10" s="314">
        <v>38016</v>
      </c>
      <c r="G10" s="314">
        <v>38020</v>
      </c>
      <c r="H10" s="316" t="s">
        <v>225</v>
      </c>
      <c r="I10" s="316" t="s">
        <v>205</v>
      </c>
      <c r="J10" s="316" t="s">
        <v>226</v>
      </c>
      <c r="K10" s="316" t="s">
        <v>227</v>
      </c>
      <c r="L10" s="312" t="s">
        <v>117</v>
      </c>
      <c r="M10" s="312">
        <v>115.33499999999999</v>
      </c>
      <c r="N10" s="312" t="s">
        <v>613</v>
      </c>
      <c r="O10" s="317">
        <v>39116</v>
      </c>
      <c r="P10" s="318">
        <v>9.8508763695432631</v>
      </c>
      <c r="Q10" s="319">
        <v>0.1875</v>
      </c>
      <c r="R10" s="312" t="s">
        <v>89</v>
      </c>
      <c r="S10" s="312" t="s">
        <v>89</v>
      </c>
      <c r="T10" s="312" t="s">
        <v>89</v>
      </c>
      <c r="U10" s="312" t="s">
        <v>89</v>
      </c>
      <c r="V10" s="312" t="s">
        <v>89</v>
      </c>
      <c r="W10" s="312" t="s">
        <v>89</v>
      </c>
      <c r="X10" s="312" t="s">
        <v>89</v>
      </c>
      <c r="Y10" s="312" t="s">
        <v>89</v>
      </c>
    </row>
    <row r="11" spans="1:28" s="110" customFormat="1" ht="36" x14ac:dyDescent="0.25">
      <c r="A11" s="311">
        <v>10</v>
      </c>
      <c r="B11" s="311" t="s">
        <v>149</v>
      </c>
      <c r="C11" s="312" t="s">
        <v>182</v>
      </c>
      <c r="D11" s="313" t="s">
        <v>202</v>
      </c>
      <c r="E11" s="313" t="s">
        <v>229</v>
      </c>
      <c r="F11" s="314">
        <v>38026</v>
      </c>
      <c r="G11" s="314">
        <v>38027</v>
      </c>
      <c r="H11" s="316" t="s">
        <v>230</v>
      </c>
      <c r="I11" s="316" t="s">
        <v>205</v>
      </c>
      <c r="J11" s="316" t="s">
        <v>1537</v>
      </c>
      <c r="K11" s="316" t="s">
        <v>8556</v>
      </c>
      <c r="L11" s="312" t="s">
        <v>117</v>
      </c>
      <c r="M11" s="312">
        <v>92.135000000000005</v>
      </c>
      <c r="N11" s="312" t="s">
        <v>1356</v>
      </c>
      <c r="O11" s="317">
        <v>39122</v>
      </c>
      <c r="P11" s="318">
        <v>8.34</v>
      </c>
      <c r="Q11" s="319">
        <v>0.1875</v>
      </c>
      <c r="R11" s="312" t="s">
        <v>89</v>
      </c>
      <c r="S11" s="312" t="s">
        <v>232</v>
      </c>
      <c r="T11" s="312" t="s">
        <v>89</v>
      </c>
      <c r="U11" s="312" t="s">
        <v>89</v>
      </c>
      <c r="V11" s="312" t="s">
        <v>89</v>
      </c>
      <c r="W11" s="312" t="s">
        <v>89</v>
      </c>
      <c r="X11" s="312" t="s">
        <v>89</v>
      </c>
      <c r="Y11" s="312" t="s">
        <v>89</v>
      </c>
    </row>
    <row r="12" spans="1:28" s="110" customFormat="1" ht="36" x14ac:dyDescent="0.25">
      <c r="A12" s="311">
        <v>11</v>
      </c>
      <c r="B12" s="311" t="s">
        <v>149</v>
      </c>
      <c r="C12" s="312" t="s">
        <v>182</v>
      </c>
      <c r="D12" s="313" t="s">
        <v>202</v>
      </c>
      <c r="E12" s="313" t="s">
        <v>233</v>
      </c>
      <c r="F12" s="314">
        <v>38007</v>
      </c>
      <c r="G12" s="314">
        <v>38029</v>
      </c>
      <c r="H12" s="316" t="s">
        <v>234</v>
      </c>
      <c r="I12" s="316" t="s">
        <v>205</v>
      </c>
      <c r="J12" s="316" t="s">
        <v>215</v>
      </c>
      <c r="K12" s="316" t="s">
        <v>216</v>
      </c>
      <c r="L12" s="312" t="s">
        <v>117</v>
      </c>
      <c r="M12" s="312">
        <v>160</v>
      </c>
      <c r="N12" s="312">
        <v>2</v>
      </c>
      <c r="O12" s="317">
        <v>39103</v>
      </c>
      <c r="P12" s="318">
        <v>7.4116182799095354</v>
      </c>
      <c r="Q12" s="319">
        <v>0.1875</v>
      </c>
      <c r="R12" s="312" t="s">
        <v>89</v>
      </c>
      <c r="S12" s="312" t="s">
        <v>232</v>
      </c>
      <c r="T12" s="312" t="s">
        <v>89</v>
      </c>
      <c r="U12" s="312" t="s">
        <v>89</v>
      </c>
      <c r="V12" s="312" t="s">
        <v>89</v>
      </c>
      <c r="W12" s="312" t="s">
        <v>89</v>
      </c>
      <c r="X12" s="312" t="s">
        <v>89</v>
      </c>
      <c r="Y12" s="312" t="s">
        <v>89</v>
      </c>
    </row>
    <row r="13" spans="1:28" s="110" customFormat="1" ht="36" x14ac:dyDescent="0.25">
      <c r="A13" s="311">
        <v>12</v>
      </c>
      <c r="B13" s="311" t="s">
        <v>149</v>
      </c>
      <c r="C13" s="312" t="s">
        <v>182</v>
      </c>
      <c r="D13" s="313" t="s">
        <v>202</v>
      </c>
      <c r="E13" s="313" t="s">
        <v>235</v>
      </c>
      <c r="F13" s="314">
        <v>38032</v>
      </c>
      <c r="G13" s="314">
        <v>38040</v>
      </c>
      <c r="H13" s="316" t="s">
        <v>236</v>
      </c>
      <c r="I13" s="316" t="s">
        <v>237</v>
      </c>
      <c r="J13" s="316" t="s">
        <v>1537</v>
      </c>
      <c r="K13" s="316" t="s">
        <v>239</v>
      </c>
      <c r="L13" s="312" t="s">
        <v>117</v>
      </c>
      <c r="M13" s="312">
        <v>92.084999999999994</v>
      </c>
      <c r="N13" s="312" t="s">
        <v>502</v>
      </c>
      <c r="O13" s="317">
        <v>39128</v>
      </c>
      <c r="P13" s="318">
        <v>0</v>
      </c>
      <c r="Q13" s="319">
        <v>0.1875</v>
      </c>
      <c r="R13" s="312" t="s">
        <v>89</v>
      </c>
      <c r="S13" s="312" t="s">
        <v>89</v>
      </c>
      <c r="T13" s="312" t="s">
        <v>89</v>
      </c>
      <c r="U13" s="312" t="s">
        <v>89</v>
      </c>
      <c r="V13" s="312" t="s">
        <v>89</v>
      </c>
      <c r="W13" s="312" t="s">
        <v>89</v>
      </c>
      <c r="X13" s="312" t="s">
        <v>89</v>
      </c>
      <c r="Y13" s="312" t="s">
        <v>89</v>
      </c>
    </row>
    <row r="14" spans="1:28" s="110" customFormat="1" ht="120" x14ac:dyDescent="0.25">
      <c r="A14" s="311">
        <v>13</v>
      </c>
      <c r="B14" s="311" t="s">
        <v>149</v>
      </c>
      <c r="C14" s="312" t="s">
        <v>182</v>
      </c>
      <c r="D14" s="313" t="s">
        <v>202</v>
      </c>
      <c r="E14" s="313" t="s">
        <v>240</v>
      </c>
      <c r="F14" s="314">
        <v>38407</v>
      </c>
      <c r="G14" s="314">
        <v>38420</v>
      </c>
      <c r="H14" s="316" t="s">
        <v>241</v>
      </c>
      <c r="I14" s="316" t="s">
        <v>242</v>
      </c>
      <c r="J14" s="316" t="s">
        <v>215</v>
      </c>
      <c r="K14" s="316" t="s">
        <v>9576</v>
      </c>
      <c r="L14" s="312" t="s">
        <v>244</v>
      </c>
      <c r="M14" s="312">
        <v>160</v>
      </c>
      <c r="N14" s="312">
        <v>2</v>
      </c>
      <c r="O14" s="317">
        <v>39137</v>
      </c>
      <c r="P14" s="318">
        <v>0</v>
      </c>
      <c r="Q14" s="319">
        <v>0.25</v>
      </c>
      <c r="R14" s="312" t="s">
        <v>118</v>
      </c>
      <c r="S14" s="312" t="s">
        <v>89</v>
      </c>
      <c r="T14" s="312" t="s">
        <v>89</v>
      </c>
      <c r="U14" s="312" t="s">
        <v>89</v>
      </c>
      <c r="V14" s="312" t="s">
        <v>118</v>
      </c>
      <c r="W14" s="312" t="s">
        <v>89</v>
      </c>
      <c r="X14" s="312" t="s">
        <v>89</v>
      </c>
      <c r="Y14" s="312" t="s">
        <v>89</v>
      </c>
    </row>
    <row r="15" spans="1:28" s="110" customFormat="1" ht="120" x14ac:dyDescent="0.25">
      <c r="A15" s="311">
        <v>14</v>
      </c>
      <c r="B15" s="311" t="s">
        <v>149</v>
      </c>
      <c r="C15" s="312" t="s">
        <v>182</v>
      </c>
      <c r="D15" s="313" t="s">
        <v>202</v>
      </c>
      <c r="E15" s="313" t="s">
        <v>245</v>
      </c>
      <c r="F15" s="314">
        <v>38408</v>
      </c>
      <c r="G15" s="314">
        <v>38432</v>
      </c>
      <c r="H15" s="316" t="s">
        <v>246</v>
      </c>
      <c r="I15" s="316" t="s">
        <v>242</v>
      </c>
      <c r="J15" s="316" t="s">
        <v>215</v>
      </c>
      <c r="K15" s="316" t="s">
        <v>9576</v>
      </c>
      <c r="L15" s="312" t="s">
        <v>244</v>
      </c>
      <c r="M15" s="312">
        <v>160</v>
      </c>
      <c r="N15" s="312">
        <v>2</v>
      </c>
      <c r="O15" s="317">
        <v>39138</v>
      </c>
      <c r="P15" s="318">
        <v>0</v>
      </c>
      <c r="Q15" s="319">
        <v>0.25</v>
      </c>
      <c r="R15" s="312" t="s">
        <v>118</v>
      </c>
      <c r="S15" s="312" t="s">
        <v>89</v>
      </c>
      <c r="T15" s="312" t="s">
        <v>89</v>
      </c>
      <c r="U15" s="312" t="s">
        <v>89</v>
      </c>
      <c r="V15" s="312" t="s">
        <v>118</v>
      </c>
      <c r="W15" s="312" t="s">
        <v>89</v>
      </c>
      <c r="X15" s="312" t="s">
        <v>89</v>
      </c>
      <c r="Y15" s="312" t="s">
        <v>89</v>
      </c>
    </row>
    <row r="16" spans="1:28" s="110" customFormat="1" ht="120" x14ac:dyDescent="0.25">
      <c r="A16" s="311">
        <v>15</v>
      </c>
      <c r="B16" s="311" t="s">
        <v>149</v>
      </c>
      <c r="C16" s="312" t="s">
        <v>182</v>
      </c>
      <c r="D16" s="312" t="s">
        <v>202</v>
      </c>
      <c r="E16" s="312" t="s">
        <v>247</v>
      </c>
      <c r="F16" s="317">
        <v>38412</v>
      </c>
      <c r="G16" s="317">
        <v>38426</v>
      </c>
      <c r="H16" s="320" t="s">
        <v>248</v>
      </c>
      <c r="I16" s="320" t="s">
        <v>242</v>
      </c>
      <c r="J16" s="320" t="s">
        <v>215</v>
      </c>
      <c r="K16" s="320" t="s">
        <v>9577</v>
      </c>
      <c r="L16" s="312" t="s">
        <v>244</v>
      </c>
      <c r="M16" s="312">
        <v>160</v>
      </c>
      <c r="N16" s="321">
        <v>2</v>
      </c>
      <c r="O16" s="317">
        <v>39142</v>
      </c>
      <c r="P16" s="318">
        <v>0</v>
      </c>
      <c r="Q16" s="322">
        <v>0.1875</v>
      </c>
      <c r="R16" s="312" t="s">
        <v>118</v>
      </c>
      <c r="S16" s="312" t="s">
        <v>89</v>
      </c>
      <c r="T16" s="312" t="s">
        <v>89</v>
      </c>
      <c r="U16" s="312" t="s">
        <v>89</v>
      </c>
      <c r="V16" s="312" t="s">
        <v>118</v>
      </c>
      <c r="W16" s="312" t="s">
        <v>89</v>
      </c>
      <c r="X16" s="312" t="s">
        <v>89</v>
      </c>
      <c r="Y16" s="312" t="s">
        <v>89</v>
      </c>
    </row>
    <row r="17" spans="1:25" s="110" customFormat="1" ht="120" x14ac:dyDescent="0.25">
      <c r="A17" s="311">
        <v>16</v>
      </c>
      <c r="B17" s="311" t="s">
        <v>149</v>
      </c>
      <c r="C17" s="312" t="s">
        <v>182</v>
      </c>
      <c r="D17" s="312" t="s">
        <v>202</v>
      </c>
      <c r="E17" s="312" t="s">
        <v>250</v>
      </c>
      <c r="F17" s="317">
        <v>38412</v>
      </c>
      <c r="G17" s="317">
        <v>38432</v>
      </c>
      <c r="H17" s="320" t="s">
        <v>251</v>
      </c>
      <c r="I17" s="320" t="s">
        <v>242</v>
      </c>
      <c r="J17" s="320" t="s">
        <v>215</v>
      </c>
      <c r="K17" s="320" t="s">
        <v>9576</v>
      </c>
      <c r="L17" s="312" t="s">
        <v>244</v>
      </c>
      <c r="M17" s="312">
        <v>160</v>
      </c>
      <c r="N17" s="312">
        <v>2</v>
      </c>
      <c r="O17" s="317">
        <v>39142</v>
      </c>
      <c r="P17" s="318">
        <v>0</v>
      </c>
      <c r="Q17" s="322">
        <v>0.25</v>
      </c>
      <c r="R17" s="312" t="s">
        <v>118</v>
      </c>
      <c r="S17" s="312" t="s">
        <v>89</v>
      </c>
      <c r="T17" s="312" t="s">
        <v>89</v>
      </c>
      <c r="U17" s="312" t="s">
        <v>89</v>
      </c>
      <c r="V17" s="312" t="s">
        <v>118</v>
      </c>
      <c r="W17" s="312" t="s">
        <v>89</v>
      </c>
      <c r="X17" s="312" t="s">
        <v>89</v>
      </c>
      <c r="Y17" s="312" t="s">
        <v>89</v>
      </c>
    </row>
    <row r="18" spans="1:25" s="110" customFormat="1" ht="36" x14ac:dyDescent="0.25">
      <c r="A18" s="311">
        <v>17</v>
      </c>
      <c r="B18" s="311" t="s">
        <v>149</v>
      </c>
      <c r="C18" s="312" t="s">
        <v>182</v>
      </c>
      <c r="D18" s="312" t="s">
        <v>202</v>
      </c>
      <c r="E18" s="312" t="s">
        <v>252</v>
      </c>
      <c r="F18" s="317">
        <v>38023</v>
      </c>
      <c r="G18" s="317">
        <v>38049</v>
      </c>
      <c r="H18" s="320" t="s">
        <v>253</v>
      </c>
      <c r="I18" s="320" t="s">
        <v>205</v>
      </c>
      <c r="J18" s="320" t="s">
        <v>215</v>
      </c>
      <c r="K18" s="320" t="s">
        <v>216</v>
      </c>
      <c r="L18" s="312" t="s">
        <v>117</v>
      </c>
      <c r="M18" s="312">
        <v>160</v>
      </c>
      <c r="N18" s="312">
        <v>2</v>
      </c>
      <c r="O18" s="317">
        <v>39119</v>
      </c>
      <c r="P18" s="318">
        <v>0</v>
      </c>
      <c r="Q18" s="322">
        <v>0.1875</v>
      </c>
      <c r="R18" s="312" t="s">
        <v>89</v>
      </c>
      <c r="S18" s="312" t="s">
        <v>232</v>
      </c>
      <c r="T18" s="312" t="s">
        <v>89</v>
      </c>
      <c r="U18" s="312" t="s">
        <v>89</v>
      </c>
      <c r="V18" s="312" t="s">
        <v>89</v>
      </c>
      <c r="W18" s="312" t="s">
        <v>89</v>
      </c>
      <c r="X18" s="312" t="s">
        <v>89</v>
      </c>
      <c r="Y18" s="312" t="s">
        <v>89</v>
      </c>
    </row>
    <row r="19" spans="1:25" s="110" customFormat="1" ht="36" x14ac:dyDescent="0.25">
      <c r="A19" s="311">
        <v>18</v>
      </c>
      <c r="B19" s="311" t="s">
        <v>149</v>
      </c>
      <c r="C19" s="312" t="s">
        <v>182</v>
      </c>
      <c r="D19" s="312" t="s">
        <v>202</v>
      </c>
      <c r="E19" s="312" t="s">
        <v>254</v>
      </c>
      <c r="F19" s="317">
        <v>38251</v>
      </c>
      <c r="G19" s="317">
        <v>38272</v>
      </c>
      <c r="H19" s="320" t="s">
        <v>255</v>
      </c>
      <c r="I19" s="320" t="s">
        <v>205</v>
      </c>
      <c r="J19" s="320" t="s">
        <v>215</v>
      </c>
      <c r="K19" s="320" t="s">
        <v>216</v>
      </c>
      <c r="L19" s="312" t="s">
        <v>117</v>
      </c>
      <c r="M19" s="312">
        <v>160</v>
      </c>
      <c r="N19" s="312">
        <v>2</v>
      </c>
      <c r="O19" s="317">
        <v>39346</v>
      </c>
      <c r="P19" s="318">
        <v>0</v>
      </c>
      <c r="Q19" s="322">
        <v>0.1875</v>
      </c>
      <c r="R19" s="312" t="s">
        <v>89</v>
      </c>
      <c r="S19" s="312" t="s">
        <v>89</v>
      </c>
      <c r="T19" s="312" t="s">
        <v>89</v>
      </c>
      <c r="U19" s="312" t="s">
        <v>89</v>
      </c>
      <c r="V19" s="312" t="s">
        <v>89</v>
      </c>
      <c r="W19" s="312" t="s">
        <v>89</v>
      </c>
      <c r="X19" s="312" t="s">
        <v>89</v>
      </c>
      <c r="Y19" s="312" t="s">
        <v>89</v>
      </c>
    </row>
    <row r="20" spans="1:25" s="110" customFormat="1" ht="36" x14ac:dyDescent="0.25">
      <c r="A20" s="311">
        <v>19</v>
      </c>
      <c r="B20" s="311" t="s">
        <v>149</v>
      </c>
      <c r="C20" s="312" t="s">
        <v>182</v>
      </c>
      <c r="D20" s="312" t="s">
        <v>202</v>
      </c>
      <c r="E20" s="312" t="s">
        <v>256</v>
      </c>
      <c r="F20" s="317">
        <v>38251</v>
      </c>
      <c r="G20" s="317">
        <v>38272</v>
      </c>
      <c r="H20" s="320" t="s">
        <v>257</v>
      </c>
      <c r="I20" s="320" t="s">
        <v>205</v>
      </c>
      <c r="J20" s="320" t="s">
        <v>215</v>
      </c>
      <c r="K20" s="320" t="s">
        <v>216</v>
      </c>
      <c r="L20" s="312" t="s">
        <v>117</v>
      </c>
      <c r="M20" s="312">
        <v>160</v>
      </c>
      <c r="N20" s="312">
        <v>2</v>
      </c>
      <c r="O20" s="317">
        <v>39346</v>
      </c>
      <c r="P20" s="318">
        <v>2.9310298389915808</v>
      </c>
      <c r="Q20" s="322">
        <v>0.1875</v>
      </c>
      <c r="R20" s="312" t="s">
        <v>89</v>
      </c>
      <c r="S20" s="312" t="s">
        <v>89</v>
      </c>
      <c r="T20" s="312" t="s">
        <v>89</v>
      </c>
      <c r="U20" s="312" t="s">
        <v>89</v>
      </c>
      <c r="V20" s="312" t="s">
        <v>89</v>
      </c>
      <c r="W20" s="312" t="s">
        <v>89</v>
      </c>
      <c r="X20" s="312" t="s">
        <v>89</v>
      </c>
      <c r="Y20" s="312" t="s">
        <v>89</v>
      </c>
    </row>
    <row r="21" spans="1:25" ht="38.25" x14ac:dyDescent="0.25">
      <c r="A21" s="323">
        <v>20</v>
      </c>
      <c r="B21" s="323" t="s">
        <v>149</v>
      </c>
      <c r="C21" s="324" t="s">
        <v>182</v>
      </c>
      <c r="D21" s="324" t="s">
        <v>202</v>
      </c>
      <c r="E21" s="324" t="s">
        <v>258</v>
      </c>
      <c r="F21" s="325">
        <v>38251</v>
      </c>
      <c r="G21" s="325">
        <v>38272</v>
      </c>
      <c r="H21" s="324" t="s">
        <v>259</v>
      </c>
      <c r="I21" s="324" t="s">
        <v>205</v>
      </c>
      <c r="J21" s="324" t="s">
        <v>215</v>
      </c>
      <c r="K21" s="324" t="s">
        <v>216</v>
      </c>
      <c r="L21" s="324" t="s">
        <v>117</v>
      </c>
      <c r="M21" s="324">
        <v>160</v>
      </c>
      <c r="N21" s="324" t="s">
        <v>1581</v>
      </c>
      <c r="O21" s="325">
        <v>39346</v>
      </c>
      <c r="P21" s="326">
        <v>1.4655149194957904</v>
      </c>
      <c r="Q21" s="327">
        <v>0.1875</v>
      </c>
      <c r="R21" s="324" t="s">
        <v>89</v>
      </c>
      <c r="S21" s="324" t="s">
        <v>89</v>
      </c>
      <c r="T21" s="324" t="s">
        <v>89</v>
      </c>
      <c r="U21" s="324" t="s">
        <v>89</v>
      </c>
      <c r="V21" s="324" t="s">
        <v>89</v>
      </c>
      <c r="W21" s="324" t="s">
        <v>89</v>
      </c>
      <c r="X21" s="324" t="s">
        <v>89</v>
      </c>
      <c r="Y21" s="324" t="s">
        <v>89</v>
      </c>
    </row>
    <row r="22" spans="1:25" ht="38.25" x14ac:dyDescent="0.25">
      <c r="A22" s="323">
        <v>21</v>
      </c>
      <c r="B22" s="323" t="s">
        <v>149</v>
      </c>
      <c r="C22" s="324" t="s">
        <v>182</v>
      </c>
      <c r="D22" s="324" t="s">
        <v>202</v>
      </c>
      <c r="E22" s="324" t="s">
        <v>260</v>
      </c>
      <c r="F22" s="325">
        <v>38419</v>
      </c>
      <c r="G22" s="325">
        <v>38457</v>
      </c>
      <c r="H22" s="324" t="s">
        <v>261</v>
      </c>
      <c r="I22" s="324" t="s">
        <v>262</v>
      </c>
      <c r="J22" s="324" t="s">
        <v>263</v>
      </c>
      <c r="K22" s="324" t="s">
        <v>264</v>
      </c>
      <c r="L22" s="324" t="s">
        <v>117</v>
      </c>
      <c r="M22" s="324">
        <v>40</v>
      </c>
      <c r="N22" s="324">
        <v>5</v>
      </c>
      <c r="O22" s="325">
        <v>39515</v>
      </c>
      <c r="P22" s="326">
        <v>6.3799999999999741</v>
      </c>
      <c r="Q22" s="327">
        <v>0.1875</v>
      </c>
      <c r="R22" s="324" t="s">
        <v>89</v>
      </c>
      <c r="S22" s="324" t="s">
        <v>89</v>
      </c>
      <c r="T22" s="324" t="s">
        <v>89</v>
      </c>
      <c r="U22" s="324" t="s">
        <v>89</v>
      </c>
      <c r="V22" s="324" t="s">
        <v>89</v>
      </c>
      <c r="W22" s="324" t="s">
        <v>89</v>
      </c>
      <c r="X22" s="324" t="s">
        <v>89</v>
      </c>
      <c r="Y22" s="324" t="s">
        <v>89</v>
      </c>
    </row>
    <row r="23" spans="1:25" ht="38.25" x14ac:dyDescent="0.25">
      <c r="A23" s="323">
        <v>22</v>
      </c>
      <c r="B23" s="323" t="s">
        <v>149</v>
      </c>
      <c r="C23" s="324" t="s">
        <v>182</v>
      </c>
      <c r="D23" s="324" t="s">
        <v>202</v>
      </c>
      <c r="E23" s="324" t="s">
        <v>265</v>
      </c>
      <c r="F23" s="325">
        <v>38419</v>
      </c>
      <c r="G23" s="325">
        <v>38457</v>
      </c>
      <c r="H23" s="324" t="s">
        <v>266</v>
      </c>
      <c r="I23" s="324" t="s">
        <v>262</v>
      </c>
      <c r="J23" s="324" t="s">
        <v>263</v>
      </c>
      <c r="K23" s="324" t="s">
        <v>264</v>
      </c>
      <c r="L23" s="324" t="s">
        <v>117</v>
      </c>
      <c r="M23" s="324">
        <v>40</v>
      </c>
      <c r="N23" s="324">
        <v>5</v>
      </c>
      <c r="O23" s="325">
        <v>39515</v>
      </c>
      <c r="P23" s="326">
        <v>5.582499999999988</v>
      </c>
      <c r="Q23" s="327">
        <v>0.1875</v>
      </c>
      <c r="R23" s="324" t="s">
        <v>89</v>
      </c>
      <c r="S23" s="324" t="s">
        <v>89</v>
      </c>
      <c r="T23" s="324" t="s">
        <v>89</v>
      </c>
      <c r="U23" s="324" t="s">
        <v>89</v>
      </c>
      <c r="V23" s="324" t="s">
        <v>89</v>
      </c>
      <c r="W23" s="324" t="s">
        <v>89</v>
      </c>
      <c r="X23" s="324" t="s">
        <v>89</v>
      </c>
      <c r="Y23" s="323" t="s">
        <v>89</v>
      </c>
    </row>
    <row r="24" spans="1:25" ht="38.25" x14ac:dyDescent="0.25">
      <c r="A24" s="323">
        <v>23</v>
      </c>
      <c r="B24" s="323" t="s">
        <v>149</v>
      </c>
      <c r="C24" s="324" t="s">
        <v>182</v>
      </c>
      <c r="D24" s="324" t="s">
        <v>202</v>
      </c>
      <c r="E24" s="324" t="s">
        <v>267</v>
      </c>
      <c r="F24" s="325">
        <v>38420</v>
      </c>
      <c r="G24" s="325">
        <v>38457</v>
      </c>
      <c r="H24" s="324" t="s">
        <v>268</v>
      </c>
      <c r="I24" s="324" t="s">
        <v>262</v>
      </c>
      <c r="J24" s="324" t="s">
        <v>269</v>
      </c>
      <c r="K24" s="324" t="s">
        <v>270</v>
      </c>
      <c r="L24" s="324" t="s">
        <v>117</v>
      </c>
      <c r="M24" s="324">
        <v>115.34</v>
      </c>
      <c r="N24" s="324" t="s">
        <v>613</v>
      </c>
      <c r="O24" s="325">
        <v>39516</v>
      </c>
      <c r="P24" s="324">
        <v>18.835000000000001</v>
      </c>
      <c r="Q24" s="327">
        <v>0.1875</v>
      </c>
      <c r="R24" s="324" t="s">
        <v>89</v>
      </c>
      <c r="S24" s="324" t="s">
        <v>89</v>
      </c>
      <c r="T24" s="324" t="s">
        <v>89</v>
      </c>
      <c r="U24" s="324" t="s">
        <v>89</v>
      </c>
      <c r="V24" s="324" t="s">
        <v>89</v>
      </c>
      <c r="W24" s="324" t="s">
        <v>89</v>
      </c>
      <c r="X24" s="324" t="s">
        <v>89</v>
      </c>
      <c r="Y24" s="323" t="s">
        <v>89</v>
      </c>
    </row>
    <row r="25" spans="1:25" ht="51" x14ac:dyDescent="0.25">
      <c r="A25" s="323">
        <v>24</v>
      </c>
      <c r="B25" s="323" t="s">
        <v>149</v>
      </c>
      <c r="C25" s="324" t="s">
        <v>182</v>
      </c>
      <c r="D25" s="324" t="s">
        <v>202</v>
      </c>
      <c r="E25" s="324" t="s">
        <v>271</v>
      </c>
      <c r="F25" s="325">
        <v>38436</v>
      </c>
      <c r="G25" s="325">
        <v>38464</v>
      </c>
      <c r="H25" s="324" t="s">
        <v>272</v>
      </c>
      <c r="I25" s="324" t="s">
        <v>242</v>
      </c>
      <c r="J25" s="324" t="s">
        <v>222</v>
      </c>
      <c r="K25" s="324" t="s">
        <v>223</v>
      </c>
      <c r="L25" s="324" t="s">
        <v>117</v>
      </c>
      <c r="M25" s="324">
        <v>180</v>
      </c>
      <c r="N25" s="324" t="s">
        <v>625</v>
      </c>
      <c r="O25" s="325">
        <v>39532</v>
      </c>
      <c r="P25" s="324">
        <v>68.792308000000006</v>
      </c>
      <c r="Q25" s="327">
        <v>0.1875</v>
      </c>
      <c r="R25" s="324" t="s">
        <v>89</v>
      </c>
      <c r="S25" s="324" t="s">
        <v>89</v>
      </c>
      <c r="T25" s="324" t="s">
        <v>89</v>
      </c>
      <c r="U25" s="324" t="s">
        <v>89</v>
      </c>
      <c r="V25" s="324" t="s">
        <v>89</v>
      </c>
      <c r="W25" s="324" t="s">
        <v>89</v>
      </c>
      <c r="X25" s="324" t="s">
        <v>89</v>
      </c>
      <c r="Y25" s="323" t="s">
        <v>89</v>
      </c>
    </row>
    <row r="26" spans="1:25" ht="140.25" x14ac:dyDescent="0.25">
      <c r="A26" s="323">
        <v>25</v>
      </c>
      <c r="B26" s="323" t="s">
        <v>149</v>
      </c>
      <c r="C26" s="324" t="s">
        <v>182</v>
      </c>
      <c r="D26" s="324" t="s">
        <v>202</v>
      </c>
      <c r="E26" s="324" t="s">
        <v>273</v>
      </c>
      <c r="F26" s="325">
        <v>38447</v>
      </c>
      <c r="G26" s="325">
        <v>38462</v>
      </c>
      <c r="H26" s="324" t="s">
        <v>274</v>
      </c>
      <c r="I26" s="324" t="s">
        <v>275</v>
      </c>
      <c r="J26" s="324" t="s">
        <v>276</v>
      </c>
      <c r="K26" s="324" t="s">
        <v>9580</v>
      </c>
      <c r="L26" s="324" t="s">
        <v>117</v>
      </c>
      <c r="M26" s="324">
        <v>115.33499999999999</v>
      </c>
      <c r="N26" s="324" t="s">
        <v>1658</v>
      </c>
      <c r="O26" s="325">
        <v>39543</v>
      </c>
      <c r="P26" s="324">
        <v>18.835000000000001</v>
      </c>
      <c r="Q26" s="327">
        <v>0.1875</v>
      </c>
      <c r="R26" s="324" t="s">
        <v>118</v>
      </c>
      <c r="S26" s="324" t="s">
        <v>89</v>
      </c>
      <c r="T26" s="324" t="s">
        <v>89</v>
      </c>
      <c r="U26" s="324" t="s">
        <v>89</v>
      </c>
      <c r="V26" s="324" t="s">
        <v>118</v>
      </c>
      <c r="W26" s="324" t="s">
        <v>89</v>
      </c>
      <c r="X26" s="324" t="s">
        <v>89</v>
      </c>
      <c r="Y26" s="323" t="s">
        <v>89</v>
      </c>
    </row>
    <row r="27" spans="1:25" ht="38.25" x14ac:dyDescent="0.25">
      <c r="A27" s="323">
        <v>26</v>
      </c>
      <c r="B27" s="323" t="s">
        <v>149</v>
      </c>
      <c r="C27" s="324" t="s">
        <v>182</v>
      </c>
      <c r="D27" s="324" t="s">
        <v>202</v>
      </c>
      <c r="E27" s="324" t="s">
        <v>278</v>
      </c>
      <c r="F27" s="325">
        <v>38468</v>
      </c>
      <c r="G27" s="325">
        <v>38551</v>
      </c>
      <c r="H27" s="324" t="s">
        <v>279</v>
      </c>
      <c r="I27" s="324" t="s">
        <v>280</v>
      </c>
      <c r="J27" s="324" t="s">
        <v>215</v>
      </c>
      <c r="K27" s="324" t="s">
        <v>216</v>
      </c>
      <c r="L27" s="324" t="s">
        <v>117</v>
      </c>
      <c r="M27" s="324">
        <v>160</v>
      </c>
      <c r="N27" s="324">
        <v>2</v>
      </c>
      <c r="O27" s="325">
        <v>39564</v>
      </c>
      <c r="P27" s="326">
        <v>0.28879354690819431</v>
      </c>
      <c r="Q27" s="327">
        <v>0.1875</v>
      </c>
      <c r="R27" s="324" t="s">
        <v>89</v>
      </c>
      <c r="S27" s="324" t="s">
        <v>89</v>
      </c>
      <c r="T27" s="324" t="s">
        <v>89</v>
      </c>
      <c r="U27" s="324" t="s">
        <v>89</v>
      </c>
      <c r="V27" s="324" t="s">
        <v>89</v>
      </c>
      <c r="W27" s="324" t="s">
        <v>89</v>
      </c>
      <c r="X27" s="324" t="s">
        <v>89</v>
      </c>
      <c r="Y27" s="323" t="s">
        <v>89</v>
      </c>
    </row>
    <row r="28" spans="1:25" ht="38.25" x14ac:dyDescent="0.25">
      <c r="A28" s="323">
        <v>27</v>
      </c>
      <c r="B28" s="323" t="s">
        <v>149</v>
      </c>
      <c r="C28" s="324" t="s">
        <v>182</v>
      </c>
      <c r="D28" s="324" t="s">
        <v>202</v>
      </c>
      <c r="E28" s="324" t="s">
        <v>281</v>
      </c>
      <c r="F28" s="325">
        <v>38468</v>
      </c>
      <c r="G28" s="325">
        <v>38551</v>
      </c>
      <c r="H28" s="324" t="s">
        <v>282</v>
      </c>
      <c r="I28" s="324" t="s">
        <v>280</v>
      </c>
      <c r="J28" s="324" t="s">
        <v>283</v>
      </c>
      <c r="K28" s="324" t="s">
        <v>216</v>
      </c>
      <c r="L28" s="324" t="s">
        <v>117</v>
      </c>
      <c r="M28" s="324">
        <v>160</v>
      </c>
      <c r="N28" s="324">
        <v>2</v>
      </c>
      <c r="O28" s="325">
        <v>39564</v>
      </c>
      <c r="P28" s="326">
        <v>0.14439677345409715</v>
      </c>
      <c r="Q28" s="327">
        <v>0.1875</v>
      </c>
      <c r="R28" s="324" t="s">
        <v>89</v>
      </c>
      <c r="S28" s="324" t="s">
        <v>89</v>
      </c>
      <c r="T28" s="324" t="s">
        <v>89</v>
      </c>
      <c r="U28" s="324" t="s">
        <v>89</v>
      </c>
      <c r="V28" s="324" t="s">
        <v>89</v>
      </c>
      <c r="W28" s="324" t="s">
        <v>89</v>
      </c>
      <c r="X28" s="324" t="s">
        <v>89</v>
      </c>
      <c r="Y28" s="324" t="s">
        <v>89</v>
      </c>
    </row>
    <row r="29" spans="1:25" ht="38.25" x14ac:dyDescent="0.25">
      <c r="A29" s="323">
        <v>28</v>
      </c>
      <c r="B29" s="323" t="s">
        <v>149</v>
      </c>
      <c r="C29" s="324" t="s">
        <v>182</v>
      </c>
      <c r="D29" s="324" t="s">
        <v>202</v>
      </c>
      <c r="E29" s="324" t="s">
        <v>284</v>
      </c>
      <c r="F29" s="325">
        <v>38468</v>
      </c>
      <c r="G29" s="325">
        <v>38552</v>
      </c>
      <c r="H29" s="324" t="s">
        <v>285</v>
      </c>
      <c r="I29" s="324" t="s">
        <v>286</v>
      </c>
      <c r="J29" s="324" t="s">
        <v>215</v>
      </c>
      <c r="K29" s="324" t="s">
        <v>216</v>
      </c>
      <c r="L29" s="324" t="s">
        <v>117</v>
      </c>
      <c r="M29" s="324">
        <v>160</v>
      </c>
      <c r="N29" s="324">
        <v>2</v>
      </c>
      <c r="O29" s="325">
        <v>39564</v>
      </c>
      <c r="P29" s="326">
        <v>0.28879354690819431</v>
      </c>
      <c r="Q29" s="327">
        <v>0.1875</v>
      </c>
      <c r="R29" s="324" t="s">
        <v>89</v>
      </c>
      <c r="S29" s="324" t="s">
        <v>89</v>
      </c>
      <c r="T29" s="324" t="s">
        <v>89</v>
      </c>
      <c r="U29" s="324" t="s">
        <v>89</v>
      </c>
      <c r="V29" s="324" t="s">
        <v>89</v>
      </c>
      <c r="W29" s="324" t="s">
        <v>89</v>
      </c>
      <c r="X29" s="324" t="s">
        <v>89</v>
      </c>
      <c r="Y29" s="324" t="s">
        <v>89</v>
      </c>
    </row>
    <row r="30" spans="1:25" ht="63.75" x14ac:dyDescent="0.25">
      <c r="A30" s="323">
        <v>29</v>
      </c>
      <c r="B30" s="323" t="s">
        <v>149</v>
      </c>
      <c r="C30" s="324" t="s">
        <v>182</v>
      </c>
      <c r="D30" s="324" t="s">
        <v>202</v>
      </c>
      <c r="E30" s="324" t="s">
        <v>287</v>
      </c>
      <c r="F30" s="325">
        <v>38522</v>
      </c>
      <c r="G30" s="325">
        <v>38554</v>
      </c>
      <c r="H30" s="324" t="s">
        <v>288</v>
      </c>
      <c r="I30" s="324" t="s">
        <v>262</v>
      </c>
      <c r="J30" s="324" t="s">
        <v>215</v>
      </c>
      <c r="K30" s="324" t="s">
        <v>289</v>
      </c>
      <c r="L30" s="324" t="s">
        <v>117</v>
      </c>
      <c r="M30" s="324">
        <v>160</v>
      </c>
      <c r="N30" s="324">
        <v>2</v>
      </c>
      <c r="O30" s="325">
        <v>39618</v>
      </c>
      <c r="P30" s="326">
        <v>2.9255199999999997</v>
      </c>
      <c r="Q30" s="327">
        <v>0.1875</v>
      </c>
      <c r="R30" s="324" t="s">
        <v>89</v>
      </c>
      <c r="S30" s="324" t="s">
        <v>89</v>
      </c>
      <c r="T30" s="324" t="s">
        <v>89</v>
      </c>
      <c r="U30" s="324" t="s">
        <v>89</v>
      </c>
      <c r="V30" s="324" t="s">
        <v>118</v>
      </c>
      <c r="W30" s="324" t="s">
        <v>89</v>
      </c>
      <c r="X30" s="324" t="s">
        <v>89</v>
      </c>
      <c r="Y30" s="324" t="s">
        <v>89</v>
      </c>
    </row>
    <row r="31" spans="1:25" ht="63.75" x14ac:dyDescent="0.25">
      <c r="A31" s="323">
        <v>30</v>
      </c>
      <c r="B31" s="323" t="s">
        <v>149</v>
      </c>
      <c r="C31" s="324" t="s">
        <v>182</v>
      </c>
      <c r="D31" s="324" t="s">
        <v>202</v>
      </c>
      <c r="E31" s="324" t="s">
        <v>290</v>
      </c>
      <c r="F31" s="325">
        <v>38522</v>
      </c>
      <c r="G31" s="325">
        <v>38554</v>
      </c>
      <c r="H31" s="324" t="s">
        <v>291</v>
      </c>
      <c r="I31" s="324" t="s">
        <v>262</v>
      </c>
      <c r="J31" s="324" t="s">
        <v>215</v>
      </c>
      <c r="K31" s="324" t="s">
        <v>289</v>
      </c>
      <c r="L31" s="324" t="s">
        <v>117</v>
      </c>
      <c r="M31" s="324">
        <v>160</v>
      </c>
      <c r="N31" s="324">
        <v>2</v>
      </c>
      <c r="O31" s="325">
        <v>39618</v>
      </c>
      <c r="P31" s="326">
        <v>2.9255199999999997</v>
      </c>
      <c r="Q31" s="327">
        <v>0.1875</v>
      </c>
      <c r="R31" s="324" t="s">
        <v>89</v>
      </c>
      <c r="S31" s="324" t="s">
        <v>89</v>
      </c>
      <c r="T31" s="324" t="s">
        <v>89</v>
      </c>
      <c r="U31" s="324" t="s">
        <v>89</v>
      </c>
      <c r="V31" s="324" t="s">
        <v>118</v>
      </c>
      <c r="W31" s="324" t="s">
        <v>89</v>
      </c>
      <c r="X31" s="324" t="s">
        <v>89</v>
      </c>
      <c r="Y31" s="324" t="s">
        <v>89</v>
      </c>
    </row>
    <row r="32" spans="1:25" ht="63.75" x14ac:dyDescent="0.25">
      <c r="A32" s="323">
        <v>31</v>
      </c>
      <c r="B32" s="323" t="s">
        <v>149</v>
      </c>
      <c r="C32" s="324" t="s">
        <v>182</v>
      </c>
      <c r="D32" s="324" t="s">
        <v>202</v>
      </c>
      <c r="E32" s="324" t="s">
        <v>292</v>
      </c>
      <c r="F32" s="325">
        <v>38522</v>
      </c>
      <c r="G32" s="325">
        <v>38554</v>
      </c>
      <c r="H32" s="324" t="s">
        <v>293</v>
      </c>
      <c r="I32" s="324" t="s">
        <v>262</v>
      </c>
      <c r="J32" s="324" t="s">
        <v>215</v>
      </c>
      <c r="K32" s="324" t="s">
        <v>289</v>
      </c>
      <c r="L32" s="324" t="s">
        <v>117</v>
      </c>
      <c r="M32" s="324">
        <v>160</v>
      </c>
      <c r="N32" s="324">
        <v>2</v>
      </c>
      <c r="O32" s="325">
        <v>39618</v>
      </c>
      <c r="P32" s="326">
        <v>2.9255199999999997</v>
      </c>
      <c r="Q32" s="327">
        <v>0.1875</v>
      </c>
      <c r="R32" s="324" t="s">
        <v>89</v>
      </c>
      <c r="S32" s="324" t="s">
        <v>89</v>
      </c>
      <c r="T32" s="324" t="s">
        <v>89</v>
      </c>
      <c r="U32" s="324" t="s">
        <v>89</v>
      </c>
      <c r="V32" s="324" t="s">
        <v>118</v>
      </c>
      <c r="W32" s="324" t="s">
        <v>89</v>
      </c>
      <c r="X32" s="324" t="s">
        <v>89</v>
      </c>
      <c r="Y32" s="324" t="s">
        <v>89</v>
      </c>
    </row>
    <row r="33" spans="1:25" ht="63.75" x14ac:dyDescent="0.25">
      <c r="A33" s="323">
        <v>32</v>
      </c>
      <c r="B33" s="323" t="s">
        <v>149</v>
      </c>
      <c r="C33" s="324" t="s">
        <v>182</v>
      </c>
      <c r="D33" s="324" t="s">
        <v>202</v>
      </c>
      <c r="E33" s="324" t="s">
        <v>294</v>
      </c>
      <c r="F33" s="325">
        <v>38522</v>
      </c>
      <c r="G33" s="325">
        <v>38554</v>
      </c>
      <c r="H33" s="324" t="s">
        <v>295</v>
      </c>
      <c r="I33" s="324" t="s">
        <v>262</v>
      </c>
      <c r="J33" s="324" t="s">
        <v>215</v>
      </c>
      <c r="K33" s="324" t="s">
        <v>289</v>
      </c>
      <c r="L33" s="324" t="s">
        <v>117</v>
      </c>
      <c r="M33" s="324">
        <v>160</v>
      </c>
      <c r="N33" s="324">
        <v>2</v>
      </c>
      <c r="O33" s="325">
        <v>39618</v>
      </c>
      <c r="P33" s="326">
        <v>2.9255199999999997</v>
      </c>
      <c r="Q33" s="327">
        <v>0.1875</v>
      </c>
      <c r="R33" s="324" t="s">
        <v>89</v>
      </c>
      <c r="S33" s="324" t="s">
        <v>89</v>
      </c>
      <c r="T33" s="324" t="s">
        <v>89</v>
      </c>
      <c r="U33" s="324" t="s">
        <v>89</v>
      </c>
      <c r="V33" s="324" t="s">
        <v>118</v>
      </c>
      <c r="W33" s="324" t="s">
        <v>89</v>
      </c>
      <c r="X33" s="324" t="s">
        <v>89</v>
      </c>
      <c r="Y33" s="324" t="s">
        <v>89</v>
      </c>
    </row>
    <row r="34" spans="1:25" ht="63.75" x14ac:dyDescent="0.25">
      <c r="A34" s="323">
        <v>33</v>
      </c>
      <c r="B34" s="323" t="s">
        <v>149</v>
      </c>
      <c r="C34" s="324" t="s">
        <v>182</v>
      </c>
      <c r="D34" s="324" t="s">
        <v>202</v>
      </c>
      <c r="E34" s="324" t="s">
        <v>296</v>
      </c>
      <c r="F34" s="325">
        <v>38522</v>
      </c>
      <c r="G34" s="325">
        <v>38555</v>
      </c>
      <c r="H34" s="324" t="s">
        <v>297</v>
      </c>
      <c r="I34" s="324" t="s">
        <v>262</v>
      </c>
      <c r="J34" s="324" t="s">
        <v>215</v>
      </c>
      <c r="K34" s="324" t="s">
        <v>289</v>
      </c>
      <c r="L34" s="324" t="s">
        <v>117</v>
      </c>
      <c r="M34" s="324">
        <v>160</v>
      </c>
      <c r="N34" s="324">
        <v>2</v>
      </c>
      <c r="O34" s="325">
        <v>39618</v>
      </c>
      <c r="P34" s="326">
        <v>2.9255199999999997</v>
      </c>
      <c r="Q34" s="327">
        <v>0.1875</v>
      </c>
      <c r="R34" s="324" t="s">
        <v>89</v>
      </c>
      <c r="S34" s="324" t="s">
        <v>89</v>
      </c>
      <c r="T34" s="324" t="s">
        <v>89</v>
      </c>
      <c r="U34" s="324" t="s">
        <v>89</v>
      </c>
      <c r="V34" s="324" t="s">
        <v>118</v>
      </c>
      <c r="W34" s="324" t="s">
        <v>89</v>
      </c>
      <c r="X34" s="324" t="s">
        <v>89</v>
      </c>
      <c r="Y34" s="324" t="s">
        <v>89</v>
      </c>
    </row>
    <row r="35" spans="1:25" ht="38.25" x14ac:dyDescent="0.25">
      <c r="A35" s="323">
        <v>34</v>
      </c>
      <c r="B35" s="323" t="s">
        <v>149</v>
      </c>
      <c r="C35" s="324" t="s">
        <v>182</v>
      </c>
      <c r="D35" s="324" t="s">
        <v>202</v>
      </c>
      <c r="E35" s="324" t="s">
        <v>298</v>
      </c>
      <c r="F35" s="325">
        <v>38441</v>
      </c>
      <c r="G35" s="325">
        <v>38504</v>
      </c>
      <c r="H35" s="324" t="s">
        <v>299</v>
      </c>
      <c r="I35" s="324" t="s">
        <v>262</v>
      </c>
      <c r="J35" s="324" t="s">
        <v>263</v>
      </c>
      <c r="K35" s="324" t="s">
        <v>264</v>
      </c>
      <c r="L35" s="312" t="s">
        <v>117</v>
      </c>
      <c r="M35" s="324">
        <v>40</v>
      </c>
      <c r="N35" s="324">
        <v>5</v>
      </c>
      <c r="O35" s="325">
        <v>39537</v>
      </c>
      <c r="P35" s="326">
        <v>6.38</v>
      </c>
      <c r="Q35" s="327">
        <v>0.1875</v>
      </c>
      <c r="R35" s="324" t="s">
        <v>89</v>
      </c>
      <c r="S35" s="324" t="s">
        <v>232</v>
      </c>
      <c r="T35" s="324" t="s">
        <v>89</v>
      </c>
      <c r="U35" s="324" t="s">
        <v>89</v>
      </c>
      <c r="V35" s="324" t="s">
        <v>89</v>
      </c>
      <c r="W35" s="324" t="s">
        <v>89</v>
      </c>
      <c r="X35" s="324" t="s">
        <v>89</v>
      </c>
      <c r="Y35" s="324" t="s">
        <v>89</v>
      </c>
    </row>
    <row r="36" spans="1:25" ht="25.5" x14ac:dyDescent="0.25">
      <c r="A36" s="323">
        <v>35</v>
      </c>
      <c r="B36" s="323" t="s">
        <v>149</v>
      </c>
      <c r="C36" s="324" t="s">
        <v>182</v>
      </c>
      <c r="D36" s="324" t="s">
        <v>1647</v>
      </c>
      <c r="E36" s="324" t="s">
        <v>300</v>
      </c>
      <c r="F36" s="325">
        <v>38441</v>
      </c>
      <c r="G36" s="325">
        <v>38511</v>
      </c>
      <c r="H36" s="324" t="s">
        <v>301</v>
      </c>
      <c r="I36" s="324" t="s">
        <v>262</v>
      </c>
      <c r="J36" s="324" t="s">
        <v>263</v>
      </c>
      <c r="K36" s="324" t="s">
        <v>302</v>
      </c>
      <c r="L36" s="312" t="s">
        <v>8601</v>
      </c>
      <c r="M36" s="324">
        <v>40</v>
      </c>
      <c r="N36" s="324">
        <v>5</v>
      </c>
      <c r="O36" s="325">
        <v>39537</v>
      </c>
      <c r="P36" s="326">
        <v>0</v>
      </c>
      <c r="Q36" s="327">
        <v>0.1875</v>
      </c>
      <c r="R36" s="324" t="s">
        <v>89</v>
      </c>
      <c r="S36" s="324" t="s">
        <v>89</v>
      </c>
      <c r="T36" s="324" t="s">
        <v>89</v>
      </c>
      <c r="U36" s="324" t="s">
        <v>89</v>
      </c>
      <c r="V36" s="324" t="s">
        <v>89</v>
      </c>
      <c r="W36" s="324" t="s">
        <v>89</v>
      </c>
      <c r="X36" s="324" t="s">
        <v>89</v>
      </c>
      <c r="Y36" s="324" t="s">
        <v>89</v>
      </c>
    </row>
    <row r="37" spans="1:25" ht="25.5" x14ac:dyDescent="0.25">
      <c r="A37" s="323">
        <v>36</v>
      </c>
      <c r="B37" s="323" t="s">
        <v>149</v>
      </c>
      <c r="C37" s="324" t="s">
        <v>182</v>
      </c>
      <c r="D37" s="324" t="s">
        <v>1642</v>
      </c>
      <c r="E37" s="324" t="s">
        <v>303</v>
      </c>
      <c r="F37" s="325">
        <v>38441</v>
      </c>
      <c r="G37" s="325">
        <v>38511</v>
      </c>
      <c r="H37" s="324" t="s">
        <v>304</v>
      </c>
      <c r="I37" s="324" t="s">
        <v>262</v>
      </c>
      <c r="J37" s="324" t="s">
        <v>263</v>
      </c>
      <c r="K37" s="324" t="s">
        <v>302</v>
      </c>
      <c r="L37" s="312" t="s">
        <v>8601</v>
      </c>
      <c r="M37" s="324">
        <v>40</v>
      </c>
      <c r="N37" s="324">
        <v>5</v>
      </c>
      <c r="O37" s="325">
        <v>39537</v>
      </c>
      <c r="P37" s="326">
        <v>0</v>
      </c>
      <c r="Q37" s="327">
        <v>0.1875</v>
      </c>
      <c r="R37" s="324" t="s">
        <v>89</v>
      </c>
      <c r="S37" s="324" t="s">
        <v>89</v>
      </c>
      <c r="T37" s="324" t="s">
        <v>89</v>
      </c>
      <c r="U37" s="324" t="s">
        <v>89</v>
      </c>
      <c r="V37" s="324" t="s">
        <v>89</v>
      </c>
      <c r="W37" s="324" t="s">
        <v>89</v>
      </c>
      <c r="X37" s="324" t="s">
        <v>89</v>
      </c>
      <c r="Y37" s="324" t="s">
        <v>89</v>
      </c>
    </row>
    <row r="38" spans="1:25" ht="76.5" x14ac:dyDescent="0.25">
      <c r="A38" s="323">
        <v>37</v>
      </c>
      <c r="B38" s="323" t="s">
        <v>149</v>
      </c>
      <c r="C38" s="324" t="s">
        <v>182</v>
      </c>
      <c r="D38" s="324" t="s">
        <v>202</v>
      </c>
      <c r="E38" s="324" t="s">
        <v>305</v>
      </c>
      <c r="F38" s="325">
        <v>38522</v>
      </c>
      <c r="G38" s="325">
        <v>38541</v>
      </c>
      <c r="H38" s="324" t="s">
        <v>306</v>
      </c>
      <c r="I38" s="324" t="s">
        <v>262</v>
      </c>
      <c r="J38" s="324" t="s">
        <v>215</v>
      </c>
      <c r="K38" s="324" t="s">
        <v>1713</v>
      </c>
      <c r="L38" s="324" t="s">
        <v>244</v>
      </c>
      <c r="M38" s="324">
        <v>160</v>
      </c>
      <c r="N38" s="324">
        <v>2</v>
      </c>
      <c r="O38" s="325">
        <v>39252</v>
      </c>
      <c r="P38" s="326">
        <v>2.9255199999999997</v>
      </c>
      <c r="Q38" s="327">
        <v>0.1875</v>
      </c>
      <c r="R38" s="324" t="s">
        <v>307</v>
      </c>
      <c r="S38" s="324" t="s">
        <v>232</v>
      </c>
      <c r="T38" s="324" t="s">
        <v>89</v>
      </c>
      <c r="U38" s="324" t="s">
        <v>89</v>
      </c>
      <c r="V38" s="324" t="s">
        <v>118</v>
      </c>
      <c r="W38" s="324" t="s">
        <v>89</v>
      </c>
      <c r="X38" s="324" t="s">
        <v>89</v>
      </c>
      <c r="Y38" s="324" t="s">
        <v>89</v>
      </c>
    </row>
    <row r="39" spans="1:25" ht="38.25" x14ac:dyDescent="0.25">
      <c r="A39" s="323">
        <v>38</v>
      </c>
      <c r="B39" s="323" t="s">
        <v>149</v>
      </c>
      <c r="C39" s="324" t="s">
        <v>182</v>
      </c>
      <c r="D39" s="324" t="s">
        <v>202</v>
      </c>
      <c r="E39" s="324" t="s">
        <v>308</v>
      </c>
      <c r="F39" s="325">
        <v>38468</v>
      </c>
      <c r="G39" s="325">
        <v>38551</v>
      </c>
      <c r="H39" s="324" t="s">
        <v>309</v>
      </c>
      <c r="I39" s="324" t="s">
        <v>310</v>
      </c>
      <c r="J39" s="324" t="s">
        <v>215</v>
      </c>
      <c r="K39" s="324" t="s">
        <v>216</v>
      </c>
      <c r="L39" s="324" t="s">
        <v>117</v>
      </c>
      <c r="M39" s="324">
        <v>160</v>
      </c>
      <c r="N39" s="324">
        <v>2</v>
      </c>
      <c r="O39" s="325">
        <v>39564</v>
      </c>
      <c r="P39" s="326">
        <v>0.72198386727048591</v>
      </c>
      <c r="Q39" s="327">
        <v>0.1875</v>
      </c>
      <c r="R39" s="324" t="s">
        <v>89</v>
      </c>
      <c r="S39" s="324" t="s">
        <v>232</v>
      </c>
      <c r="T39" s="324" t="s">
        <v>89</v>
      </c>
      <c r="U39" s="324" t="s">
        <v>89</v>
      </c>
      <c r="V39" s="324" t="s">
        <v>89</v>
      </c>
      <c r="W39" s="324" t="s">
        <v>89</v>
      </c>
      <c r="X39" s="324" t="s">
        <v>89</v>
      </c>
      <c r="Y39" s="324" t="s">
        <v>89</v>
      </c>
    </row>
    <row r="40" spans="1:25" ht="38.25" x14ac:dyDescent="0.25">
      <c r="A40" s="323">
        <v>39</v>
      </c>
      <c r="B40" s="323" t="s">
        <v>149</v>
      </c>
      <c r="C40" s="324" t="s">
        <v>182</v>
      </c>
      <c r="D40" s="324" t="s">
        <v>202</v>
      </c>
      <c r="E40" s="324" t="s">
        <v>311</v>
      </c>
      <c r="F40" s="325">
        <v>38621</v>
      </c>
      <c r="G40" s="325">
        <v>38709</v>
      </c>
      <c r="H40" s="324" t="s">
        <v>312</v>
      </c>
      <c r="I40" s="324" t="s">
        <v>313</v>
      </c>
      <c r="J40" s="324" t="s">
        <v>215</v>
      </c>
      <c r="K40" s="324" t="s">
        <v>216</v>
      </c>
      <c r="L40" s="324" t="s">
        <v>117</v>
      </c>
      <c r="M40" s="324">
        <v>160</v>
      </c>
      <c r="N40" s="324">
        <v>2</v>
      </c>
      <c r="O40" s="325">
        <v>39717</v>
      </c>
      <c r="P40" s="326">
        <v>0.20215548283573598</v>
      </c>
      <c r="Q40" s="327">
        <v>0.1875</v>
      </c>
      <c r="R40" s="324" t="s">
        <v>89</v>
      </c>
      <c r="S40" s="324" t="s">
        <v>89</v>
      </c>
      <c r="T40" s="324" t="s">
        <v>89</v>
      </c>
      <c r="U40" s="324" t="s">
        <v>89</v>
      </c>
      <c r="V40" s="324" t="s">
        <v>89</v>
      </c>
      <c r="W40" s="324" t="s">
        <v>89</v>
      </c>
      <c r="X40" s="324" t="s">
        <v>89</v>
      </c>
      <c r="Y40" s="324" t="s">
        <v>89</v>
      </c>
    </row>
    <row r="41" spans="1:25" ht="127.5" x14ac:dyDescent="0.25">
      <c r="A41" s="323">
        <v>40</v>
      </c>
      <c r="B41" s="323" t="s">
        <v>149</v>
      </c>
      <c r="C41" s="324" t="s">
        <v>182</v>
      </c>
      <c r="D41" s="324" t="s">
        <v>202</v>
      </c>
      <c r="E41" s="324" t="s">
        <v>314</v>
      </c>
      <c r="F41" s="325">
        <v>38632</v>
      </c>
      <c r="G41" s="325">
        <v>38644</v>
      </c>
      <c r="H41" s="324" t="s">
        <v>315</v>
      </c>
      <c r="I41" s="324" t="s">
        <v>316</v>
      </c>
      <c r="J41" s="324" t="s">
        <v>222</v>
      </c>
      <c r="K41" s="324" t="s">
        <v>9583</v>
      </c>
      <c r="L41" s="324" t="s">
        <v>117</v>
      </c>
      <c r="M41" s="324">
        <v>180</v>
      </c>
      <c r="N41" s="324" t="s">
        <v>625</v>
      </c>
      <c r="O41" s="325">
        <v>39728</v>
      </c>
      <c r="P41" s="326">
        <v>1.63</v>
      </c>
      <c r="Q41" s="327">
        <v>0.25</v>
      </c>
      <c r="R41" s="324" t="s">
        <v>118</v>
      </c>
      <c r="S41" s="324" t="s">
        <v>89</v>
      </c>
      <c r="T41" s="324" t="s">
        <v>89</v>
      </c>
      <c r="U41" s="324" t="s">
        <v>89</v>
      </c>
      <c r="V41" s="324" t="s">
        <v>118</v>
      </c>
      <c r="W41" s="324" t="s">
        <v>89</v>
      </c>
      <c r="X41" s="324" t="s">
        <v>89</v>
      </c>
      <c r="Y41" s="324" t="s">
        <v>89</v>
      </c>
    </row>
    <row r="42" spans="1:25" ht="38.25" x14ac:dyDescent="0.25">
      <c r="A42" s="323">
        <v>41</v>
      </c>
      <c r="B42" s="323" t="s">
        <v>149</v>
      </c>
      <c r="C42" s="324" t="s">
        <v>182</v>
      </c>
      <c r="D42" s="324" t="s">
        <v>202</v>
      </c>
      <c r="E42" s="324" t="s">
        <v>318</v>
      </c>
      <c r="F42" s="325">
        <v>38653</v>
      </c>
      <c r="G42" s="325">
        <v>38701</v>
      </c>
      <c r="H42" s="324" t="s">
        <v>319</v>
      </c>
      <c r="I42" s="324" t="s">
        <v>320</v>
      </c>
      <c r="J42" s="324" t="s">
        <v>321</v>
      </c>
      <c r="K42" s="324" t="s">
        <v>216</v>
      </c>
      <c r="L42" s="324" t="s">
        <v>117</v>
      </c>
      <c r="M42" s="324">
        <v>160</v>
      </c>
      <c r="N42" s="324">
        <v>2</v>
      </c>
      <c r="O42" s="325">
        <v>39749</v>
      </c>
      <c r="P42" s="326">
        <v>0.20215548283573598</v>
      </c>
      <c r="Q42" s="327">
        <v>0.1875</v>
      </c>
      <c r="R42" s="324" t="s">
        <v>89</v>
      </c>
      <c r="S42" s="324" t="s">
        <v>89</v>
      </c>
      <c r="T42" s="324" t="s">
        <v>89</v>
      </c>
      <c r="U42" s="324" t="s">
        <v>89</v>
      </c>
      <c r="V42" s="324" t="s">
        <v>89</v>
      </c>
      <c r="W42" s="324" t="s">
        <v>89</v>
      </c>
      <c r="X42" s="324" t="s">
        <v>89</v>
      </c>
      <c r="Y42" s="324" t="s">
        <v>89</v>
      </c>
    </row>
    <row r="43" spans="1:25" ht="38.25" x14ac:dyDescent="0.25">
      <c r="A43" s="323">
        <v>42</v>
      </c>
      <c r="B43" s="323" t="s">
        <v>149</v>
      </c>
      <c r="C43" s="324" t="s">
        <v>182</v>
      </c>
      <c r="D43" s="324" t="s">
        <v>202</v>
      </c>
      <c r="E43" s="324" t="s">
        <v>322</v>
      </c>
      <c r="F43" s="325">
        <v>38657</v>
      </c>
      <c r="G43" s="325">
        <v>38701</v>
      </c>
      <c r="H43" s="324" t="s">
        <v>323</v>
      </c>
      <c r="I43" s="324" t="s">
        <v>324</v>
      </c>
      <c r="J43" s="324" t="s">
        <v>321</v>
      </c>
      <c r="K43" s="324" t="s">
        <v>325</v>
      </c>
      <c r="L43" s="324" t="s">
        <v>117</v>
      </c>
      <c r="M43" s="324">
        <v>160</v>
      </c>
      <c r="N43" s="324">
        <v>2</v>
      </c>
      <c r="O43" s="325">
        <v>39753</v>
      </c>
      <c r="P43" s="326">
        <v>0.60646644850720799</v>
      </c>
      <c r="Q43" s="327">
        <v>0.25</v>
      </c>
      <c r="R43" s="324" t="s">
        <v>89</v>
      </c>
      <c r="S43" s="324" t="s">
        <v>89</v>
      </c>
      <c r="T43" s="324" t="s">
        <v>89</v>
      </c>
      <c r="U43" s="324" t="s">
        <v>89</v>
      </c>
      <c r="V43" s="324" t="s">
        <v>89</v>
      </c>
      <c r="W43" s="324" t="s">
        <v>89</v>
      </c>
      <c r="X43" s="324" t="s">
        <v>89</v>
      </c>
      <c r="Y43" s="324" t="s">
        <v>89</v>
      </c>
    </row>
    <row r="44" spans="1:25" ht="38.25" x14ac:dyDescent="0.25">
      <c r="A44" s="323">
        <v>43</v>
      </c>
      <c r="B44" s="323" t="s">
        <v>149</v>
      </c>
      <c r="C44" s="324" t="s">
        <v>182</v>
      </c>
      <c r="D44" s="324" t="s">
        <v>202</v>
      </c>
      <c r="E44" s="324" t="s">
        <v>326</v>
      </c>
      <c r="F44" s="325">
        <v>38658</v>
      </c>
      <c r="G44" s="325">
        <v>38754</v>
      </c>
      <c r="H44" s="324" t="s">
        <v>327</v>
      </c>
      <c r="I44" s="324" t="s">
        <v>320</v>
      </c>
      <c r="J44" s="324" t="s">
        <v>321</v>
      </c>
      <c r="K44" s="324" t="s">
        <v>216</v>
      </c>
      <c r="L44" s="324" t="s">
        <v>117</v>
      </c>
      <c r="M44" s="324">
        <v>160</v>
      </c>
      <c r="N44" s="324">
        <v>2</v>
      </c>
      <c r="O44" s="325">
        <v>39754</v>
      </c>
      <c r="P44" s="326">
        <v>0.20215548283573598</v>
      </c>
      <c r="Q44" s="327">
        <v>0.1875</v>
      </c>
      <c r="R44" s="324" t="s">
        <v>89</v>
      </c>
      <c r="S44" s="324" t="s">
        <v>89</v>
      </c>
      <c r="T44" s="324" t="s">
        <v>89</v>
      </c>
      <c r="U44" s="324" t="s">
        <v>89</v>
      </c>
      <c r="V44" s="324" t="s">
        <v>89</v>
      </c>
      <c r="W44" s="324" t="s">
        <v>89</v>
      </c>
      <c r="X44" s="324" t="s">
        <v>89</v>
      </c>
      <c r="Y44" s="324" t="s">
        <v>89</v>
      </c>
    </row>
    <row r="45" spans="1:25" ht="38.25" x14ac:dyDescent="0.25">
      <c r="A45" s="323">
        <v>44</v>
      </c>
      <c r="B45" s="323" t="s">
        <v>149</v>
      </c>
      <c r="C45" s="324" t="s">
        <v>182</v>
      </c>
      <c r="D45" s="324" t="s">
        <v>202</v>
      </c>
      <c r="E45" s="324" t="s">
        <v>328</v>
      </c>
      <c r="F45" s="325">
        <v>38658</v>
      </c>
      <c r="G45" s="325">
        <v>38754</v>
      </c>
      <c r="H45" s="324" t="s">
        <v>329</v>
      </c>
      <c r="I45" s="324" t="s">
        <v>320</v>
      </c>
      <c r="J45" s="324" t="s">
        <v>321</v>
      </c>
      <c r="K45" s="324" t="s">
        <v>216</v>
      </c>
      <c r="L45" s="324" t="s">
        <v>117</v>
      </c>
      <c r="M45" s="324">
        <v>160</v>
      </c>
      <c r="N45" s="324">
        <v>2</v>
      </c>
      <c r="O45" s="325">
        <v>39754</v>
      </c>
      <c r="P45" s="326">
        <v>0.20215548283573598</v>
      </c>
      <c r="Q45" s="327">
        <v>0.1875</v>
      </c>
      <c r="R45" s="324" t="s">
        <v>89</v>
      </c>
      <c r="S45" s="324" t="s">
        <v>89</v>
      </c>
      <c r="T45" s="324" t="s">
        <v>89</v>
      </c>
      <c r="U45" s="324" t="s">
        <v>89</v>
      </c>
      <c r="V45" s="324" t="s">
        <v>89</v>
      </c>
      <c r="W45" s="324" t="s">
        <v>89</v>
      </c>
      <c r="X45" s="324" t="s">
        <v>89</v>
      </c>
      <c r="Y45" s="324" t="s">
        <v>89</v>
      </c>
    </row>
    <row r="46" spans="1:25" ht="38.25" x14ac:dyDescent="0.25">
      <c r="A46" s="323">
        <v>45</v>
      </c>
      <c r="B46" s="323" t="s">
        <v>149</v>
      </c>
      <c r="C46" s="324" t="s">
        <v>182</v>
      </c>
      <c r="D46" s="324" t="s">
        <v>202</v>
      </c>
      <c r="E46" s="324" t="s">
        <v>330</v>
      </c>
      <c r="F46" s="325">
        <v>38678</v>
      </c>
      <c r="G46" s="325">
        <v>38754</v>
      </c>
      <c r="H46" s="324" t="s">
        <v>331</v>
      </c>
      <c r="I46" s="324" t="s">
        <v>320</v>
      </c>
      <c r="J46" s="324" t="s">
        <v>332</v>
      </c>
      <c r="K46" s="324" t="s">
        <v>333</v>
      </c>
      <c r="L46" s="324" t="s">
        <v>117</v>
      </c>
      <c r="M46" s="324">
        <v>80</v>
      </c>
      <c r="N46" s="324">
        <v>4</v>
      </c>
      <c r="O46" s="325">
        <v>39774</v>
      </c>
      <c r="P46" s="326">
        <v>4.2103999999999955</v>
      </c>
      <c r="Q46" s="327">
        <v>0.25</v>
      </c>
      <c r="R46" s="324" t="s">
        <v>89</v>
      </c>
      <c r="S46" s="324" t="s">
        <v>89</v>
      </c>
      <c r="T46" s="324" t="s">
        <v>89</v>
      </c>
      <c r="U46" s="324" t="s">
        <v>89</v>
      </c>
      <c r="V46" s="324" t="s">
        <v>89</v>
      </c>
      <c r="W46" s="324" t="s">
        <v>89</v>
      </c>
      <c r="X46" s="324" t="s">
        <v>89</v>
      </c>
      <c r="Y46" s="324" t="s">
        <v>89</v>
      </c>
    </row>
    <row r="47" spans="1:25" ht="153" x14ac:dyDescent="0.25">
      <c r="A47" s="323">
        <v>46</v>
      </c>
      <c r="B47" s="323" t="s">
        <v>149</v>
      </c>
      <c r="C47" s="324" t="s">
        <v>182</v>
      </c>
      <c r="D47" s="324" t="s">
        <v>202</v>
      </c>
      <c r="E47" s="324" t="s">
        <v>334</v>
      </c>
      <c r="F47" s="325">
        <v>38636</v>
      </c>
      <c r="G47" s="325">
        <v>38701</v>
      </c>
      <c r="H47" s="324" t="s">
        <v>335</v>
      </c>
      <c r="I47" s="324" t="s">
        <v>320</v>
      </c>
      <c r="J47" s="324" t="s">
        <v>1751</v>
      </c>
      <c r="K47" s="324" t="s">
        <v>9584</v>
      </c>
      <c r="L47" s="324" t="s">
        <v>117</v>
      </c>
      <c r="M47" s="324">
        <v>40</v>
      </c>
      <c r="N47" s="324" t="s">
        <v>502</v>
      </c>
      <c r="O47" s="325">
        <v>39732</v>
      </c>
      <c r="P47" s="326">
        <v>0</v>
      </c>
      <c r="Q47" s="327">
        <v>0.1875</v>
      </c>
      <c r="R47" s="324" t="s">
        <v>307</v>
      </c>
      <c r="S47" s="324" t="s">
        <v>232</v>
      </c>
      <c r="T47" s="324" t="s">
        <v>89</v>
      </c>
      <c r="U47" s="324" t="s">
        <v>89</v>
      </c>
      <c r="V47" s="324" t="s">
        <v>118</v>
      </c>
      <c r="W47" s="324" t="s">
        <v>89</v>
      </c>
      <c r="X47" s="324" t="s">
        <v>89</v>
      </c>
      <c r="Y47" s="324" t="s">
        <v>89</v>
      </c>
    </row>
    <row r="48" spans="1:25" ht="153" x14ac:dyDescent="0.25">
      <c r="A48" s="323">
        <v>47</v>
      </c>
      <c r="B48" s="323" t="s">
        <v>149</v>
      </c>
      <c r="C48" s="324" t="s">
        <v>182</v>
      </c>
      <c r="D48" s="324" t="s">
        <v>202</v>
      </c>
      <c r="E48" s="324" t="s">
        <v>336</v>
      </c>
      <c r="F48" s="325">
        <v>38636</v>
      </c>
      <c r="G48" s="325">
        <v>38701</v>
      </c>
      <c r="H48" s="324" t="s">
        <v>337</v>
      </c>
      <c r="I48" s="324" t="s">
        <v>320</v>
      </c>
      <c r="J48" s="324" t="s">
        <v>263</v>
      </c>
      <c r="K48" s="324" t="s">
        <v>9585</v>
      </c>
      <c r="L48" s="324" t="s">
        <v>244</v>
      </c>
      <c r="M48" s="324">
        <v>40</v>
      </c>
      <c r="N48" s="324">
        <v>5</v>
      </c>
      <c r="O48" s="325">
        <v>39366</v>
      </c>
      <c r="P48" s="326">
        <v>0.31013179999999974</v>
      </c>
      <c r="Q48" s="327">
        <v>0.1875</v>
      </c>
      <c r="R48" s="324" t="s">
        <v>307</v>
      </c>
      <c r="S48" s="324" t="s">
        <v>232</v>
      </c>
      <c r="T48" s="324" t="s">
        <v>89</v>
      </c>
      <c r="U48" s="324" t="s">
        <v>89</v>
      </c>
      <c r="V48" s="324" t="s">
        <v>118</v>
      </c>
      <c r="W48" s="324" t="s">
        <v>89</v>
      </c>
      <c r="X48" s="324" t="s">
        <v>89</v>
      </c>
      <c r="Y48" s="324" t="s">
        <v>89</v>
      </c>
    </row>
    <row r="49" spans="1:25" ht="38.25" x14ac:dyDescent="0.25">
      <c r="A49" s="323">
        <v>48</v>
      </c>
      <c r="B49" s="323" t="s">
        <v>149</v>
      </c>
      <c r="C49" s="324" t="s">
        <v>182</v>
      </c>
      <c r="D49" s="324" t="s">
        <v>202</v>
      </c>
      <c r="E49" s="324" t="s">
        <v>338</v>
      </c>
      <c r="F49" s="325">
        <v>38670</v>
      </c>
      <c r="G49" s="325">
        <v>38701</v>
      </c>
      <c r="H49" s="324" t="s">
        <v>339</v>
      </c>
      <c r="I49" s="324" t="s">
        <v>320</v>
      </c>
      <c r="J49" s="324" t="s">
        <v>340</v>
      </c>
      <c r="K49" s="324" t="s">
        <v>8560</v>
      </c>
      <c r="L49" s="324" t="s">
        <v>117</v>
      </c>
      <c r="M49" s="324">
        <v>115.33499999999999</v>
      </c>
      <c r="N49" s="324" t="s">
        <v>438</v>
      </c>
      <c r="O49" s="325">
        <v>39766</v>
      </c>
      <c r="P49" s="326">
        <v>18.835000000000001</v>
      </c>
      <c r="Q49" s="327">
        <v>0.1875</v>
      </c>
      <c r="R49" s="324" t="s">
        <v>89</v>
      </c>
      <c r="S49" s="324" t="s">
        <v>232</v>
      </c>
      <c r="T49" s="324" t="s">
        <v>89</v>
      </c>
      <c r="U49" s="324" t="s">
        <v>89</v>
      </c>
      <c r="V49" s="324" t="s">
        <v>89</v>
      </c>
      <c r="W49" s="324" t="s">
        <v>89</v>
      </c>
      <c r="X49" s="324" t="s">
        <v>89</v>
      </c>
      <c r="Y49" s="324" t="s">
        <v>89</v>
      </c>
    </row>
    <row r="50" spans="1:25" ht="38.25" x14ac:dyDescent="0.25">
      <c r="A50" s="323">
        <v>49</v>
      </c>
      <c r="B50" s="323" t="s">
        <v>149</v>
      </c>
      <c r="C50" s="324" t="s">
        <v>182</v>
      </c>
      <c r="D50" s="324" t="s">
        <v>202</v>
      </c>
      <c r="E50" s="324" t="s">
        <v>341</v>
      </c>
      <c r="F50" s="325">
        <v>38621</v>
      </c>
      <c r="G50" s="325">
        <v>38709</v>
      </c>
      <c r="H50" s="324" t="s">
        <v>342</v>
      </c>
      <c r="I50" s="324" t="s">
        <v>343</v>
      </c>
      <c r="J50" s="324" t="s">
        <v>222</v>
      </c>
      <c r="K50" s="324" t="s">
        <v>223</v>
      </c>
      <c r="L50" s="324" t="s">
        <v>117</v>
      </c>
      <c r="M50" s="324">
        <v>180</v>
      </c>
      <c r="N50" s="324" t="s">
        <v>625</v>
      </c>
      <c r="O50" s="325">
        <v>39717</v>
      </c>
      <c r="P50" s="326">
        <v>60</v>
      </c>
      <c r="Q50" s="327">
        <v>0.1875</v>
      </c>
      <c r="R50" s="324" t="s">
        <v>89</v>
      </c>
      <c r="S50" s="324" t="s">
        <v>232</v>
      </c>
      <c r="T50" s="324" t="s">
        <v>89</v>
      </c>
      <c r="U50" s="324" t="s">
        <v>89</v>
      </c>
      <c r="V50" s="324" t="s">
        <v>89</v>
      </c>
      <c r="W50" s="324" t="s">
        <v>89</v>
      </c>
      <c r="X50" s="324" t="s">
        <v>89</v>
      </c>
      <c r="Y50" s="324" t="s">
        <v>89</v>
      </c>
    </row>
    <row r="51" spans="1:25" ht="25.5" x14ac:dyDescent="0.25">
      <c r="A51" s="323">
        <v>50</v>
      </c>
      <c r="B51" s="323" t="s">
        <v>149</v>
      </c>
      <c r="C51" s="324" t="s">
        <v>182</v>
      </c>
      <c r="D51" s="324" t="s">
        <v>202</v>
      </c>
      <c r="E51" s="324" t="s">
        <v>344</v>
      </c>
      <c r="F51" s="325">
        <v>38720</v>
      </c>
      <c r="G51" s="325">
        <v>38785</v>
      </c>
      <c r="H51" s="324" t="s">
        <v>345</v>
      </c>
      <c r="I51" s="324" t="s">
        <v>320</v>
      </c>
      <c r="J51" s="324" t="s">
        <v>222</v>
      </c>
      <c r="K51" s="324" t="s">
        <v>346</v>
      </c>
      <c r="L51" s="324" t="s">
        <v>117</v>
      </c>
      <c r="M51" s="324">
        <v>180</v>
      </c>
      <c r="N51" s="324" t="s">
        <v>625</v>
      </c>
      <c r="O51" s="325">
        <v>39816</v>
      </c>
      <c r="P51" s="326">
        <v>20</v>
      </c>
      <c r="Q51" s="327">
        <v>0.1875</v>
      </c>
      <c r="R51" s="324" t="s">
        <v>89</v>
      </c>
      <c r="S51" s="324" t="s">
        <v>89</v>
      </c>
      <c r="T51" s="324" t="s">
        <v>89</v>
      </c>
      <c r="U51" s="324" t="s">
        <v>89</v>
      </c>
      <c r="V51" s="324" t="s">
        <v>89</v>
      </c>
      <c r="W51" s="324" t="s">
        <v>89</v>
      </c>
      <c r="X51" s="324" t="s">
        <v>89</v>
      </c>
      <c r="Y51" s="324" t="s">
        <v>89</v>
      </c>
    </row>
    <row r="52" spans="1:25" ht="38.25" x14ac:dyDescent="0.25">
      <c r="A52" s="323">
        <v>51</v>
      </c>
      <c r="B52" s="323" t="s">
        <v>149</v>
      </c>
      <c r="C52" s="324" t="s">
        <v>182</v>
      </c>
      <c r="D52" s="324" t="s">
        <v>202</v>
      </c>
      <c r="E52" s="324" t="s">
        <v>347</v>
      </c>
      <c r="F52" s="325">
        <v>38002</v>
      </c>
      <c r="G52" s="325">
        <v>38020</v>
      </c>
      <c r="H52" s="324" t="s">
        <v>348</v>
      </c>
      <c r="I52" s="324" t="s">
        <v>205</v>
      </c>
      <c r="J52" s="324" t="s">
        <v>215</v>
      </c>
      <c r="K52" s="324" t="s">
        <v>216</v>
      </c>
      <c r="L52" s="324" t="s">
        <v>117</v>
      </c>
      <c r="M52" s="324">
        <v>160</v>
      </c>
      <c r="N52" s="324">
        <v>2</v>
      </c>
      <c r="O52" s="325">
        <v>39098</v>
      </c>
      <c r="P52" s="326">
        <v>4</v>
      </c>
      <c r="Q52" s="327">
        <v>0.1875</v>
      </c>
      <c r="R52" s="324" t="s">
        <v>89</v>
      </c>
      <c r="S52" s="324" t="s">
        <v>89</v>
      </c>
      <c r="T52" s="324" t="s">
        <v>89</v>
      </c>
      <c r="U52" s="324" t="s">
        <v>89</v>
      </c>
      <c r="V52" s="324" t="s">
        <v>89</v>
      </c>
      <c r="W52" s="324" t="s">
        <v>89</v>
      </c>
      <c r="X52" s="324" t="s">
        <v>89</v>
      </c>
      <c r="Y52" s="324" t="s">
        <v>89</v>
      </c>
    </row>
    <row r="53" spans="1:25" ht="38.25" x14ac:dyDescent="0.25">
      <c r="A53" s="323">
        <v>52</v>
      </c>
      <c r="B53" s="323" t="s">
        <v>149</v>
      </c>
      <c r="C53" s="324" t="s">
        <v>182</v>
      </c>
      <c r="D53" s="324" t="s">
        <v>202</v>
      </c>
      <c r="E53" s="324" t="s">
        <v>350</v>
      </c>
      <c r="F53" s="325">
        <v>38002</v>
      </c>
      <c r="G53" s="325">
        <v>38020</v>
      </c>
      <c r="H53" s="324" t="s">
        <v>351</v>
      </c>
      <c r="I53" s="324" t="s">
        <v>205</v>
      </c>
      <c r="J53" s="324" t="s">
        <v>215</v>
      </c>
      <c r="K53" s="324" t="s">
        <v>216</v>
      </c>
      <c r="L53" s="324" t="s">
        <v>117</v>
      </c>
      <c r="M53" s="324">
        <v>160</v>
      </c>
      <c r="N53" s="324">
        <v>2</v>
      </c>
      <c r="O53" s="325">
        <v>39098</v>
      </c>
      <c r="P53" s="326">
        <v>4</v>
      </c>
      <c r="Q53" s="327">
        <v>0.1875</v>
      </c>
      <c r="R53" s="324" t="s">
        <v>89</v>
      </c>
      <c r="S53" s="324" t="s">
        <v>89</v>
      </c>
      <c r="T53" s="324" t="s">
        <v>89</v>
      </c>
      <c r="U53" s="324" t="s">
        <v>89</v>
      </c>
      <c r="V53" s="324" t="s">
        <v>89</v>
      </c>
      <c r="W53" s="324" t="s">
        <v>89</v>
      </c>
      <c r="X53" s="324" t="s">
        <v>89</v>
      </c>
      <c r="Y53" s="324" t="s">
        <v>89</v>
      </c>
    </row>
    <row r="54" spans="1:25" ht="38.25" x14ac:dyDescent="0.25">
      <c r="A54" s="323">
        <v>53</v>
      </c>
      <c r="B54" s="323" t="s">
        <v>149</v>
      </c>
      <c r="C54" s="324" t="s">
        <v>182</v>
      </c>
      <c r="D54" s="324" t="s">
        <v>202</v>
      </c>
      <c r="E54" s="324" t="s">
        <v>352</v>
      </c>
      <c r="F54" s="325">
        <v>38002</v>
      </c>
      <c r="G54" s="325">
        <v>38029</v>
      </c>
      <c r="H54" s="324" t="s">
        <v>353</v>
      </c>
      <c r="I54" s="324" t="s">
        <v>205</v>
      </c>
      <c r="J54" s="324" t="s">
        <v>215</v>
      </c>
      <c r="K54" s="324" t="s">
        <v>216</v>
      </c>
      <c r="L54" s="324" t="s">
        <v>117</v>
      </c>
      <c r="M54" s="324">
        <v>160</v>
      </c>
      <c r="N54" s="324">
        <v>2</v>
      </c>
      <c r="O54" s="325">
        <v>39098</v>
      </c>
      <c r="P54" s="326">
        <v>15.90214855901044</v>
      </c>
      <c r="Q54" s="327">
        <v>0.1875</v>
      </c>
      <c r="R54" s="324" t="s">
        <v>89</v>
      </c>
      <c r="S54" s="324" t="s">
        <v>89</v>
      </c>
      <c r="T54" s="324" t="s">
        <v>89</v>
      </c>
      <c r="U54" s="324" t="s">
        <v>89</v>
      </c>
      <c r="V54" s="324" t="s">
        <v>89</v>
      </c>
      <c r="W54" s="324" t="s">
        <v>89</v>
      </c>
      <c r="X54" s="324" t="s">
        <v>89</v>
      </c>
      <c r="Y54" s="324" t="s">
        <v>89</v>
      </c>
    </row>
    <row r="55" spans="1:25" ht="38.25" x14ac:dyDescent="0.25">
      <c r="A55" s="323">
        <v>54</v>
      </c>
      <c r="B55" s="323" t="s">
        <v>149</v>
      </c>
      <c r="C55" s="324" t="s">
        <v>182</v>
      </c>
      <c r="D55" s="324" t="s">
        <v>202</v>
      </c>
      <c r="E55" s="324" t="s">
        <v>354</v>
      </c>
      <c r="F55" s="325">
        <v>38002</v>
      </c>
      <c r="G55" s="325">
        <v>38029</v>
      </c>
      <c r="H55" s="324" t="s">
        <v>355</v>
      </c>
      <c r="I55" s="324" t="s">
        <v>205</v>
      </c>
      <c r="J55" s="324" t="s">
        <v>215</v>
      </c>
      <c r="K55" s="324" t="s">
        <v>216</v>
      </c>
      <c r="L55" s="324" t="s">
        <v>117</v>
      </c>
      <c r="M55" s="324">
        <v>160</v>
      </c>
      <c r="N55" s="324">
        <v>2</v>
      </c>
      <c r="O55" s="325">
        <v>39098</v>
      </c>
      <c r="P55" s="326">
        <v>8.0862193134294422</v>
      </c>
      <c r="Q55" s="327">
        <v>0.1875</v>
      </c>
      <c r="R55" s="324" t="s">
        <v>89</v>
      </c>
      <c r="S55" s="324" t="s">
        <v>89</v>
      </c>
      <c r="T55" s="324" t="s">
        <v>89</v>
      </c>
      <c r="U55" s="324" t="s">
        <v>89</v>
      </c>
      <c r="V55" s="324" t="s">
        <v>89</v>
      </c>
      <c r="W55" s="324" t="s">
        <v>89</v>
      </c>
      <c r="X55" s="324" t="s">
        <v>89</v>
      </c>
      <c r="Y55" s="324" t="s">
        <v>89</v>
      </c>
    </row>
    <row r="56" spans="1:25" ht="38.25" x14ac:dyDescent="0.25">
      <c r="A56" s="323">
        <v>55</v>
      </c>
      <c r="B56" s="323" t="s">
        <v>149</v>
      </c>
      <c r="C56" s="324" t="s">
        <v>182</v>
      </c>
      <c r="D56" s="324" t="s">
        <v>202</v>
      </c>
      <c r="E56" s="324" t="s">
        <v>356</v>
      </c>
      <c r="F56" s="325">
        <v>38709</v>
      </c>
      <c r="G56" s="325">
        <v>38733</v>
      </c>
      <c r="H56" s="324" t="s">
        <v>357</v>
      </c>
      <c r="I56" s="324" t="s">
        <v>358</v>
      </c>
      <c r="J56" s="324" t="s">
        <v>215</v>
      </c>
      <c r="K56" s="324" t="s">
        <v>216</v>
      </c>
      <c r="L56" s="324" t="s">
        <v>117</v>
      </c>
      <c r="M56" s="324">
        <v>160</v>
      </c>
      <c r="N56" s="324">
        <v>2</v>
      </c>
      <c r="O56" s="325">
        <v>39805</v>
      </c>
      <c r="P56" s="326">
        <v>0.20215548283573584</v>
      </c>
      <c r="Q56" s="327">
        <v>0.1875</v>
      </c>
      <c r="R56" s="324" t="s">
        <v>89</v>
      </c>
      <c r="S56" s="324" t="s">
        <v>232</v>
      </c>
      <c r="T56" s="324" t="s">
        <v>89</v>
      </c>
      <c r="U56" s="324" t="s">
        <v>89</v>
      </c>
      <c r="V56" s="324" t="s">
        <v>89</v>
      </c>
      <c r="W56" s="324" t="s">
        <v>89</v>
      </c>
      <c r="X56" s="324" t="s">
        <v>89</v>
      </c>
      <c r="Y56" s="324" t="s">
        <v>89</v>
      </c>
    </row>
    <row r="57" spans="1:25" ht="38.25" x14ac:dyDescent="0.25">
      <c r="A57" s="323">
        <v>56</v>
      </c>
      <c r="B57" s="323" t="s">
        <v>149</v>
      </c>
      <c r="C57" s="324" t="s">
        <v>182</v>
      </c>
      <c r="D57" s="324" t="s">
        <v>202</v>
      </c>
      <c r="E57" s="324" t="s">
        <v>359</v>
      </c>
      <c r="F57" s="325">
        <v>38726</v>
      </c>
      <c r="G57" s="325">
        <v>38742</v>
      </c>
      <c r="H57" s="324" t="s">
        <v>360</v>
      </c>
      <c r="I57" s="324" t="s">
        <v>361</v>
      </c>
      <c r="J57" s="324" t="s">
        <v>215</v>
      </c>
      <c r="K57" s="324" t="s">
        <v>216</v>
      </c>
      <c r="L57" s="324" t="s">
        <v>117</v>
      </c>
      <c r="M57" s="324">
        <v>160</v>
      </c>
      <c r="N57" s="324">
        <v>2</v>
      </c>
      <c r="O57" s="325">
        <v>39822</v>
      </c>
      <c r="P57" s="326">
        <v>4.4359466666666663</v>
      </c>
      <c r="Q57" s="327">
        <v>0.1875</v>
      </c>
      <c r="R57" s="324" t="s">
        <v>89</v>
      </c>
      <c r="S57" s="324" t="s">
        <v>232</v>
      </c>
      <c r="T57" s="324" t="s">
        <v>89</v>
      </c>
      <c r="U57" s="324" t="s">
        <v>89</v>
      </c>
      <c r="V57" s="324" t="s">
        <v>89</v>
      </c>
      <c r="W57" s="324" t="s">
        <v>89</v>
      </c>
      <c r="X57" s="324" t="s">
        <v>89</v>
      </c>
      <c r="Y57" s="324" t="s">
        <v>89</v>
      </c>
    </row>
    <row r="58" spans="1:25" ht="38.25" x14ac:dyDescent="0.25">
      <c r="A58" s="323">
        <v>57</v>
      </c>
      <c r="B58" s="323" t="s">
        <v>149</v>
      </c>
      <c r="C58" s="324" t="s">
        <v>182</v>
      </c>
      <c r="D58" s="324" t="s">
        <v>202</v>
      </c>
      <c r="E58" s="324" t="s">
        <v>362</v>
      </c>
      <c r="F58" s="325">
        <v>38013</v>
      </c>
      <c r="G58" s="325">
        <v>38027</v>
      </c>
      <c r="H58" s="324" t="s">
        <v>363</v>
      </c>
      <c r="I58" s="324" t="s">
        <v>205</v>
      </c>
      <c r="J58" s="324" t="s">
        <v>215</v>
      </c>
      <c r="K58" s="324" t="s">
        <v>216</v>
      </c>
      <c r="L58" s="324" t="s">
        <v>117</v>
      </c>
      <c r="M58" s="324">
        <v>160</v>
      </c>
      <c r="N58" s="324">
        <v>2</v>
      </c>
      <c r="O58" s="325">
        <v>39109</v>
      </c>
      <c r="P58" s="326">
        <v>5.8718933333333325</v>
      </c>
      <c r="Q58" s="327">
        <v>0.1875</v>
      </c>
      <c r="R58" s="324" t="s">
        <v>89</v>
      </c>
      <c r="S58" s="324" t="s">
        <v>89</v>
      </c>
      <c r="T58" s="324" t="s">
        <v>89</v>
      </c>
      <c r="U58" s="324" t="s">
        <v>89</v>
      </c>
      <c r="V58" s="324" t="s">
        <v>89</v>
      </c>
      <c r="W58" s="324" t="s">
        <v>89</v>
      </c>
      <c r="X58" s="324" t="s">
        <v>89</v>
      </c>
      <c r="Y58" s="324" t="s">
        <v>89</v>
      </c>
    </row>
    <row r="59" spans="1:25" ht="38.25" x14ac:dyDescent="0.25">
      <c r="A59" s="323">
        <v>58</v>
      </c>
      <c r="B59" s="323" t="s">
        <v>149</v>
      </c>
      <c r="C59" s="324" t="s">
        <v>182</v>
      </c>
      <c r="D59" s="324" t="s">
        <v>202</v>
      </c>
      <c r="E59" s="324" t="s">
        <v>364</v>
      </c>
      <c r="F59" s="325">
        <v>38733</v>
      </c>
      <c r="G59" s="325">
        <v>38747</v>
      </c>
      <c r="H59" s="324" t="s">
        <v>365</v>
      </c>
      <c r="I59" s="324" t="s">
        <v>366</v>
      </c>
      <c r="J59" s="324" t="s">
        <v>215</v>
      </c>
      <c r="K59" s="324" t="s">
        <v>8561</v>
      </c>
      <c r="L59" s="324" t="s">
        <v>8602</v>
      </c>
      <c r="M59" s="324">
        <v>160</v>
      </c>
      <c r="N59" s="324">
        <v>2</v>
      </c>
      <c r="O59" s="325">
        <v>39279</v>
      </c>
      <c r="P59" s="326">
        <v>0.40431096567147196</v>
      </c>
      <c r="Q59" s="327">
        <v>0.25</v>
      </c>
      <c r="R59" s="324" t="s">
        <v>89</v>
      </c>
      <c r="S59" s="324" t="s">
        <v>232</v>
      </c>
      <c r="T59" s="324" t="s">
        <v>89</v>
      </c>
      <c r="U59" s="324" t="s">
        <v>89</v>
      </c>
      <c r="V59" s="324" t="s">
        <v>89</v>
      </c>
      <c r="W59" s="324" t="s">
        <v>89</v>
      </c>
      <c r="X59" s="324" t="s">
        <v>89</v>
      </c>
      <c r="Y59" s="324" t="s">
        <v>89</v>
      </c>
    </row>
    <row r="60" spans="1:25" ht="38.25" x14ac:dyDescent="0.25">
      <c r="A60" s="323">
        <v>59</v>
      </c>
      <c r="B60" s="323" t="s">
        <v>149</v>
      </c>
      <c r="C60" s="324" t="s">
        <v>182</v>
      </c>
      <c r="D60" s="324" t="s">
        <v>202</v>
      </c>
      <c r="E60" s="324" t="s">
        <v>367</v>
      </c>
      <c r="F60" s="325">
        <v>38658</v>
      </c>
      <c r="G60" s="325">
        <v>38754</v>
      </c>
      <c r="H60" s="324" t="s">
        <v>368</v>
      </c>
      <c r="I60" s="324" t="s">
        <v>320</v>
      </c>
      <c r="J60" s="324" t="s">
        <v>321</v>
      </c>
      <c r="K60" s="324" t="s">
        <v>216</v>
      </c>
      <c r="L60" s="312" t="s">
        <v>117</v>
      </c>
      <c r="M60" s="324">
        <v>160</v>
      </c>
      <c r="N60" s="324">
        <v>2</v>
      </c>
      <c r="O60" s="325">
        <v>39754</v>
      </c>
      <c r="P60" s="326">
        <v>0.40431096567147196</v>
      </c>
      <c r="Q60" s="327">
        <v>0.1875</v>
      </c>
      <c r="R60" s="324" t="s">
        <v>89</v>
      </c>
      <c r="S60" s="324" t="s">
        <v>232</v>
      </c>
      <c r="T60" s="324" t="s">
        <v>89</v>
      </c>
      <c r="U60" s="324" t="s">
        <v>89</v>
      </c>
      <c r="V60" s="324" t="s">
        <v>89</v>
      </c>
      <c r="W60" s="324" t="s">
        <v>89</v>
      </c>
      <c r="X60" s="324" t="s">
        <v>89</v>
      </c>
      <c r="Y60" s="324" t="s">
        <v>89</v>
      </c>
    </row>
    <row r="61" spans="1:25" ht="38.25" x14ac:dyDescent="0.25">
      <c r="A61" s="323">
        <v>60</v>
      </c>
      <c r="B61" s="323" t="s">
        <v>149</v>
      </c>
      <c r="C61" s="324" t="s">
        <v>182</v>
      </c>
      <c r="D61" s="324" t="s">
        <v>202</v>
      </c>
      <c r="E61" s="324" t="s">
        <v>369</v>
      </c>
      <c r="F61" s="325">
        <v>38693</v>
      </c>
      <c r="G61" s="325">
        <v>38754</v>
      </c>
      <c r="H61" s="324" t="s">
        <v>370</v>
      </c>
      <c r="I61" s="324" t="s">
        <v>320</v>
      </c>
      <c r="J61" s="324" t="s">
        <v>332</v>
      </c>
      <c r="K61" s="324" t="s">
        <v>333</v>
      </c>
      <c r="L61" s="324" t="s">
        <v>117</v>
      </c>
      <c r="M61" s="324">
        <v>80</v>
      </c>
      <c r="N61" s="324">
        <v>4</v>
      </c>
      <c r="O61" s="325">
        <v>39789</v>
      </c>
      <c r="P61" s="326">
        <v>4.2103999999999955</v>
      </c>
      <c r="Q61" s="327">
        <v>0.25</v>
      </c>
      <c r="R61" s="324" t="s">
        <v>89</v>
      </c>
      <c r="S61" s="324" t="s">
        <v>232</v>
      </c>
      <c r="T61" s="324" t="s">
        <v>89</v>
      </c>
      <c r="U61" s="324" t="s">
        <v>89</v>
      </c>
      <c r="V61" s="324" t="s">
        <v>89</v>
      </c>
      <c r="W61" s="324" t="s">
        <v>89</v>
      </c>
      <c r="X61" s="324" t="s">
        <v>89</v>
      </c>
      <c r="Y61" s="324" t="s">
        <v>89</v>
      </c>
    </row>
    <row r="62" spans="1:25" ht="38.25" x14ac:dyDescent="0.25">
      <c r="A62" s="323">
        <v>61</v>
      </c>
      <c r="B62" s="323" t="s">
        <v>149</v>
      </c>
      <c r="C62" s="324" t="s">
        <v>182</v>
      </c>
      <c r="D62" s="324" t="s">
        <v>202</v>
      </c>
      <c r="E62" s="324" t="s">
        <v>371</v>
      </c>
      <c r="F62" s="325">
        <v>38760</v>
      </c>
      <c r="G62" s="325">
        <v>38792</v>
      </c>
      <c r="H62" s="324" t="s">
        <v>372</v>
      </c>
      <c r="I62" s="324" t="s">
        <v>361</v>
      </c>
      <c r="J62" s="324" t="s">
        <v>222</v>
      </c>
      <c r="K62" s="324" t="s">
        <v>8563</v>
      </c>
      <c r="L62" s="324" t="s">
        <v>117</v>
      </c>
      <c r="M62" s="324">
        <v>180</v>
      </c>
      <c r="N62" s="324" t="s">
        <v>625</v>
      </c>
      <c r="O62" s="325">
        <v>39856</v>
      </c>
      <c r="P62" s="326">
        <v>0</v>
      </c>
      <c r="Q62" s="327">
        <v>0.25</v>
      </c>
      <c r="R62" s="324" t="s">
        <v>89</v>
      </c>
      <c r="S62" s="324" t="s">
        <v>232</v>
      </c>
      <c r="T62" s="324" t="s">
        <v>89</v>
      </c>
      <c r="U62" s="324" t="s">
        <v>89</v>
      </c>
      <c r="V62" s="324" t="s">
        <v>89</v>
      </c>
      <c r="W62" s="324" t="s">
        <v>89</v>
      </c>
      <c r="X62" s="324" t="s">
        <v>89</v>
      </c>
      <c r="Y62" s="324" t="s">
        <v>89</v>
      </c>
    </row>
    <row r="63" spans="1:25" ht="76.5" x14ac:dyDescent="0.25">
      <c r="A63" s="323">
        <v>62</v>
      </c>
      <c r="B63" s="323" t="s">
        <v>149</v>
      </c>
      <c r="C63" s="324" t="s">
        <v>182</v>
      </c>
      <c r="D63" s="324" t="s">
        <v>202</v>
      </c>
      <c r="E63" s="324" t="s">
        <v>373</v>
      </c>
      <c r="F63" s="325">
        <v>38734</v>
      </c>
      <c r="G63" s="325">
        <v>38824</v>
      </c>
      <c r="H63" s="324" t="s">
        <v>374</v>
      </c>
      <c r="I63" s="324" t="s">
        <v>320</v>
      </c>
      <c r="J63" s="324" t="s">
        <v>375</v>
      </c>
      <c r="K63" s="324" t="s">
        <v>376</v>
      </c>
      <c r="L63" s="324" t="s">
        <v>117</v>
      </c>
      <c r="M63" s="324">
        <v>32.799999999999997</v>
      </c>
      <c r="N63" s="324">
        <v>5</v>
      </c>
      <c r="O63" s="325">
        <v>39830</v>
      </c>
      <c r="P63" s="326">
        <v>32.799999999999997</v>
      </c>
      <c r="Q63" s="327">
        <v>0.1875</v>
      </c>
      <c r="R63" s="324" t="s">
        <v>89</v>
      </c>
      <c r="S63" s="324" t="s">
        <v>89</v>
      </c>
      <c r="T63" s="324" t="s">
        <v>89</v>
      </c>
      <c r="U63" s="324" t="s">
        <v>89</v>
      </c>
      <c r="V63" s="324" t="s">
        <v>89</v>
      </c>
      <c r="W63" s="324" t="s">
        <v>89</v>
      </c>
      <c r="X63" s="324" t="s">
        <v>89</v>
      </c>
      <c r="Y63" s="324" t="s">
        <v>89</v>
      </c>
    </row>
    <row r="64" spans="1:25" ht="38.25" x14ac:dyDescent="0.25">
      <c r="A64" s="323">
        <v>63</v>
      </c>
      <c r="B64" s="323" t="s">
        <v>149</v>
      </c>
      <c r="C64" s="324" t="s">
        <v>182</v>
      </c>
      <c r="D64" s="324" t="s">
        <v>202</v>
      </c>
      <c r="E64" s="324" t="s">
        <v>377</v>
      </c>
      <c r="F64" s="325">
        <v>38457</v>
      </c>
      <c r="G64" s="325">
        <v>38474</v>
      </c>
      <c r="H64" s="324" t="s">
        <v>378</v>
      </c>
      <c r="I64" s="324" t="s">
        <v>379</v>
      </c>
      <c r="J64" s="324" t="s">
        <v>263</v>
      </c>
      <c r="K64" s="324" t="s">
        <v>380</v>
      </c>
      <c r="L64" s="324" t="s">
        <v>349</v>
      </c>
      <c r="M64" s="324">
        <v>40</v>
      </c>
      <c r="N64" s="324">
        <v>5</v>
      </c>
      <c r="O64" s="325">
        <v>40283</v>
      </c>
      <c r="P64" s="326">
        <v>9.57</v>
      </c>
      <c r="Q64" s="327">
        <v>0.1875</v>
      </c>
      <c r="R64" s="324" t="s">
        <v>89</v>
      </c>
      <c r="S64" s="324" t="s">
        <v>89</v>
      </c>
      <c r="T64" s="324" t="s">
        <v>89</v>
      </c>
      <c r="U64" s="324" t="s">
        <v>89</v>
      </c>
      <c r="V64" s="324" t="s">
        <v>89</v>
      </c>
      <c r="W64" s="324" t="s">
        <v>89</v>
      </c>
      <c r="X64" s="324" t="s">
        <v>89</v>
      </c>
      <c r="Y64" s="324" t="s">
        <v>89</v>
      </c>
    </row>
    <row r="65" spans="1:25" ht="127.5" x14ac:dyDescent="0.25">
      <c r="A65" s="323">
        <v>64</v>
      </c>
      <c r="B65" s="323" t="s">
        <v>381</v>
      </c>
      <c r="C65" s="324" t="s">
        <v>182</v>
      </c>
      <c r="D65" s="324" t="s">
        <v>202</v>
      </c>
      <c r="E65" s="324" t="s">
        <v>382</v>
      </c>
      <c r="F65" s="325">
        <v>46076</v>
      </c>
      <c r="G65" s="325">
        <v>46122</v>
      </c>
      <c r="H65" s="324" t="s">
        <v>383</v>
      </c>
      <c r="I65" s="324" t="s">
        <v>384</v>
      </c>
      <c r="J65" s="324" t="s">
        <v>385</v>
      </c>
      <c r="K65" s="324" t="s">
        <v>9612</v>
      </c>
      <c r="L65" s="324" t="s">
        <v>117</v>
      </c>
      <c r="M65" s="324">
        <v>355.34</v>
      </c>
      <c r="N65" s="324" t="s">
        <v>635</v>
      </c>
      <c r="O65" s="325">
        <v>47172</v>
      </c>
      <c r="P65" s="326">
        <v>0</v>
      </c>
      <c r="Q65" s="327">
        <v>0.1875</v>
      </c>
      <c r="R65" s="324" t="s">
        <v>89</v>
      </c>
      <c r="S65" s="324" t="s">
        <v>89</v>
      </c>
      <c r="T65" s="324" t="s">
        <v>89</v>
      </c>
      <c r="U65" s="324" t="s">
        <v>118</v>
      </c>
      <c r="V65" s="324" t="s">
        <v>89</v>
      </c>
      <c r="W65" s="324" t="s">
        <v>89</v>
      </c>
      <c r="X65" s="324" t="s">
        <v>89</v>
      </c>
      <c r="Y65" s="324" t="s">
        <v>118</v>
      </c>
    </row>
    <row r="66" spans="1:25" ht="127.5" x14ac:dyDescent="0.25">
      <c r="A66" s="323">
        <v>65</v>
      </c>
      <c r="B66" s="323" t="s">
        <v>381</v>
      </c>
      <c r="C66" s="324" t="s">
        <v>182</v>
      </c>
      <c r="D66" s="324" t="s">
        <v>202</v>
      </c>
      <c r="E66" s="324" t="s">
        <v>387</v>
      </c>
      <c r="F66" s="325">
        <v>46112</v>
      </c>
      <c r="G66" s="325">
        <v>46143</v>
      </c>
      <c r="H66" s="324" t="s">
        <v>388</v>
      </c>
      <c r="I66" s="324" t="s">
        <v>384</v>
      </c>
      <c r="J66" s="324" t="s">
        <v>389</v>
      </c>
      <c r="K66" s="324" t="s">
        <v>9614</v>
      </c>
      <c r="L66" s="324" t="s">
        <v>117</v>
      </c>
      <c r="M66" s="324">
        <v>375.34</v>
      </c>
      <c r="N66" s="324" t="s">
        <v>502</v>
      </c>
      <c r="O66" s="325">
        <v>47208</v>
      </c>
      <c r="P66" s="326">
        <v>0</v>
      </c>
      <c r="Q66" s="327">
        <v>0.1875</v>
      </c>
      <c r="R66" s="324" t="s">
        <v>89</v>
      </c>
      <c r="S66" s="324" t="s">
        <v>89</v>
      </c>
      <c r="T66" s="324" t="s">
        <v>89</v>
      </c>
      <c r="U66" s="324" t="s">
        <v>118</v>
      </c>
      <c r="V66" s="324" t="s">
        <v>89</v>
      </c>
      <c r="W66" s="324" t="s">
        <v>89</v>
      </c>
      <c r="X66" s="324" t="s">
        <v>89</v>
      </c>
      <c r="Y66" s="324" t="s">
        <v>118</v>
      </c>
    </row>
    <row r="67" spans="1:25" ht="114.75" x14ac:dyDescent="0.25">
      <c r="A67" s="323">
        <v>66</v>
      </c>
      <c r="B67" s="323" t="s">
        <v>381</v>
      </c>
      <c r="C67" s="324" t="s">
        <v>182</v>
      </c>
      <c r="D67" s="324" t="s">
        <v>202</v>
      </c>
      <c r="E67" s="324" t="s">
        <v>390</v>
      </c>
      <c r="F67" s="325">
        <v>46064</v>
      </c>
      <c r="G67" s="325">
        <v>46170</v>
      </c>
      <c r="H67" s="324" t="s">
        <v>391</v>
      </c>
      <c r="I67" s="324" t="s">
        <v>384</v>
      </c>
      <c r="J67" s="324" t="s">
        <v>392</v>
      </c>
      <c r="K67" s="324" t="s">
        <v>9609</v>
      </c>
      <c r="L67" s="324" t="s">
        <v>349</v>
      </c>
      <c r="M67" s="324">
        <v>375.34</v>
      </c>
      <c r="N67" s="324" t="s">
        <v>502</v>
      </c>
      <c r="O67" s="325">
        <v>47890</v>
      </c>
      <c r="P67" s="326">
        <v>45.39</v>
      </c>
      <c r="Q67" s="327">
        <v>0.1875</v>
      </c>
      <c r="R67" s="324" t="s">
        <v>89</v>
      </c>
      <c r="S67" s="324" t="s">
        <v>89</v>
      </c>
      <c r="T67" s="324" t="s">
        <v>89</v>
      </c>
      <c r="U67" s="324" t="s">
        <v>118</v>
      </c>
      <c r="V67" s="324" t="s">
        <v>89</v>
      </c>
      <c r="W67" s="324" t="s">
        <v>89</v>
      </c>
      <c r="X67" s="324" t="s">
        <v>89</v>
      </c>
      <c r="Y67" s="324" t="s">
        <v>118</v>
      </c>
    </row>
    <row r="68" spans="1:25" ht="140.25" x14ac:dyDescent="0.25">
      <c r="A68" s="323">
        <v>67</v>
      </c>
      <c r="B68" s="323" t="s">
        <v>381</v>
      </c>
      <c r="C68" s="324" t="s">
        <v>182</v>
      </c>
      <c r="D68" s="324" t="s">
        <v>202</v>
      </c>
      <c r="E68" s="324" t="s">
        <v>393</v>
      </c>
      <c r="F68" s="325">
        <v>46070</v>
      </c>
      <c r="G68" s="325">
        <v>46143</v>
      </c>
      <c r="H68" s="324" t="s">
        <v>394</v>
      </c>
      <c r="I68" s="324" t="s">
        <v>384</v>
      </c>
      <c r="J68" s="324" t="s">
        <v>222</v>
      </c>
      <c r="K68" s="324" t="s">
        <v>9611</v>
      </c>
      <c r="L68" s="324" t="s">
        <v>349</v>
      </c>
      <c r="M68" s="324">
        <v>180</v>
      </c>
      <c r="N68" s="324" t="s">
        <v>625</v>
      </c>
      <c r="O68" s="325">
        <v>47896</v>
      </c>
      <c r="P68" s="326">
        <v>19.04</v>
      </c>
      <c r="Q68" s="327">
        <v>0.1875</v>
      </c>
      <c r="R68" s="324" t="s">
        <v>89</v>
      </c>
      <c r="S68" s="324" t="s">
        <v>89</v>
      </c>
      <c r="T68" s="324" t="s">
        <v>89</v>
      </c>
      <c r="U68" s="324" t="s">
        <v>118</v>
      </c>
      <c r="V68" s="324" t="s">
        <v>89</v>
      </c>
      <c r="W68" s="324" t="s">
        <v>89</v>
      </c>
      <c r="X68" s="324" t="s">
        <v>89</v>
      </c>
      <c r="Y68" s="324" t="s">
        <v>118</v>
      </c>
    </row>
    <row r="69" spans="1:25" ht="140.25" x14ac:dyDescent="0.25">
      <c r="A69" s="323">
        <v>68</v>
      </c>
      <c r="B69" s="323" t="s">
        <v>381</v>
      </c>
      <c r="C69" s="324" t="s">
        <v>182</v>
      </c>
      <c r="D69" s="324" t="s">
        <v>202</v>
      </c>
      <c r="E69" s="324" t="s">
        <v>395</v>
      </c>
      <c r="F69" s="325">
        <v>46076</v>
      </c>
      <c r="G69" s="325">
        <v>46122</v>
      </c>
      <c r="H69" s="324" t="s">
        <v>396</v>
      </c>
      <c r="I69" s="324" t="s">
        <v>384</v>
      </c>
      <c r="J69" s="324" t="s">
        <v>222</v>
      </c>
      <c r="K69" s="324" t="s">
        <v>9611</v>
      </c>
      <c r="L69" s="324" t="s">
        <v>349</v>
      </c>
      <c r="M69" s="324">
        <v>180</v>
      </c>
      <c r="N69" s="324" t="s">
        <v>625</v>
      </c>
      <c r="O69" s="325">
        <v>47902</v>
      </c>
      <c r="P69" s="326">
        <v>21.012308000000001</v>
      </c>
      <c r="Q69" s="327">
        <v>0.1875</v>
      </c>
      <c r="R69" s="324" t="s">
        <v>89</v>
      </c>
      <c r="S69" s="324" t="s">
        <v>89</v>
      </c>
      <c r="T69" s="324" t="s">
        <v>89</v>
      </c>
      <c r="U69" s="324" t="s">
        <v>118</v>
      </c>
      <c r="V69" s="324" t="s">
        <v>89</v>
      </c>
      <c r="W69" s="324" t="s">
        <v>89</v>
      </c>
      <c r="X69" s="324" t="s">
        <v>89</v>
      </c>
      <c r="Y69" s="324" t="s">
        <v>118</v>
      </c>
    </row>
    <row r="70" spans="1:25" ht="140.25" x14ac:dyDescent="0.25">
      <c r="A70" s="323">
        <v>69</v>
      </c>
      <c r="B70" s="323" t="s">
        <v>381</v>
      </c>
      <c r="C70" s="324" t="s">
        <v>182</v>
      </c>
      <c r="D70" s="324" t="s">
        <v>202</v>
      </c>
      <c r="E70" s="324" t="s">
        <v>397</v>
      </c>
      <c r="F70" s="325">
        <v>46080</v>
      </c>
      <c r="G70" s="325">
        <v>46122</v>
      </c>
      <c r="H70" s="324" t="s">
        <v>398</v>
      </c>
      <c r="I70" s="324" t="s">
        <v>384</v>
      </c>
      <c r="J70" s="324" t="s">
        <v>222</v>
      </c>
      <c r="K70" s="324" t="s">
        <v>9611</v>
      </c>
      <c r="L70" s="324" t="s">
        <v>349</v>
      </c>
      <c r="M70" s="324">
        <v>180</v>
      </c>
      <c r="N70" s="324" t="s">
        <v>625</v>
      </c>
      <c r="O70" s="325">
        <v>47906</v>
      </c>
      <c r="P70" s="326">
        <v>28.74</v>
      </c>
      <c r="Q70" s="327">
        <v>0.1875</v>
      </c>
      <c r="R70" s="324" t="s">
        <v>89</v>
      </c>
      <c r="S70" s="324" t="s">
        <v>89</v>
      </c>
      <c r="T70" s="324" t="s">
        <v>89</v>
      </c>
      <c r="U70" s="324" t="s">
        <v>118</v>
      </c>
      <c r="V70" s="324" t="s">
        <v>89</v>
      </c>
      <c r="W70" s="324" t="s">
        <v>89</v>
      </c>
      <c r="X70" s="324" t="s">
        <v>89</v>
      </c>
      <c r="Y70" s="324"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61" customWidth="1"/>
    <col min="2" max="2" width="22.85546875" style="261" customWidth="1"/>
    <col min="3" max="3" width="57.140625" style="261" customWidth="1"/>
    <col min="4" max="4" width="13.28515625" style="261" customWidth="1"/>
    <col min="5" max="5" width="21" style="261" customWidth="1"/>
    <col min="6" max="6" width="68.5703125" style="261" customWidth="1"/>
    <col min="7" max="7" width="15.28515625" style="261" customWidth="1"/>
    <col min="8" max="8" width="11.42578125" style="261" customWidth="1"/>
    <col min="9" max="9" width="15.28515625" style="261" customWidth="1"/>
    <col min="10" max="10" width="11.42578125" style="261" customWidth="1"/>
    <col min="11" max="11" width="8.7109375" style="261" customWidth="1"/>
    <col min="12" max="16384" width="14.42578125" style="26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0456-0CAB-4235-8FED-3B07CBAFE5FE}">
  <sheetPr>
    <pageSetUpPr fitToPage="1"/>
  </sheetPr>
  <dimension ref="A1:AC566"/>
  <sheetViews>
    <sheetView view="pageBreakPreview" zoomScaleNormal="95" zoomScaleSheetLayoutView="100" workbookViewId="0">
      <pane ySplit="1" topLeftCell="A2" activePane="bottomLeft" state="frozen"/>
      <selection pane="bottomLeft" activeCell="L1" sqref="L1:R1048576"/>
    </sheetView>
  </sheetViews>
  <sheetFormatPr defaultColWidth="20.85546875" defaultRowHeight="12" outlineLevelCol="1" x14ac:dyDescent="0.2"/>
  <cols>
    <col min="1" max="1" width="12.5703125" style="114" bestFit="1" customWidth="1"/>
    <col min="2" max="2" width="9.140625" style="6" customWidth="1"/>
    <col min="3" max="3" width="18.5703125" style="6" customWidth="1"/>
    <col min="4" max="4" width="9.5703125" style="6" bestFit="1" customWidth="1"/>
    <col min="5" max="5" width="12.140625" style="5" bestFit="1" customWidth="1"/>
    <col min="6" max="6" width="13.140625" style="5" bestFit="1" customWidth="1"/>
    <col min="7" max="7" width="37.7109375" style="4" bestFit="1" customWidth="1"/>
    <col min="8" max="8" width="39.28515625" style="4" bestFit="1" customWidth="1"/>
    <col min="9" max="9" width="38.140625" style="4" customWidth="1"/>
    <col min="10" max="10" width="62.85546875" style="4" customWidth="1"/>
    <col min="11" max="11" width="62.85546875" style="293" customWidth="1"/>
    <col min="12" max="12" width="20.7109375" style="114" hidden="1" customWidth="1" outlineLevel="1"/>
    <col min="13" max="13" width="20.28515625" style="114" hidden="1" customWidth="1" outlineLevel="1"/>
    <col min="14" max="14" width="28.5703125" style="114" hidden="1" customWidth="1" outlineLevel="1"/>
    <col min="15" max="15" width="19.85546875" style="114" hidden="1" customWidth="1" outlineLevel="1"/>
    <col min="16" max="16" width="0" style="114" hidden="1" customWidth="1" outlineLevel="1" collapsed="1"/>
    <col min="17" max="28" width="0" style="114" hidden="1" customWidth="1" outlineLevel="1"/>
    <col min="29" max="29" width="20.85546875" style="114" collapsed="1"/>
    <col min="30" max="16384" width="20.85546875" style="114"/>
  </cols>
  <sheetData>
    <row r="1" spans="1:28" s="113" customFormat="1" ht="24" x14ac:dyDescent="0.2">
      <c r="A1" s="405" t="s">
        <v>131</v>
      </c>
      <c r="B1" s="405" t="s">
        <v>11</v>
      </c>
      <c r="C1" s="405" t="s">
        <v>12</v>
      </c>
      <c r="D1" s="406" t="s">
        <v>13</v>
      </c>
      <c r="E1" s="406" t="s">
        <v>14</v>
      </c>
      <c r="F1" s="406" t="s">
        <v>15</v>
      </c>
      <c r="G1" s="407" t="s">
        <v>16</v>
      </c>
      <c r="H1" s="407" t="s">
        <v>17</v>
      </c>
      <c r="I1" s="405" t="s">
        <v>18</v>
      </c>
      <c r="J1" s="408" t="s">
        <v>19</v>
      </c>
      <c r="K1" s="408" t="s">
        <v>132</v>
      </c>
      <c r="L1" s="408" t="s">
        <v>2700</v>
      </c>
      <c r="M1" s="408" t="s">
        <v>2701</v>
      </c>
      <c r="N1" s="408" t="s">
        <v>2702</v>
      </c>
      <c r="O1" s="408" t="s">
        <v>8731</v>
      </c>
      <c r="P1" s="409" t="s">
        <v>8835</v>
      </c>
      <c r="Q1" s="409" t="s">
        <v>8836</v>
      </c>
      <c r="R1" s="409" t="s">
        <v>8837</v>
      </c>
      <c r="S1" s="409" t="s">
        <v>8838</v>
      </c>
      <c r="T1" s="409" t="s">
        <v>8839</v>
      </c>
      <c r="U1" s="409" t="s">
        <v>8840</v>
      </c>
      <c r="V1" s="409" t="s">
        <v>8841</v>
      </c>
      <c r="W1" s="409" t="s">
        <v>8842</v>
      </c>
      <c r="X1" s="409" t="s">
        <v>8843</v>
      </c>
      <c r="Y1" s="409" t="s">
        <v>8844</v>
      </c>
      <c r="Z1" s="409" t="s">
        <v>8845</v>
      </c>
      <c r="AA1" s="409" t="s">
        <v>8846</v>
      </c>
      <c r="AB1" s="409" t="s">
        <v>8847</v>
      </c>
    </row>
    <row r="2" spans="1:28" ht="48" x14ac:dyDescent="0.2">
      <c r="A2" s="435" t="s">
        <v>399</v>
      </c>
      <c r="B2" s="435"/>
      <c r="C2" s="435" t="s">
        <v>99</v>
      </c>
      <c r="D2" s="435" t="s">
        <v>400</v>
      </c>
      <c r="E2" s="436">
        <v>2034</v>
      </c>
      <c r="F2" s="437">
        <v>2063</v>
      </c>
      <c r="G2" s="438" t="s">
        <v>103</v>
      </c>
      <c r="H2" s="438" t="s">
        <v>401</v>
      </c>
      <c r="I2" s="439" t="s">
        <v>402</v>
      </c>
      <c r="J2" s="383" t="s">
        <v>63</v>
      </c>
      <c r="K2" s="440" t="str">
        <f>HYPERLINK("https://okcountyrecords.com/search/roger%20mills","OKCountyRecords search: Homestead FR0001/0470")</f>
        <v>OKCountyRecords search: Homestead FR0001/0470</v>
      </c>
      <c r="L2" s="133" t="s">
        <v>8708</v>
      </c>
      <c r="M2" s="133" t="s">
        <v>405</v>
      </c>
      <c r="N2" s="133"/>
      <c r="O2" s="133" t="s">
        <v>406</v>
      </c>
      <c r="P2" s="114" t="s">
        <v>8848</v>
      </c>
      <c r="Q2" s="114" t="s">
        <v>118</v>
      </c>
      <c r="R2" s="114" t="s">
        <v>89</v>
      </c>
      <c r="S2" s="114" t="s">
        <v>118</v>
      </c>
      <c r="T2" s="114" t="s">
        <v>89</v>
      </c>
      <c r="U2" s="114" t="s">
        <v>8849</v>
      </c>
      <c r="V2" s="114" t="s">
        <v>3072</v>
      </c>
      <c r="W2" s="114" t="s">
        <v>8850</v>
      </c>
      <c r="X2" s="114" t="s">
        <v>2701</v>
      </c>
      <c r="Y2" s="114" t="s">
        <v>8851</v>
      </c>
      <c r="Z2" s="114" t="s">
        <v>2701</v>
      </c>
      <c r="AA2" s="114" t="s">
        <v>8852</v>
      </c>
      <c r="AB2" s="114" t="s">
        <v>8853</v>
      </c>
    </row>
    <row r="3" spans="1:28" s="3" customFormat="1" ht="36" x14ac:dyDescent="0.2">
      <c r="A3" s="435" t="s">
        <v>407</v>
      </c>
      <c r="B3" s="435"/>
      <c r="C3" s="435" t="s">
        <v>408</v>
      </c>
      <c r="D3" s="435" t="s">
        <v>409</v>
      </c>
      <c r="E3" s="436">
        <v>2062</v>
      </c>
      <c r="F3" s="437">
        <v>2063</v>
      </c>
      <c r="G3" s="438" t="s">
        <v>410</v>
      </c>
      <c r="H3" s="438" t="s">
        <v>411</v>
      </c>
      <c r="I3" s="439" t="s">
        <v>402</v>
      </c>
      <c r="J3" s="441" t="s">
        <v>8661</v>
      </c>
      <c r="K3" s="440" t="str">
        <f>HYPERLINK("https://okcountyrecords.com/detail/roger+mills/1905-000429","OKCountyRecords: 1905-000429")</f>
        <v>OKCountyRecords: 1905-000429</v>
      </c>
      <c r="L3" s="442" t="s">
        <v>412</v>
      </c>
      <c r="M3" s="442" t="s">
        <v>405</v>
      </c>
      <c r="N3" s="442"/>
      <c r="O3" s="442" t="s">
        <v>413</v>
      </c>
      <c r="P3" s="3" t="s">
        <v>8854</v>
      </c>
      <c r="Q3" s="3" t="s">
        <v>118</v>
      </c>
      <c r="R3" s="3" t="s">
        <v>89</v>
      </c>
      <c r="S3" s="3" t="s">
        <v>2701</v>
      </c>
      <c r="T3" s="3" t="s">
        <v>89</v>
      </c>
      <c r="U3" s="3" t="s">
        <v>8849</v>
      </c>
      <c r="V3" s="3" t="s">
        <v>3072</v>
      </c>
      <c r="W3" s="3" t="s">
        <v>8855</v>
      </c>
      <c r="X3" s="3" t="s">
        <v>8856</v>
      </c>
      <c r="Y3" s="3" t="s">
        <v>8857</v>
      </c>
      <c r="Z3" s="3" t="s">
        <v>8858</v>
      </c>
      <c r="AA3" s="3" t="s">
        <v>8859</v>
      </c>
      <c r="AB3" s="3" t="s">
        <v>8860</v>
      </c>
    </row>
    <row r="4" spans="1:28" s="3" customFormat="1" ht="36" x14ac:dyDescent="0.25">
      <c r="A4" s="435" t="s">
        <v>414</v>
      </c>
      <c r="B4" s="435"/>
      <c r="C4" s="435" t="s">
        <v>415</v>
      </c>
      <c r="D4" s="435" t="s">
        <v>416</v>
      </c>
      <c r="E4" s="437">
        <v>2169</v>
      </c>
      <c r="F4" s="437">
        <v>2752</v>
      </c>
      <c r="G4" s="438" t="s">
        <v>106</v>
      </c>
      <c r="H4" s="438" t="s">
        <v>410</v>
      </c>
      <c r="I4" s="439" t="s">
        <v>402</v>
      </c>
      <c r="J4" s="383" t="s">
        <v>417</v>
      </c>
      <c r="K4" s="328" t="str">
        <f>HYPERLINK("https://okcountyrecords.com/detail/roger+mills/1907-005379","OKCountyRecords: 1907-005379")</f>
        <v>OKCountyRecords: 1907-005379</v>
      </c>
      <c r="L4" s="442" t="s">
        <v>412</v>
      </c>
      <c r="M4" s="442"/>
      <c r="N4" s="442"/>
      <c r="O4" s="442" t="s">
        <v>406</v>
      </c>
      <c r="P4" s="3" t="s">
        <v>8848</v>
      </c>
      <c r="Q4" s="3" t="s">
        <v>118</v>
      </c>
      <c r="R4" s="3" t="s">
        <v>89</v>
      </c>
      <c r="S4" s="3" t="s">
        <v>118</v>
      </c>
      <c r="T4" s="3" t="s">
        <v>89</v>
      </c>
      <c r="U4" s="3" t="s">
        <v>8849</v>
      </c>
      <c r="V4" s="3" t="s">
        <v>3072</v>
      </c>
      <c r="W4" s="3" t="s">
        <v>8850</v>
      </c>
      <c r="X4" s="3" t="s">
        <v>8856</v>
      </c>
      <c r="Y4" s="3" t="s">
        <v>8857</v>
      </c>
      <c r="Z4" s="3" t="s">
        <v>8858</v>
      </c>
      <c r="AA4" s="3" t="s">
        <v>8861</v>
      </c>
    </row>
    <row r="5" spans="1:28" s="3" customFormat="1" ht="48" x14ac:dyDescent="0.2">
      <c r="A5" s="435" t="s">
        <v>418</v>
      </c>
      <c r="B5" s="435"/>
      <c r="C5" s="435" t="s">
        <v>99</v>
      </c>
      <c r="D5" s="435" t="s">
        <v>419</v>
      </c>
      <c r="E5" s="436">
        <v>2534</v>
      </c>
      <c r="F5" s="437">
        <v>2601</v>
      </c>
      <c r="G5" s="438" t="s">
        <v>103</v>
      </c>
      <c r="H5" s="438" t="s">
        <v>420</v>
      </c>
      <c r="I5" s="439" t="s">
        <v>421</v>
      </c>
      <c r="J5" s="383" t="s">
        <v>63</v>
      </c>
      <c r="K5" s="440" t="str">
        <f>HYPERLINK("https://okcountyrecords.com/search/roger%20mills","OKCountyRecords search: Homestead FR0002/0199")</f>
        <v>OKCountyRecords search: Homestead FR0002/0199</v>
      </c>
      <c r="L5" s="442" t="s">
        <v>8708</v>
      </c>
      <c r="M5" s="442" t="s">
        <v>405</v>
      </c>
      <c r="N5" s="442"/>
      <c r="O5" s="442" t="s">
        <v>422</v>
      </c>
      <c r="P5" s="3" t="s">
        <v>8848</v>
      </c>
      <c r="Q5" s="3" t="s">
        <v>118</v>
      </c>
      <c r="R5" s="3" t="s">
        <v>89</v>
      </c>
      <c r="S5" s="3" t="s">
        <v>118</v>
      </c>
      <c r="T5" s="3" t="s">
        <v>89</v>
      </c>
      <c r="U5" s="3" t="s">
        <v>8862</v>
      </c>
      <c r="V5" s="3" t="s">
        <v>3072</v>
      </c>
      <c r="W5" s="3" t="s">
        <v>8850</v>
      </c>
      <c r="X5" s="3" t="s">
        <v>2701</v>
      </c>
      <c r="Y5" s="3" t="s">
        <v>8851</v>
      </c>
      <c r="Z5" s="3" t="s">
        <v>2701</v>
      </c>
      <c r="AA5" s="3" t="s">
        <v>8863</v>
      </c>
      <c r="AB5" s="3" t="s">
        <v>8853</v>
      </c>
    </row>
    <row r="6" spans="1:28" s="3" customFormat="1" ht="48" x14ac:dyDescent="0.2">
      <c r="A6" s="435" t="s">
        <v>423</v>
      </c>
      <c r="B6" s="435"/>
      <c r="C6" s="435" t="s">
        <v>408</v>
      </c>
      <c r="D6" s="435" t="s">
        <v>424</v>
      </c>
      <c r="E6" s="436">
        <v>2592</v>
      </c>
      <c r="F6" s="437">
        <v>2601</v>
      </c>
      <c r="G6" s="438" t="s">
        <v>425</v>
      </c>
      <c r="H6" s="438" t="s">
        <v>426</v>
      </c>
      <c r="I6" s="439" t="s">
        <v>427</v>
      </c>
      <c r="J6" s="383" t="s">
        <v>63</v>
      </c>
      <c r="K6" s="440" t="str">
        <f>HYPERLINK("https://okcountyrecords.com/detail/roger+mills/1907-000709","OKCountyRecords: 1907-000709")</f>
        <v>OKCountyRecords: 1907-000709</v>
      </c>
      <c r="L6" s="442" t="s">
        <v>412</v>
      </c>
      <c r="M6" s="442" t="s">
        <v>405</v>
      </c>
      <c r="N6" s="442"/>
      <c r="O6" s="442" t="s">
        <v>428</v>
      </c>
      <c r="P6" s="3" t="s">
        <v>8854</v>
      </c>
      <c r="Q6" s="3" t="s">
        <v>118</v>
      </c>
      <c r="R6" s="3" t="s">
        <v>89</v>
      </c>
      <c r="S6" s="3" t="s">
        <v>2701</v>
      </c>
      <c r="T6" s="3" t="s">
        <v>89</v>
      </c>
      <c r="U6" s="3" t="s">
        <v>8862</v>
      </c>
      <c r="V6" s="3" t="s">
        <v>3072</v>
      </c>
      <c r="W6" s="3" t="s">
        <v>9617</v>
      </c>
      <c r="X6" s="3" t="s">
        <v>8865</v>
      </c>
      <c r="Y6" s="3" t="s">
        <v>8857</v>
      </c>
      <c r="Z6" s="3" t="s">
        <v>8858</v>
      </c>
      <c r="AA6" s="3" t="s">
        <v>8866</v>
      </c>
      <c r="AB6" s="3" t="s">
        <v>8867</v>
      </c>
    </row>
    <row r="7" spans="1:28" s="3" customFormat="1" ht="48" x14ac:dyDescent="0.2">
      <c r="A7" s="435" t="s">
        <v>429</v>
      </c>
      <c r="B7" s="435"/>
      <c r="C7" s="435" t="s">
        <v>99</v>
      </c>
      <c r="D7" s="435" t="s">
        <v>430</v>
      </c>
      <c r="E7" s="436">
        <v>2704</v>
      </c>
      <c r="F7" s="437">
        <v>2754</v>
      </c>
      <c r="G7" s="438" t="s">
        <v>103</v>
      </c>
      <c r="H7" s="438" t="s">
        <v>431</v>
      </c>
      <c r="I7" s="443" t="s">
        <v>432</v>
      </c>
      <c r="J7" s="112" t="s">
        <v>63</v>
      </c>
      <c r="K7" s="440" t="str">
        <f>HYPERLINK("https://okcountyrecords.com/search/roger%20mills","OKCountyRecords search: Homestead FR0002/0293")</f>
        <v>OKCountyRecords search: Homestead FR0002/0293</v>
      </c>
      <c r="L7" s="442" t="s">
        <v>8708</v>
      </c>
      <c r="M7" s="442" t="s">
        <v>405</v>
      </c>
      <c r="N7" s="442"/>
      <c r="O7" s="442" t="s">
        <v>406</v>
      </c>
      <c r="P7" s="3" t="s">
        <v>8848</v>
      </c>
      <c r="Q7" s="3" t="s">
        <v>118</v>
      </c>
      <c r="R7" s="3" t="s">
        <v>89</v>
      </c>
      <c r="S7" s="3" t="s">
        <v>118</v>
      </c>
      <c r="T7" s="3" t="s">
        <v>89</v>
      </c>
      <c r="U7" s="3" t="s">
        <v>8868</v>
      </c>
      <c r="V7" s="3" t="s">
        <v>2701</v>
      </c>
      <c r="W7" s="3" t="s">
        <v>8850</v>
      </c>
      <c r="X7" s="3" t="s">
        <v>8869</v>
      </c>
      <c r="Y7" s="3" t="s">
        <v>8851</v>
      </c>
      <c r="Z7" s="3" t="s">
        <v>2701</v>
      </c>
      <c r="AA7" s="3" t="s">
        <v>8870</v>
      </c>
      <c r="AB7" s="3" t="s">
        <v>8871</v>
      </c>
    </row>
    <row r="8" spans="1:28" s="3" customFormat="1" ht="48" x14ac:dyDescent="0.2">
      <c r="A8" s="435" t="s">
        <v>434</v>
      </c>
      <c r="B8" s="435"/>
      <c r="C8" s="435" t="s">
        <v>99</v>
      </c>
      <c r="D8" s="435" t="s">
        <v>435</v>
      </c>
      <c r="E8" s="436">
        <v>2733</v>
      </c>
      <c r="F8" s="437">
        <v>2754</v>
      </c>
      <c r="G8" s="438" t="s">
        <v>103</v>
      </c>
      <c r="H8" s="438" t="s">
        <v>436</v>
      </c>
      <c r="I8" s="439" t="s">
        <v>437</v>
      </c>
      <c r="J8" s="112" t="s">
        <v>63</v>
      </c>
      <c r="K8" s="440" t="str">
        <f>HYPERLINK("https://okcountyrecords.com/search/roger%20mills","OKCountyRecords search: Homestead FR0002/0292")</f>
        <v>OKCountyRecords search: Homestead FR0002/0292</v>
      </c>
      <c r="L8" s="442" t="s">
        <v>8708</v>
      </c>
      <c r="M8" s="442" t="s">
        <v>405</v>
      </c>
      <c r="N8" s="442"/>
      <c r="O8" s="442" t="s">
        <v>406</v>
      </c>
      <c r="P8" s="3" t="s">
        <v>8848</v>
      </c>
      <c r="Q8" s="3" t="s">
        <v>118</v>
      </c>
      <c r="R8" s="3" t="s">
        <v>89</v>
      </c>
      <c r="S8" s="3" t="s">
        <v>118</v>
      </c>
      <c r="T8" s="3" t="s">
        <v>89</v>
      </c>
      <c r="U8" s="3" t="s">
        <v>8872</v>
      </c>
      <c r="V8" s="3" t="s">
        <v>2701</v>
      </c>
      <c r="W8" s="3" t="s">
        <v>8850</v>
      </c>
      <c r="X8" s="3" t="s">
        <v>8873</v>
      </c>
      <c r="Y8" s="3" t="s">
        <v>8851</v>
      </c>
      <c r="Z8" s="3" t="s">
        <v>2701</v>
      </c>
      <c r="AA8" s="3" t="s">
        <v>8874</v>
      </c>
      <c r="AB8" s="3" t="s">
        <v>8871</v>
      </c>
    </row>
    <row r="9" spans="1:28" s="3" customFormat="1" ht="48" x14ac:dyDescent="0.2">
      <c r="A9" s="435" t="s">
        <v>439</v>
      </c>
      <c r="B9" s="435"/>
      <c r="C9" s="435" t="s">
        <v>408</v>
      </c>
      <c r="D9" s="435" t="s">
        <v>440</v>
      </c>
      <c r="E9" s="436">
        <v>2754</v>
      </c>
      <c r="F9" s="437">
        <v>2755</v>
      </c>
      <c r="G9" s="438" t="s">
        <v>441</v>
      </c>
      <c r="H9" s="438" t="s">
        <v>442</v>
      </c>
      <c r="I9" s="439" t="s">
        <v>443</v>
      </c>
      <c r="J9" s="383" t="s">
        <v>63</v>
      </c>
      <c r="K9" s="440" t="str">
        <f>HYPERLINK("https://okcountyrecords.com/detail/roger+mills/1907-001545","OKCountyRecords: 1907-001545")</f>
        <v>OKCountyRecords: 1907-001545</v>
      </c>
      <c r="L9" s="442" t="s">
        <v>412</v>
      </c>
      <c r="M9" s="442" t="s">
        <v>405</v>
      </c>
      <c r="N9" s="442"/>
      <c r="O9" s="442" t="s">
        <v>428</v>
      </c>
      <c r="P9" s="3" t="s">
        <v>8854</v>
      </c>
      <c r="Q9" s="3" t="s">
        <v>118</v>
      </c>
      <c r="R9" s="3" t="s">
        <v>89</v>
      </c>
      <c r="S9" s="3" t="s">
        <v>2701</v>
      </c>
      <c r="T9" s="3" t="s">
        <v>89</v>
      </c>
      <c r="U9" s="3" t="s">
        <v>8875</v>
      </c>
      <c r="V9" s="3" t="s">
        <v>2701</v>
      </c>
      <c r="W9" s="3" t="s">
        <v>9618</v>
      </c>
      <c r="X9" s="3" t="s">
        <v>2701</v>
      </c>
      <c r="Y9" s="3" t="s">
        <v>8857</v>
      </c>
      <c r="Z9" s="3" t="s">
        <v>8858</v>
      </c>
      <c r="AA9" s="3" t="s">
        <v>8876</v>
      </c>
      <c r="AB9" s="3" t="s">
        <v>8877</v>
      </c>
    </row>
    <row r="10" spans="1:28" s="3" customFormat="1" ht="36" x14ac:dyDescent="0.2">
      <c r="A10" s="435" t="s">
        <v>445</v>
      </c>
      <c r="B10" s="435"/>
      <c r="C10" s="435" t="s">
        <v>415</v>
      </c>
      <c r="D10" s="435" t="s">
        <v>446</v>
      </c>
      <c r="E10" s="436">
        <v>2917</v>
      </c>
      <c r="F10" s="437">
        <v>11450</v>
      </c>
      <c r="G10" s="438" t="s">
        <v>106</v>
      </c>
      <c r="H10" s="438" t="s">
        <v>436</v>
      </c>
      <c r="I10" s="439" t="s">
        <v>437</v>
      </c>
      <c r="J10" s="383" t="s">
        <v>447</v>
      </c>
      <c r="K10" s="440" t="str">
        <f>HYPERLINK("https://okcountyrecords.com/detail/roger+mills/1931-001789","OKCountyRecords: 1931-001789")</f>
        <v>OKCountyRecords: 1931-001789</v>
      </c>
      <c r="L10" s="442" t="s">
        <v>412</v>
      </c>
      <c r="M10" s="442" t="s">
        <v>405</v>
      </c>
      <c r="N10" s="442"/>
      <c r="O10" s="442" t="s">
        <v>406</v>
      </c>
      <c r="P10" s="3" t="s">
        <v>8848</v>
      </c>
      <c r="Q10" s="3" t="s">
        <v>118</v>
      </c>
      <c r="R10" s="3" t="s">
        <v>89</v>
      </c>
      <c r="S10" s="3" t="s">
        <v>118</v>
      </c>
      <c r="T10" s="3" t="s">
        <v>89</v>
      </c>
      <c r="U10" s="3" t="s">
        <v>8872</v>
      </c>
      <c r="V10" s="3" t="s">
        <v>2701</v>
      </c>
      <c r="W10" s="3" t="s">
        <v>8850</v>
      </c>
      <c r="X10" s="3" t="s">
        <v>8873</v>
      </c>
      <c r="Y10" s="3" t="s">
        <v>8857</v>
      </c>
      <c r="Z10" s="3" t="s">
        <v>8858</v>
      </c>
      <c r="AA10" s="3" t="s">
        <v>8878</v>
      </c>
      <c r="AB10" s="3" t="s">
        <v>8879</v>
      </c>
    </row>
    <row r="11" spans="1:28" s="3" customFormat="1" ht="48" x14ac:dyDescent="0.2">
      <c r="A11" s="435" t="s">
        <v>448</v>
      </c>
      <c r="B11" s="435"/>
      <c r="C11" s="435" t="s">
        <v>408</v>
      </c>
      <c r="D11" s="435" t="s">
        <v>449</v>
      </c>
      <c r="E11" s="437">
        <v>3073</v>
      </c>
      <c r="F11" s="437">
        <v>3189</v>
      </c>
      <c r="G11" s="438" t="s">
        <v>450</v>
      </c>
      <c r="H11" s="438" t="s">
        <v>451</v>
      </c>
      <c r="I11" s="439" t="s">
        <v>421</v>
      </c>
      <c r="J11" s="383" t="s">
        <v>63</v>
      </c>
      <c r="K11" s="440" t="str">
        <f>HYPERLINK("https://okcountyrecords.com/detail/roger+mills/1908-000607","OKCountyRecords: 1908-000607")</f>
        <v>OKCountyRecords: 1908-000607</v>
      </c>
      <c r="L11" s="442" t="s">
        <v>412</v>
      </c>
      <c r="M11" s="442" t="s">
        <v>405</v>
      </c>
      <c r="N11" s="442"/>
      <c r="O11" s="442" t="s">
        <v>422</v>
      </c>
      <c r="P11" s="3" t="s">
        <v>8854</v>
      </c>
      <c r="Q11" s="3" t="s">
        <v>118</v>
      </c>
      <c r="R11" s="3" t="s">
        <v>89</v>
      </c>
      <c r="S11" s="3" t="s">
        <v>2701</v>
      </c>
      <c r="T11" s="3" t="s">
        <v>89</v>
      </c>
      <c r="U11" s="3" t="s">
        <v>8862</v>
      </c>
      <c r="V11" s="3" t="s">
        <v>3072</v>
      </c>
      <c r="W11" s="3" t="s">
        <v>9619</v>
      </c>
      <c r="X11" s="3" t="s">
        <v>8865</v>
      </c>
      <c r="Y11" s="3" t="s">
        <v>8857</v>
      </c>
      <c r="Z11" s="3" t="s">
        <v>8858</v>
      </c>
      <c r="AA11" s="3" t="s">
        <v>8880</v>
      </c>
      <c r="AB11" s="3" t="s">
        <v>8867</v>
      </c>
    </row>
    <row r="12" spans="1:28" s="3" customFormat="1" ht="48" x14ac:dyDescent="0.2">
      <c r="A12" s="435" t="s">
        <v>452</v>
      </c>
      <c r="B12" s="435"/>
      <c r="C12" s="435" t="s">
        <v>99</v>
      </c>
      <c r="D12" s="435" t="s">
        <v>453</v>
      </c>
      <c r="E12" s="436">
        <v>3118</v>
      </c>
      <c r="F12" s="437">
        <v>3121</v>
      </c>
      <c r="G12" s="438" t="s">
        <v>103</v>
      </c>
      <c r="H12" s="438" t="s">
        <v>454</v>
      </c>
      <c r="I12" s="443" t="s">
        <v>455</v>
      </c>
      <c r="J12" s="112" t="s">
        <v>63</v>
      </c>
      <c r="K12" s="440" t="str">
        <f>HYPERLINK("https://okcountyrecords.com/search/roger%20mills","OKCountyRecords search: Homestead FR0002/0448")</f>
        <v>OKCountyRecords search: Homestead FR0002/0448</v>
      </c>
      <c r="L12" s="442" t="s">
        <v>8708</v>
      </c>
      <c r="M12" s="442" t="s">
        <v>405</v>
      </c>
      <c r="N12" s="442"/>
      <c r="O12" s="442" t="s">
        <v>422</v>
      </c>
      <c r="P12" s="3" t="s">
        <v>8848</v>
      </c>
      <c r="Q12" s="3" t="s">
        <v>118</v>
      </c>
      <c r="R12" s="3" t="s">
        <v>89</v>
      </c>
      <c r="S12" s="3" t="s">
        <v>118</v>
      </c>
      <c r="T12" s="3" t="s">
        <v>89</v>
      </c>
      <c r="U12" s="3" t="s">
        <v>8881</v>
      </c>
      <c r="V12" s="3" t="s">
        <v>3072</v>
      </c>
      <c r="W12" s="3" t="s">
        <v>8850</v>
      </c>
      <c r="X12" s="3" t="s">
        <v>8882</v>
      </c>
      <c r="Y12" s="3" t="s">
        <v>8851</v>
      </c>
      <c r="Z12" s="3" t="s">
        <v>2701</v>
      </c>
      <c r="AA12" s="3" t="s">
        <v>8883</v>
      </c>
      <c r="AB12" s="3" t="s">
        <v>8853</v>
      </c>
    </row>
    <row r="13" spans="1:28" s="3" customFormat="1" ht="36" x14ac:dyDescent="0.2">
      <c r="A13" s="435" t="s">
        <v>456</v>
      </c>
      <c r="B13" s="435"/>
      <c r="C13" s="435" t="s">
        <v>415</v>
      </c>
      <c r="D13" s="435" t="s">
        <v>457</v>
      </c>
      <c r="E13" s="436">
        <v>3320</v>
      </c>
      <c r="F13" s="437">
        <v>11021</v>
      </c>
      <c r="G13" s="438" t="s">
        <v>106</v>
      </c>
      <c r="H13" s="438" t="s">
        <v>454</v>
      </c>
      <c r="I13" s="439" t="s">
        <v>455</v>
      </c>
      <c r="J13" s="383" t="s">
        <v>63</v>
      </c>
      <c r="K13" s="440" t="str">
        <f>HYPERLINK("https://okcountyrecords.com/detail/roger+mills/1930-002914","OKCountyRecords: 1930-002914")</f>
        <v>OKCountyRecords: 1930-002914</v>
      </c>
      <c r="L13" s="442" t="s">
        <v>412</v>
      </c>
      <c r="M13" s="442" t="s">
        <v>405</v>
      </c>
      <c r="N13" s="442"/>
      <c r="O13" s="442" t="s">
        <v>422</v>
      </c>
      <c r="P13" s="3" t="s">
        <v>8848</v>
      </c>
      <c r="Q13" s="3" t="s">
        <v>118</v>
      </c>
      <c r="R13" s="3" t="s">
        <v>89</v>
      </c>
      <c r="S13" s="3" t="s">
        <v>118</v>
      </c>
      <c r="T13" s="3" t="s">
        <v>89</v>
      </c>
      <c r="U13" s="3" t="s">
        <v>8881</v>
      </c>
      <c r="V13" s="3" t="s">
        <v>3072</v>
      </c>
      <c r="W13" s="3" t="s">
        <v>8850</v>
      </c>
      <c r="X13" s="3" t="s">
        <v>8882</v>
      </c>
      <c r="Y13" s="3" t="s">
        <v>8857</v>
      </c>
      <c r="Z13" s="3" t="s">
        <v>8858</v>
      </c>
      <c r="AA13" s="3" t="s">
        <v>8884</v>
      </c>
    </row>
    <row r="14" spans="1:28" s="3" customFormat="1" ht="36" x14ac:dyDescent="0.2">
      <c r="A14" s="435" t="s">
        <v>458</v>
      </c>
      <c r="B14" s="444"/>
      <c r="C14" s="444" t="s">
        <v>415</v>
      </c>
      <c r="D14" s="444" t="s">
        <v>459</v>
      </c>
      <c r="E14" s="445">
        <v>3652</v>
      </c>
      <c r="F14" s="437">
        <v>3652</v>
      </c>
      <c r="G14" s="443" t="s">
        <v>106</v>
      </c>
      <c r="H14" s="443" t="s">
        <v>431</v>
      </c>
      <c r="I14" s="443" t="s">
        <v>432</v>
      </c>
      <c r="J14" s="112" t="s">
        <v>63</v>
      </c>
      <c r="K14" s="440" t="str">
        <f>HYPERLINK("https://okcountyrecords.com/detail/roger+mills/1909-002932","OKCountyRecords: 1909-002932")</f>
        <v>OKCountyRecords: 1909-002932</v>
      </c>
      <c r="L14" s="442" t="s">
        <v>412</v>
      </c>
      <c r="M14" s="442" t="s">
        <v>405</v>
      </c>
      <c r="N14" s="442"/>
      <c r="O14" s="442" t="s">
        <v>406</v>
      </c>
      <c r="P14" s="3" t="s">
        <v>8848</v>
      </c>
      <c r="Q14" s="3" t="s">
        <v>118</v>
      </c>
      <c r="R14" s="3" t="s">
        <v>89</v>
      </c>
      <c r="S14" s="3" t="s">
        <v>118</v>
      </c>
      <c r="T14" s="3" t="s">
        <v>89</v>
      </c>
      <c r="U14" s="3" t="s">
        <v>8868</v>
      </c>
      <c r="V14" s="3" t="s">
        <v>2701</v>
      </c>
      <c r="W14" s="3" t="s">
        <v>8850</v>
      </c>
      <c r="X14" s="3" t="s">
        <v>8869</v>
      </c>
      <c r="Y14" s="3" t="s">
        <v>8857</v>
      </c>
      <c r="Z14" s="3" t="s">
        <v>8858</v>
      </c>
      <c r="AA14" s="3" t="s">
        <v>8885</v>
      </c>
      <c r="AB14" s="3" t="s">
        <v>8879</v>
      </c>
    </row>
    <row r="15" spans="1:28" s="3" customFormat="1" ht="48" x14ac:dyDescent="0.2">
      <c r="A15" s="435" t="s">
        <v>460</v>
      </c>
      <c r="B15" s="435"/>
      <c r="C15" s="435" t="s">
        <v>461</v>
      </c>
      <c r="D15" s="435" t="s">
        <v>462</v>
      </c>
      <c r="E15" s="436">
        <v>3734</v>
      </c>
      <c r="F15" s="437">
        <v>7291</v>
      </c>
      <c r="G15" s="438" t="s">
        <v>463</v>
      </c>
      <c r="H15" s="438" t="s">
        <v>102</v>
      </c>
      <c r="I15" s="443" t="s">
        <v>421</v>
      </c>
      <c r="J15" s="112" t="s">
        <v>8662</v>
      </c>
      <c r="K15" s="440" t="str">
        <f>HYPERLINK("https://okcountyrecords.com/detail/roger+mills/1919-001437","OKCountyRecords: 1919-001437")</f>
        <v>OKCountyRecords: 1919-001437</v>
      </c>
      <c r="L15" s="442" t="s">
        <v>466</v>
      </c>
      <c r="M15" s="442" t="s">
        <v>467</v>
      </c>
      <c r="N15" s="442" t="s">
        <v>468</v>
      </c>
      <c r="O15" s="442" t="s">
        <v>422</v>
      </c>
      <c r="P15" s="3" t="s">
        <v>8886</v>
      </c>
      <c r="Q15" s="3" t="s">
        <v>118</v>
      </c>
      <c r="R15" s="3" t="s">
        <v>89</v>
      </c>
      <c r="S15" s="3" t="s">
        <v>118</v>
      </c>
      <c r="T15" s="3" t="s">
        <v>89</v>
      </c>
      <c r="U15" s="3" t="s">
        <v>8862</v>
      </c>
      <c r="V15" s="3" t="s">
        <v>3072</v>
      </c>
      <c r="W15" s="3" t="s">
        <v>8864</v>
      </c>
      <c r="X15" s="3" t="s">
        <v>2701</v>
      </c>
      <c r="Y15" s="3" t="s">
        <v>8851</v>
      </c>
      <c r="Z15" s="3" t="s">
        <v>2701</v>
      </c>
      <c r="AA15" s="3" t="s">
        <v>8887</v>
      </c>
      <c r="AB15" s="3" t="s">
        <v>8888</v>
      </c>
    </row>
    <row r="16" spans="1:28" s="3" customFormat="1" ht="48" x14ac:dyDescent="0.2">
      <c r="A16" s="435" t="s">
        <v>469</v>
      </c>
      <c r="B16" s="435"/>
      <c r="C16" s="435" t="s">
        <v>408</v>
      </c>
      <c r="D16" s="435" t="s">
        <v>470</v>
      </c>
      <c r="E16" s="436">
        <v>4759</v>
      </c>
      <c r="F16" s="437">
        <v>4759</v>
      </c>
      <c r="G16" s="438" t="s">
        <v>471</v>
      </c>
      <c r="H16" s="438" t="s">
        <v>472</v>
      </c>
      <c r="I16" s="439" t="s">
        <v>432</v>
      </c>
      <c r="J16" s="112" t="s">
        <v>63</v>
      </c>
      <c r="K16" s="440" t="str">
        <f>HYPERLINK("https://okcountyrecords.com/detail/roger+mills/1913-000413","OKCountyRecords: 1913-000413")</f>
        <v>OKCountyRecords: 1913-000413</v>
      </c>
      <c r="L16" s="442" t="s">
        <v>412</v>
      </c>
      <c r="M16" s="442" t="s">
        <v>405</v>
      </c>
      <c r="N16" s="442"/>
      <c r="O16" s="442" t="s">
        <v>428</v>
      </c>
      <c r="P16" s="3" t="s">
        <v>8854</v>
      </c>
      <c r="Q16" s="3" t="s">
        <v>118</v>
      </c>
      <c r="R16" s="3" t="s">
        <v>89</v>
      </c>
      <c r="S16" s="3" t="s">
        <v>2701</v>
      </c>
      <c r="T16" s="3" t="s">
        <v>89</v>
      </c>
      <c r="U16" s="3" t="s">
        <v>8868</v>
      </c>
      <c r="V16" s="3" t="s">
        <v>2701</v>
      </c>
      <c r="W16" s="3" t="s">
        <v>9620</v>
      </c>
      <c r="X16" s="3" t="s">
        <v>8869</v>
      </c>
      <c r="Y16" s="3" t="s">
        <v>8857</v>
      </c>
      <c r="Z16" s="3" t="s">
        <v>8858</v>
      </c>
      <c r="AA16" s="3" t="s">
        <v>8889</v>
      </c>
      <c r="AB16" s="3" t="s">
        <v>8877</v>
      </c>
    </row>
    <row r="17" spans="1:28" s="3" customFormat="1" ht="36" x14ac:dyDescent="0.2">
      <c r="A17" s="435" t="s">
        <v>473</v>
      </c>
      <c r="B17" s="435"/>
      <c r="C17" s="435" t="s">
        <v>408</v>
      </c>
      <c r="D17" s="435" t="s">
        <v>474</v>
      </c>
      <c r="E17" s="436">
        <v>5920</v>
      </c>
      <c r="F17" s="437">
        <v>5925</v>
      </c>
      <c r="G17" s="443" t="s">
        <v>475</v>
      </c>
      <c r="H17" s="438" t="s">
        <v>476</v>
      </c>
      <c r="I17" s="439" t="s">
        <v>455</v>
      </c>
      <c r="J17" s="112" t="s">
        <v>63</v>
      </c>
      <c r="K17" s="440" t="str">
        <f>HYPERLINK("https://okcountyrecords.com/detail/roger+mills/1916-000332","OKCountyRecords: 1916-000332")</f>
        <v>OKCountyRecords: 1916-000332</v>
      </c>
      <c r="L17" s="442" t="s">
        <v>412</v>
      </c>
      <c r="M17" s="442" t="s">
        <v>405</v>
      </c>
      <c r="N17" s="442"/>
      <c r="O17" s="442" t="s">
        <v>422</v>
      </c>
      <c r="P17" s="3" t="s">
        <v>8854</v>
      </c>
      <c r="Q17" s="3" t="s">
        <v>118</v>
      </c>
      <c r="R17" s="3" t="s">
        <v>89</v>
      </c>
      <c r="S17" s="3" t="s">
        <v>2701</v>
      </c>
      <c r="T17" s="3" t="s">
        <v>89</v>
      </c>
      <c r="U17" s="3" t="s">
        <v>8881</v>
      </c>
      <c r="V17" s="3" t="s">
        <v>3072</v>
      </c>
      <c r="W17" s="3" t="s">
        <v>8864</v>
      </c>
      <c r="X17" s="3" t="s">
        <v>8882</v>
      </c>
      <c r="Y17" s="3" t="s">
        <v>8857</v>
      </c>
      <c r="Z17" s="3" t="s">
        <v>8858</v>
      </c>
      <c r="AA17" s="3" t="s">
        <v>8890</v>
      </c>
      <c r="AB17" s="3" t="s">
        <v>8867</v>
      </c>
    </row>
    <row r="18" spans="1:28" s="3" customFormat="1" ht="48" x14ac:dyDescent="0.2">
      <c r="A18" s="435" t="s">
        <v>477</v>
      </c>
      <c r="B18" s="435"/>
      <c r="C18" s="435" t="s">
        <v>408</v>
      </c>
      <c r="D18" s="435" t="s">
        <v>478</v>
      </c>
      <c r="E18" s="436">
        <v>6568</v>
      </c>
      <c r="F18" s="437">
        <v>6887</v>
      </c>
      <c r="G18" s="438" t="s">
        <v>441</v>
      </c>
      <c r="H18" s="438" t="s">
        <v>479</v>
      </c>
      <c r="I18" s="439" t="s">
        <v>480</v>
      </c>
      <c r="J18" s="112" t="s">
        <v>63</v>
      </c>
      <c r="K18" s="440" t="str">
        <f>HYPERLINK("https://okcountyrecords.com/detail/roger+mills/1918-000943","OKCountyRecords: 1918-000943")</f>
        <v>OKCountyRecords: 1918-000943</v>
      </c>
      <c r="L18" s="442" t="s">
        <v>412</v>
      </c>
      <c r="M18" s="442" t="s">
        <v>405</v>
      </c>
      <c r="N18" s="442"/>
      <c r="O18" s="442" t="s">
        <v>428</v>
      </c>
      <c r="P18" s="3" t="s">
        <v>8854</v>
      </c>
      <c r="Q18" s="3" t="s">
        <v>118</v>
      </c>
      <c r="R18" s="3" t="s">
        <v>89</v>
      </c>
      <c r="S18" s="3" t="s">
        <v>2701</v>
      </c>
      <c r="T18" s="3" t="s">
        <v>89</v>
      </c>
      <c r="U18" s="3" t="s">
        <v>8872</v>
      </c>
      <c r="V18" s="3" t="s">
        <v>2701</v>
      </c>
      <c r="W18" s="3" t="s">
        <v>9621</v>
      </c>
      <c r="X18" s="3" t="s">
        <v>8873</v>
      </c>
      <c r="Y18" s="3" t="s">
        <v>8857</v>
      </c>
      <c r="Z18" s="3" t="s">
        <v>8858</v>
      </c>
      <c r="AA18" s="3" t="s">
        <v>8891</v>
      </c>
      <c r="AB18" s="3" t="s">
        <v>8877</v>
      </c>
    </row>
    <row r="19" spans="1:28" s="3" customFormat="1" ht="48" x14ac:dyDescent="0.2">
      <c r="A19" s="435" t="s">
        <v>481</v>
      </c>
      <c r="B19" s="435"/>
      <c r="C19" s="435" t="s">
        <v>408</v>
      </c>
      <c r="D19" s="435" t="s">
        <v>482</v>
      </c>
      <c r="E19" s="436">
        <v>7303</v>
      </c>
      <c r="F19" s="437">
        <v>7291</v>
      </c>
      <c r="G19" s="438" t="s">
        <v>483</v>
      </c>
      <c r="H19" s="438" t="s">
        <v>484</v>
      </c>
      <c r="I19" s="443" t="s">
        <v>485</v>
      </c>
      <c r="J19" s="112" t="s">
        <v>63</v>
      </c>
      <c r="K19" s="440" t="str">
        <f>HYPERLINK("https://okcountyrecords.com/detail/roger+mills/1919-000971","OKCountyRecords: 1919-000971")</f>
        <v>OKCountyRecords: 1919-000971</v>
      </c>
      <c r="L19" s="442" t="s">
        <v>412</v>
      </c>
      <c r="M19" s="442" t="s">
        <v>405</v>
      </c>
      <c r="N19" s="442"/>
      <c r="O19" s="442" t="s">
        <v>428</v>
      </c>
      <c r="P19" s="3" t="s">
        <v>8854</v>
      </c>
      <c r="Q19" s="3" t="s">
        <v>118</v>
      </c>
      <c r="R19" s="3" t="s">
        <v>89</v>
      </c>
      <c r="S19" s="3" t="s">
        <v>2701</v>
      </c>
      <c r="T19" s="3" t="s">
        <v>89</v>
      </c>
      <c r="U19" s="3" t="s">
        <v>8862</v>
      </c>
      <c r="V19" s="3" t="s">
        <v>3072</v>
      </c>
      <c r="W19" s="3" t="s">
        <v>8864</v>
      </c>
      <c r="X19" s="3" t="s">
        <v>8865</v>
      </c>
      <c r="Y19" s="3" t="s">
        <v>8857</v>
      </c>
      <c r="Z19" s="3" t="s">
        <v>8858</v>
      </c>
      <c r="AA19" s="3" t="s">
        <v>8892</v>
      </c>
      <c r="AB19" s="3" t="s">
        <v>8867</v>
      </c>
    </row>
    <row r="20" spans="1:28" s="3" customFormat="1" ht="36" x14ac:dyDescent="0.2">
      <c r="A20" s="435" t="s">
        <v>486</v>
      </c>
      <c r="B20" s="435"/>
      <c r="C20" s="435" t="s">
        <v>408</v>
      </c>
      <c r="D20" s="435" t="s">
        <v>487</v>
      </c>
      <c r="E20" s="436">
        <v>7682</v>
      </c>
      <c r="F20" s="437">
        <v>7805</v>
      </c>
      <c r="G20" s="438" t="s">
        <v>488</v>
      </c>
      <c r="H20" s="438" t="s">
        <v>489</v>
      </c>
      <c r="I20" s="439" t="s">
        <v>455</v>
      </c>
      <c r="J20" s="112" t="s">
        <v>63</v>
      </c>
      <c r="K20" s="440" t="str">
        <f>HYPERLINK("https://okcountyrecords.com/detail/roger+mills/1921-000501","OKCountyRecords: 1921-000501")</f>
        <v>OKCountyRecords: 1921-000501</v>
      </c>
      <c r="L20" s="442" t="s">
        <v>412</v>
      </c>
      <c r="M20" s="442" t="s">
        <v>405</v>
      </c>
      <c r="N20" s="442"/>
      <c r="O20" s="442" t="s">
        <v>422</v>
      </c>
      <c r="P20" s="3" t="s">
        <v>8854</v>
      </c>
      <c r="Q20" s="3" t="s">
        <v>118</v>
      </c>
      <c r="R20" s="3" t="s">
        <v>89</v>
      </c>
      <c r="S20" s="3" t="s">
        <v>2701</v>
      </c>
      <c r="T20" s="3" t="s">
        <v>89</v>
      </c>
      <c r="U20" s="3" t="s">
        <v>8881</v>
      </c>
      <c r="V20" s="3" t="s">
        <v>3072</v>
      </c>
      <c r="W20" s="3" t="s">
        <v>8864</v>
      </c>
      <c r="X20" s="3" t="s">
        <v>8882</v>
      </c>
      <c r="Y20" s="3" t="s">
        <v>8857</v>
      </c>
      <c r="Z20" s="3" t="s">
        <v>8858</v>
      </c>
      <c r="AA20" s="3" t="s">
        <v>8893</v>
      </c>
      <c r="AB20" s="3" t="s">
        <v>8867</v>
      </c>
    </row>
    <row r="21" spans="1:28" s="3" customFormat="1" ht="36" x14ac:dyDescent="0.2">
      <c r="A21" s="435" t="s">
        <v>490</v>
      </c>
      <c r="B21" s="435"/>
      <c r="C21" s="435" t="s">
        <v>408</v>
      </c>
      <c r="D21" s="435" t="s">
        <v>491</v>
      </c>
      <c r="E21" s="436">
        <v>7733</v>
      </c>
      <c r="F21" s="437">
        <v>7805</v>
      </c>
      <c r="G21" s="438" t="s">
        <v>492</v>
      </c>
      <c r="H21" s="438" t="s">
        <v>493</v>
      </c>
      <c r="I21" s="439" t="s">
        <v>455</v>
      </c>
      <c r="J21" s="112" t="s">
        <v>63</v>
      </c>
      <c r="K21" s="440" t="str">
        <f>HYPERLINK("https://okcountyrecords.com/detail/roger+mills/1921-000502","OKCountyRecords: 1921-000502")</f>
        <v>OKCountyRecords: 1921-000502</v>
      </c>
      <c r="L21" s="442" t="s">
        <v>412</v>
      </c>
      <c r="M21" s="442" t="s">
        <v>405</v>
      </c>
      <c r="N21" s="442"/>
      <c r="O21" s="442" t="s">
        <v>422</v>
      </c>
      <c r="P21" s="3" t="s">
        <v>8854</v>
      </c>
      <c r="Q21" s="3" t="s">
        <v>118</v>
      </c>
      <c r="R21" s="3" t="s">
        <v>89</v>
      </c>
      <c r="S21" s="3" t="s">
        <v>2701</v>
      </c>
      <c r="T21" s="3" t="s">
        <v>89</v>
      </c>
      <c r="U21" s="3" t="s">
        <v>8881</v>
      </c>
      <c r="V21" s="3" t="s">
        <v>3072</v>
      </c>
      <c r="W21" s="3" t="s">
        <v>8864</v>
      </c>
      <c r="X21" s="3" t="s">
        <v>8882</v>
      </c>
      <c r="Y21" s="3" t="s">
        <v>8857</v>
      </c>
      <c r="Z21" s="3" t="s">
        <v>8858</v>
      </c>
      <c r="AA21" s="3" t="s">
        <v>8894</v>
      </c>
      <c r="AB21" s="3" t="s">
        <v>8867</v>
      </c>
    </row>
    <row r="22" spans="1:28" s="3" customFormat="1" ht="48" x14ac:dyDescent="0.2">
      <c r="A22" s="435" t="s">
        <v>494</v>
      </c>
      <c r="B22" s="435"/>
      <c r="C22" s="435" t="s">
        <v>408</v>
      </c>
      <c r="D22" s="435" t="s">
        <v>495</v>
      </c>
      <c r="E22" s="436">
        <v>7905</v>
      </c>
      <c r="F22" s="437">
        <v>8121</v>
      </c>
      <c r="G22" s="438" t="s">
        <v>496</v>
      </c>
      <c r="H22" s="438" t="s">
        <v>497</v>
      </c>
      <c r="I22" s="443" t="s">
        <v>498</v>
      </c>
      <c r="J22" s="112" t="s">
        <v>63</v>
      </c>
      <c r="K22" s="440" t="str">
        <f>HYPERLINK("https://okcountyrecords.com/detail/roger+mills/1922-000463","OKCountyRecords: 1922-000463")</f>
        <v>OKCountyRecords: 1922-000463</v>
      </c>
      <c r="L22" s="442" t="s">
        <v>412</v>
      </c>
      <c r="M22" s="442" t="s">
        <v>405</v>
      </c>
      <c r="N22" s="442"/>
      <c r="O22" s="442" t="s">
        <v>428</v>
      </c>
      <c r="P22" s="3" t="s">
        <v>8854</v>
      </c>
      <c r="Q22" s="3" t="s">
        <v>118</v>
      </c>
      <c r="R22" s="3" t="s">
        <v>89</v>
      </c>
      <c r="S22" s="3" t="s">
        <v>2701</v>
      </c>
      <c r="T22" s="3" t="s">
        <v>89</v>
      </c>
      <c r="U22" s="3" t="s">
        <v>8868</v>
      </c>
      <c r="V22" s="3" t="s">
        <v>2701</v>
      </c>
      <c r="W22" s="3" t="s">
        <v>9622</v>
      </c>
      <c r="X22" s="3" t="s">
        <v>8869</v>
      </c>
      <c r="Y22" s="3" t="s">
        <v>8857</v>
      </c>
      <c r="Z22" s="3" t="s">
        <v>8858</v>
      </c>
      <c r="AA22" s="3" t="s">
        <v>8895</v>
      </c>
      <c r="AB22" s="3" t="s">
        <v>8877</v>
      </c>
    </row>
    <row r="23" spans="1:28" s="3" customFormat="1" ht="60" x14ac:dyDescent="0.2">
      <c r="A23" s="435" t="s">
        <v>499</v>
      </c>
      <c r="B23" s="435"/>
      <c r="C23" s="435" t="s">
        <v>461</v>
      </c>
      <c r="D23" s="435" t="s">
        <v>500</v>
      </c>
      <c r="E23" s="436">
        <v>8517</v>
      </c>
      <c r="F23" s="437">
        <v>8518</v>
      </c>
      <c r="G23" s="438" t="s">
        <v>501</v>
      </c>
      <c r="H23" s="438" t="s">
        <v>102</v>
      </c>
      <c r="I23" s="439" t="s">
        <v>238</v>
      </c>
      <c r="J23" s="383" t="s">
        <v>9562</v>
      </c>
      <c r="K23" s="440" t="str">
        <f>HYPERLINK("https://okcountyrecords.com/detail/roger+mills/1923-001306","OKCountyRecords: 1923-001306")</f>
        <v>OKCountyRecords: 1923-001306</v>
      </c>
      <c r="L23" s="442" t="s">
        <v>503</v>
      </c>
      <c r="M23" s="442" t="s">
        <v>467</v>
      </c>
      <c r="N23" s="442" t="s">
        <v>504</v>
      </c>
      <c r="O23" s="442" t="s">
        <v>505</v>
      </c>
      <c r="P23" s="3" t="s">
        <v>8886</v>
      </c>
      <c r="Q23" s="3" t="s">
        <v>118</v>
      </c>
      <c r="R23" s="3" t="s">
        <v>89</v>
      </c>
      <c r="S23" s="3" t="s">
        <v>118</v>
      </c>
      <c r="T23" s="3" t="s">
        <v>89</v>
      </c>
      <c r="U23" s="3" t="s">
        <v>8896</v>
      </c>
      <c r="V23" s="3" t="s">
        <v>3386</v>
      </c>
      <c r="W23" s="3" t="s">
        <v>8864</v>
      </c>
      <c r="X23" s="3" t="s">
        <v>2701</v>
      </c>
      <c r="Y23" s="3" t="s">
        <v>8851</v>
      </c>
      <c r="Z23" s="3" t="s">
        <v>2701</v>
      </c>
      <c r="AA23" s="3" t="s">
        <v>8897</v>
      </c>
      <c r="AB23" s="3" t="s">
        <v>8888</v>
      </c>
    </row>
    <row r="24" spans="1:28" s="3" customFormat="1" ht="36" x14ac:dyDescent="0.2">
      <c r="A24" s="435" t="s">
        <v>506</v>
      </c>
      <c r="B24" s="435"/>
      <c r="C24" s="435" t="s">
        <v>408</v>
      </c>
      <c r="D24" s="435" t="s">
        <v>507</v>
      </c>
      <c r="E24" s="436">
        <v>9137</v>
      </c>
      <c r="F24" s="437">
        <v>9137</v>
      </c>
      <c r="G24" s="438" t="s">
        <v>508</v>
      </c>
      <c r="H24" s="438" t="s">
        <v>509</v>
      </c>
      <c r="I24" s="439" t="s">
        <v>480</v>
      </c>
      <c r="J24" s="383" t="s">
        <v>63</v>
      </c>
      <c r="K24" s="440" t="str">
        <f>HYPERLINK("https://okcountyrecords.com/detail/roger+mills/1925-000406","OKCountyRecords: 1925-000406")</f>
        <v>OKCountyRecords: 1925-000406</v>
      </c>
      <c r="L24" s="442" t="s">
        <v>412</v>
      </c>
      <c r="M24" s="442" t="s">
        <v>405</v>
      </c>
      <c r="N24" s="442"/>
      <c r="O24" s="442" t="s">
        <v>428</v>
      </c>
      <c r="P24" s="3" t="s">
        <v>8854</v>
      </c>
      <c r="Q24" s="3" t="s">
        <v>118</v>
      </c>
      <c r="R24" s="3" t="s">
        <v>89</v>
      </c>
      <c r="S24" s="3" t="s">
        <v>2701</v>
      </c>
      <c r="T24" s="3" t="s">
        <v>89</v>
      </c>
      <c r="U24" s="3" t="s">
        <v>8872</v>
      </c>
      <c r="V24" s="3" t="s">
        <v>2701</v>
      </c>
      <c r="W24" s="3" t="s">
        <v>8864</v>
      </c>
      <c r="X24" s="3" t="s">
        <v>8873</v>
      </c>
      <c r="Y24" s="3" t="s">
        <v>8857</v>
      </c>
      <c r="Z24" s="3" t="s">
        <v>8858</v>
      </c>
      <c r="AA24" s="3" t="s">
        <v>8898</v>
      </c>
      <c r="AB24" s="3" t="s">
        <v>8877</v>
      </c>
    </row>
    <row r="25" spans="1:28" s="3" customFormat="1" ht="60" x14ac:dyDescent="0.2">
      <c r="A25" s="435" t="s">
        <v>510</v>
      </c>
      <c r="B25" s="435"/>
      <c r="C25" s="435" t="s">
        <v>408</v>
      </c>
      <c r="D25" s="435" t="s">
        <v>511</v>
      </c>
      <c r="E25" s="436">
        <v>10069</v>
      </c>
      <c r="F25" s="437">
        <v>10077</v>
      </c>
      <c r="G25" s="438" t="s">
        <v>512</v>
      </c>
      <c r="H25" s="438" t="s">
        <v>513</v>
      </c>
      <c r="I25" s="443" t="s">
        <v>514</v>
      </c>
      <c r="J25" s="112" t="s">
        <v>8663</v>
      </c>
      <c r="K25" s="440" t="str">
        <f>HYPERLINK("https://okcountyrecords.com/detail/roger+mills/1927-000712","OKCountyRecords: 1927-000712")</f>
        <v>OKCountyRecords: 1927-000712</v>
      </c>
      <c r="L25" s="442" t="s">
        <v>412</v>
      </c>
      <c r="M25" s="442" t="s">
        <v>405</v>
      </c>
      <c r="N25" s="442"/>
      <c r="O25" s="442" t="s">
        <v>428</v>
      </c>
      <c r="P25" s="3" t="s">
        <v>8854</v>
      </c>
      <c r="Q25" s="3" t="s">
        <v>118</v>
      </c>
      <c r="R25" s="3" t="s">
        <v>89</v>
      </c>
      <c r="S25" s="3" t="s">
        <v>2701</v>
      </c>
      <c r="T25" s="3" t="s">
        <v>89</v>
      </c>
      <c r="U25" s="3" t="s">
        <v>8881</v>
      </c>
      <c r="V25" s="3" t="s">
        <v>3072</v>
      </c>
      <c r="W25" s="3" t="s">
        <v>8864</v>
      </c>
      <c r="X25" s="3" t="s">
        <v>8882</v>
      </c>
      <c r="Y25" s="3" t="s">
        <v>8899</v>
      </c>
      <c r="Z25" s="3" t="s">
        <v>8858</v>
      </c>
      <c r="AA25" s="3" t="s">
        <v>8900</v>
      </c>
      <c r="AB25" s="3" t="s">
        <v>8867</v>
      </c>
    </row>
    <row r="26" spans="1:28" s="3" customFormat="1" ht="60" x14ac:dyDescent="0.2">
      <c r="A26" s="435" t="s">
        <v>515</v>
      </c>
      <c r="B26" s="435"/>
      <c r="C26" s="435" t="s">
        <v>408</v>
      </c>
      <c r="D26" s="435" t="s">
        <v>516</v>
      </c>
      <c r="E26" s="436">
        <v>10069</v>
      </c>
      <c r="F26" s="437">
        <v>10077</v>
      </c>
      <c r="G26" s="438" t="s">
        <v>517</v>
      </c>
      <c r="H26" s="438" t="s">
        <v>518</v>
      </c>
      <c r="I26" s="439" t="s">
        <v>519</v>
      </c>
      <c r="J26" s="112" t="s">
        <v>8663</v>
      </c>
      <c r="K26" s="440" t="str">
        <f>HYPERLINK("https://okcountyrecords.com/detail/roger+mills/1927-000706","OKCountyRecords: 1927-000706")</f>
        <v>OKCountyRecords: 1927-000706</v>
      </c>
      <c r="L26" s="442" t="s">
        <v>412</v>
      </c>
      <c r="M26" s="442" t="s">
        <v>405</v>
      </c>
      <c r="N26" s="442"/>
      <c r="O26" s="442" t="s">
        <v>428</v>
      </c>
      <c r="P26" s="3" t="s">
        <v>8854</v>
      </c>
      <c r="Q26" s="3" t="s">
        <v>118</v>
      </c>
      <c r="R26" s="3" t="s">
        <v>89</v>
      </c>
      <c r="S26" s="3" t="s">
        <v>2701</v>
      </c>
      <c r="T26" s="3" t="s">
        <v>89</v>
      </c>
      <c r="U26" s="3" t="s">
        <v>8901</v>
      </c>
      <c r="V26" s="3" t="s">
        <v>3072</v>
      </c>
      <c r="W26" s="3" t="s">
        <v>8864</v>
      </c>
      <c r="X26" s="3" t="s">
        <v>8873</v>
      </c>
      <c r="Y26" s="3" t="s">
        <v>8899</v>
      </c>
      <c r="Z26" s="3" t="s">
        <v>8858</v>
      </c>
      <c r="AA26" s="3" t="s">
        <v>8902</v>
      </c>
      <c r="AB26" s="3" t="s">
        <v>8867</v>
      </c>
    </row>
    <row r="27" spans="1:28" s="3" customFormat="1" ht="60" x14ac:dyDescent="0.2">
      <c r="A27" s="435" t="s">
        <v>520</v>
      </c>
      <c r="B27" s="435"/>
      <c r="C27" s="435" t="s">
        <v>521</v>
      </c>
      <c r="D27" s="435" t="s">
        <v>522</v>
      </c>
      <c r="E27" s="436">
        <v>11098</v>
      </c>
      <c r="F27" s="437">
        <v>11237</v>
      </c>
      <c r="G27" s="438" t="s">
        <v>523</v>
      </c>
      <c r="H27" s="438" t="s">
        <v>524</v>
      </c>
      <c r="I27" s="443" t="s">
        <v>231</v>
      </c>
      <c r="J27" s="112" t="s">
        <v>8664</v>
      </c>
      <c r="K27" s="440" t="str">
        <f>HYPERLINK("https://okcountyrecords.com/detail/roger+mills/1930-001789","OKCountyRecords: 1930-001789")</f>
        <v>OKCountyRecords: 1930-001789</v>
      </c>
      <c r="L27" s="442" t="s">
        <v>503</v>
      </c>
      <c r="M27" s="442"/>
      <c r="N27" s="442"/>
      <c r="O27" s="442" t="s">
        <v>526</v>
      </c>
      <c r="P27" s="3" t="s">
        <v>8903</v>
      </c>
      <c r="Q27" s="3" t="s">
        <v>2701</v>
      </c>
      <c r="R27" s="3" t="s">
        <v>2701</v>
      </c>
      <c r="S27" s="3" t="s">
        <v>2701</v>
      </c>
      <c r="T27" s="3" t="s">
        <v>2701</v>
      </c>
      <c r="U27" s="3" t="s">
        <v>8896</v>
      </c>
      <c r="V27" s="3" t="s">
        <v>3386</v>
      </c>
      <c r="W27" s="3" t="s">
        <v>8864</v>
      </c>
      <c r="X27" s="3" t="s">
        <v>2701</v>
      </c>
      <c r="Y27" s="3" t="s">
        <v>8851</v>
      </c>
      <c r="Z27" s="3" t="s">
        <v>2701</v>
      </c>
      <c r="AA27" s="3" t="s">
        <v>8904</v>
      </c>
      <c r="AB27" s="3" t="s">
        <v>8905</v>
      </c>
    </row>
    <row r="28" spans="1:28" s="3" customFormat="1" ht="60" x14ac:dyDescent="0.2">
      <c r="A28" s="435" t="s">
        <v>527</v>
      </c>
      <c r="B28" s="435"/>
      <c r="C28" s="435" t="s">
        <v>521</v>
      </c>
      <c r="D28" s="435" t="s">
        <v>528</v>
      </c>
      <c r="E28" s="436">
        <v>11098</v>
      </c>
      <c r="F28" s="437">
        <v>11237</v>
      </c>
      <c r="G28" s="438" t="s">
        <v>529</v>
      </c>
      <c r="H28" s="438" t="s">
        <v>524</v>
      </c>
      <c r="I28" s="439" t="s">
        <v>530</v>
      </c>
      <c r="J28" s="112" t="s">
        <v>8665</v>
      </c>
      <c r="K28" s="440" t="str">
        <f>HYPERLINK("https://okcountyrecords.com/detail/roger+mills/1930-001819","OKCountyRecords: 1930-001819")</f>
        <v>OKCountyRecords: 1930-001819</v>
      </c>
      <c r="L28" s="442" t="s">
        <v>503</v>
      </c>
      <c r="M28" s="442"/>
      <c r="N28" s="442"/>
      <c r="O28" s="442" t="s">
        <v>422</v>
      </c>
      <c r="P28" s="3" t="s">
        <v>8903</v>
      </c>
      <c r="Q28" s="3" t="s">
        <v>2701</v>
      </c>
      <c r="R28" s="3" t="s">
        <v>2701</v>
      </c>
      <c r="S28" s="3" t="s">
        <v>2701</v>
      </c>
      <c r="T28" s="3" t="s">
        <v>2701</v>
      </c>
      <c r="U28" s="3" t="s">
        <v>8896</v>
      </c>
      <c r="V28" s="3" t="s">
        <v>3386</v>
      </c>
      <c r="W28" s="3" t="s">
        <v>8906</v>
      </c>
      <c r="X28" s="3" t="s">
        <v>2701</v>
      </c>
      <c r="Y28" s="3" t="s">
        <v>8851</v>
      </c>
      <c r="Z28" s="3" t="s">
        <v>2701</v>
      </c>
      <c r="AA28" s="3" t="s">
        <v>8907</v>
      </c>
      <c r="AB28" s="3" t="s">
        <v>8908</v>
      </c>
    </row>
    <row r="29" spans="1:28" s="3" customFormat="1" ht="60" x14ac:dyDescent="0.2">
      <c r="A29" s="435" t="s">
        <v>532</v>
      </c>
      <c r="B29" s="435"/>
      <c r="C29" s="435" t="s">
        <v>533</v>
      </c>
      <c r="D29" s="435" t="s">
        <v>534</v>
      </c>
      <c r="E29" s="436">
        <v>11290</v>
      </c>
      <c r="F29" s="437">
        <v>11578</v>
      </c>
      <c r="G29" s="438" t="s">
        <v>535</v>
      </c>
      <c r="H29" s="438" t="s">
        <v>536</v>
      </c>
      <c r="I29" s="443" t="s">
        <v>432</v>
      </c>
      <c r="J29" s="112" t="s">
        <v>8666</v>
      </c>
      <c r="K29" s="440" t="str">
        <f>HYPERLINK("https://okcountyrecords.com/detail/roger+mills/1931-000994","OKCountyRecords: 1931-000994")</f>
        <v>OKCountyRecords: 1931-000994</v>
      </c>
      <c r="L29" s="442" t="s">
        <v>412</v>
      </c>
      <c r="M29" s="442" t="s">
        <v>405</v>
      </c>
      <c r="N29" s="442"/>
      <c r="O29" s="442" t="s">
        <v>428</v>
      </c>
      <c r="P29" s="3" t="s">
        <v>8854</v>
      </c>
      <c r="Q29" s="3" t="s">
        <v>118</v>
      </c>
      <c r="R29" s="3" t="s">
        <v>89</v>
      </c>
      <c r="S29" s="3" t="s">
        <v>2701</v>
      </c>
      <c r="T29" s="3" t="s">
        <v>89</v>
      </c>
      <c r="U29" s="3" t="s">
        <v>8868</v>
      </c>
      <c r="V29" s="3" t="s">
        <v>2701</v>
      </c>
      <c r="W29" s="3" t="s">
        <v>8864</v>
      </c>
      <c r="X29" s="3" t="s">
        <v>8869</v>
      </c>
      <c r="Y29" s="3" t="s">
        <v>8857</v>
      </c>
      <c r="Z29" s="3" t="s">
        <v>8858</v>
      </c>
      <c r="AA29" s="3" t="s">
        <v>8909</v>
      </c>
      <c r="AB29" s="3" t="s">
        <v>8877</v>
      </c>
    </row>
    <row r="30" spans="1:28" s="3" customFormat="1" ht="120" x14ac:dyDescent="0.2">
      <c r="A30" s="435" t="s">
        <v>537</v>
      </c>
      <c r="B30" s="435"/>
      <c r="C30" s="435" t="s">
        <v>408</v>
      </c>
      <c r="D30" s="435" t="s">
        <v>538</v>
      </c>
      <c r="E30" s="436">
        <v>11395</v>
      </c>
      <c r="F30" s="437">
        <v>11395</v>
      </c>
      <c r="G30" s="438" t="s">
        <v>539</v>
      </c>
      <c r="H30" s="438" t="s">
        <v>540</v>
      </c>
      <c r="I30" s="439" t="s">
        <v>541</v>
      </c>
      <c r="J30" s="112" t="s">
        <v>8667</v>
      </c>
      <c r="K30" s="440" t="str">
        <f>HYPERLINK("https://okcountyrecords.com/detail/roger+mills/1931-000573","OKCountyRecords: 1931-000573")</f>
        <v>OKCountyRecords: 1931-000573</v>
      </c>
      <c r="L30" s="442" t="s">
        <v>543</v>
      </c>
      <c r="M30" s="442"/>
      <c r="N30" s="442"/>
      <c r="O30" s="442" t="s">
        <v>428</v>
      </c>
      <c r="P30" s="3" t="s">
        <v>8910</v>
      </c>
      <c r="Q30" s="3" t="s">
        <v>118</v>
      </c>
      <c r="R30" s="3" t="s">
        <v>89</v>
      </c>
      <c r="S30" s="3" t="s">
        <v>2701</v>
      </c>
      <c r="T30" s="3" t="s">
        <v>89</v>
      </c>
      <c r="U30" s="3" t="s">
        <v>8911</v>
      </c>
      <c r="V30" s="3" t="s">
        <v>3072</v>
      </c>
      <c r="W30" s="3" t="s">
        <v>8864</v>
      </c>
      <c r="X30" s="3" t="s">
        <v>2701</v>
      </c>
      <c r="Y30" s="3" t="s">
        <v>8857</v>
      </c>
      <c r="Z30" s="3" t="s">
        <v>8858</v>
      </c>
      <c r="AA30" s="3" t="s">
        <v>8912</v>
      </c>
      <c r="AB30" s="3" t="s">
        <v>8867</v>
      </c>
    </row>
    <row r="31" spans="1:28" s="3" customFormat="1" ht="180" x14ac:dyDescent="0.2">
      <c r="A31" s="435" t="s">
        <v>544</v>
      </c>
      <c r="B31" s="435"/>
      <c r="C31" s="435" t="s">
        <v>545</v>
      </c>
      <c r="D31" s="435" t="s">
        <v>546</v>
      </c>
      <c r="E31" s="436">
        <v>12035</v>
      </c>
      <c r="F31" s="437">
        <v>12035</v>
      </c>
      <c r="G31" s="438" t="s">
        <v>540</v>
      </c>
      <c r="H31" s="438" t="s">
        <v>547</v>
      </c>
      <c r="I31" s="443" t="s">
        <v>548</v>
      </c>
      <c r="J31" s="112" t="s">
        <v>63</v>
      </c>
      <c r="K31" s="440" t="str">
        <f>HYPERLINK("https://okcountyrecords.com/detail/roger+mills/1932-000511","OKCountyRecords: 1932-000511")</f>
        <v>OKCountyRecords: 1932-000511</v>
      </c>
      <c r="L31" s="442" t="s">
        <v>543</v>
      </c>
      <c r="M31" s="442" t="s">
        <v>405</v>
      </c>
      <c r="N31" s="442"/>
      <c r="O31" s="442" t="s">
        <v>422</v>
      </c>
      <c r="P31" s="3" t="s">
        <v>8910</v>
      </c>
      <c r="Q31" s="3" t="s">
        <v>118</v>
      </c>
      <c r="R31" s="3" t="s">
        <v>89</v>
      </c>
      <c r="S31" s="3" t="s">
        <v>2701</v>
      </c>
      <c r="T31" s="3" t="s">
        <v>89</v>
      </c>
      <c r="U31" s="3" t="s">
        <v>8911</v>
      </c>
      <c r="V31" s="3" t="s">
        <v>3072</v>
      </c>
      <c r="W31" s="3" t="s">
        <v>8906</v>
      </c>
      <c r="X31" s="3" t="s">
        <v>2701</v>
      </c>
      <c r="Y31" s="3" t="s">
        <v>8857</v>
      </c>
      <c r="Z31" s="3" t="s">
        <v>8858</v>
      </c>
      <c r="AA31" s="3" t="s">
        <v>8913</v>
      </c>
    </row>
    <row r="32" spans="1:28" s="3" customFormat="1" ht="48" x14ac:dyDescent="0.2">
      <c r="A32" s="435" t="s">
        <v>549</v>
      </c>
      <c r="B32" s="435"/>
      <c r="C32" s="435" t="s">
        <v>550</v>
      </c>
      <c r="D32" s="435" t="s">
        <v>551</v>
      </c>
      <c r="E32" s="436">
        <v>12655</v>
      </c>
      <c r="F32" s="437">
        <v>38695</v>
      </c>
      <c r="G32" s="438" t="s">
        <v>552</v>
      </c>
      <c r="H32" s="438" t="s">
        <v>553</v>
      </c>
      <c r="I32" s="443" t="s">
        <v>455</v>
      </c>
      <c r="J32" s="112" t="s">
        <v>63</v>
      </c>
      <c r="K32" s="440" t="str">
        <f>HYPERLINK("https://okcountyrecords.com/detail/roger+mills/2005-008386","OKCountyRecords: 2005-008386")</f>
        <v>OKCountyRecords: 2005-008386</v>
      </c>
      <c r="L32" s="442" t="s">
        <v>412</v>
      </c>
      <c r="M32" s="442" t="s">
        <v>405</v>
      </c>
      <c r="N32" s="442"/>
      <c r="O32" s="442" t="s">
        <v>422</v>
      </c>
      <c r="P32" s="3" t="s">
        <v>8886</v>
      </c>
      <c r="Q32" s="3" t="s">
        <v>118</v>
      </c>
      <c r="R32" s="3" t="s">
        <v>89</v>
      </c>
      <c r="S32" s="3" t="s">
        <v>118</v>
      </c>
      <c r="T32" s="3" t="s">
        <v>89</v>
      </c>
      <c r="U32" s="3" t="s">
        <v>8881</v>
      </c>
      <c r="V32" s="3" t="s">
        <v>3072</v>
      </c>
      <c r="W32" s="3" t="s">
        <v>8864</v>
      </c>
      <c r="X32" s="3" t="s">
        <v>2701</v>
      </c>
      <c r="Y32" s="3" t="s">
        <v>8857</v>
      </c>
      <c r="Z32" s="3" t="s">
        <v>8858</v>
      </c>
      <c r="AA32" s="3" t="s">
        <v>8914</v>
      </c>
      <c r="AB32" s="3" t="s">
        <v>8867</v>
      </c>
    </row>
    <row r="33" spans="1:28" s="3" customFormat="1" ht="48" x14ac:dyDescent="0.2">
      <c r="A33" s="435" t="s">
        <v>554</v>
      </c>
      <c r="B33" s="435"/>
      <c r="C33" s="435" t="s">
        <v>533</v>
      </c>
      <c r="D33" s="435" t="s">
        <v>555</v>
      </c>
      <c r="E33" s="436">
        <v>12836</v>
      </c>
      <c r="F33" s="437">
        <v>12844</v>
      </c>
      <c r="G33" s="438" t="s">
        <v>556</v>
      </c>
      <c r="H33" s="438" t="s">
        <v>557</v>
      </c>
      <c r="I33" s="439" t="s">
        <v>455</v>
      </c>
      <c r="J33" s="112" t="s">
        <v>63</v>
      </c>
      <c r="K33" s="440" t="str">
        <f>HYPERLINK("https://okcountyrecords.com/detail/roger+mills/1935-000201","OKCountyRecords: 1935-000201")</f>
        <v>OKCountyRecords: 1935-000201</v>
      </c>
      <c r="L33" s="442" t="s">
        <v>412</v>
      </c>
      <c r="M33" s="442" t="s">
        <v>405</v>
      </c>
      <c r="N33" s="442"/>
      <c r="O33" s="442" t="s">
        <v>422</v>
      </c>
      <c r="P33" s="3" t="s">
        <v>8854</v>
      </c>
      <c r="Q33" s="3" t="s">
        <v>118</v>
      </c>
      <c r="R33" s="3" t="s">
        <v>89</v>
      </c>
      <c r="S33" s="3" t="s">
        <v>2701</v>
      </c>
      <c r="T33" s="3" t="s">
        <v>89</v>
      </c>
      <c r="U33" s="3" t="s">
        <v>8881</v>
      </c>
      <c r="V33" s="3" t="s">
        <v>3072</v>
      </c>
      <c r="W33" s="3" t="s">
        <v>8864</v>
      </c>
      <c r="X33" s="3" t="s">
        <v>8882</v>
      </c>
      <c r="Y33" s="3" t="s">
        <v>8857</v>
      </c>
      <c r="Z33" s="3" t="s">
        <v>8858</v>
      </c>
      <c r="AA33" s="3" t="s">
        <v>8915</v>
      </c>
      <c r="AB33" s="3" t="s">
        <v>8867</v>
      </c>
    </row>
    <row r="34" spans="1:28" s="3" customFormat="1" ht="120" x14ac:dyDescent="0.2">
      <c r="A34" s="435" t="s">
        <v>558</v>
      </c>
      <c r="B34" s="435"/>
      <c r="C34" s="435" t="s">
        <v>545</v>
      </c>
      <c r="D34" s="435" t="s">
        <v>559</v>
      </c>
      <c r="E34" s="436">
        <v>13094</v>
      </c>
      <c r="F34" s="437">
        <v>13121</v>
      </c>
      <c r="G34" s="438" t="s">
        <v>539</v>
      </c>
      <c r="H34" s="438" t="s">
        <v>560</v>
      </c>
      <c r="I34" s="439" t="s">
        <v>561</v>
      </c>
      <c r="J34" s="112" t="s">
        <v>8667</v>
      </c>
      <c r="K34" s="440" t="str">
        <f>HYPERLINK("https://okcountyrecords.com/detail/roger+mills/1935-000554","OKCountyRecords: 1935-000554")</f>
        <v>OKCountyRecords: 1935-000554</v>
      </c>
      <c r="L34" s="442" t="s">
        <v>543</v>
      </c>
      <c r="M34" s="442" t="s">
        <v>405</v>
      </c>
      <c r="N34" s="442"/>
      <c r="O34" s="442" t="s">
        <v>428</v>
      </c>
      <c r="P34" s="3" t="s">
        <v>8910</v>
      </c>
      <c r="Q34" s="3" t="s">
        <v>118</v>
      </c>
      <c r="R34" s="3" t="s">
        <v>89</v>
      </c>
      <c r="S34" s="3" t="s">
        <v>2701</v>
      </c>
      <c r="T34" s="3" t="s">
        <v>89</v>
      </c>
      <c r="U34" s="3" t="s">
        <v>8911</v>
      </c>
      <c r="V34" s="3" t="s">
        <v>3072</v>
      </c>
      <c r="W34" s="3" t="s">
        <v>8864</v>
      </c>
      <c r="X34" s="3" t="s">
        <v>2701</v>
      </c>
      <c r="Y34" s="3" t="s">
        <v>8857</v>
      </c>
      <c r="Z34" s="3" t="s">
        <v>8858</v>
      </c>
      <c r="AA34" s="3" t="s">
        <v>8916</v>
      </c>
      <c r="AB34" s="3" t="s">
        <v>8867</v>
      </c>
    </row>
    <row r="35" spans="1:28" s="3" customFormat="1" ht="48" x14ac:dyDescent="0.2">
      <c r="A35" s="435" t="s">
        <v>562</v>
      </c>
      <c r="B35" s="435"/>
      <c r="C35" s="435" t="s">
        <v>545</v>
      </c>
      <c r="D35" s="435" t="s">
        <v>563</v>
      </c>
      <c r="E35" s="436">
        <v>13545</v>
      </c>
      <c r="F35" s="437">
        <v>13545</v>
      </c>
      <c r="G35" s="438" t="s">
        <v>564</v>
      </c>
      <c r="H35" s="438" t="s">
        <v>560</v>
      </c>
      <c r="I35" s="439" t="s">
        <v>455</v>
      </c>
      <c r="J35" s="112" t="s">
        <v>565</v>
      </c>
      <c r="K35" s="440" t="str">
        <f>HYPERLINK("https://okcountyrecords.com/detail/roger+mills/1937-000416","OKCountyRecords: 1937-000416")</f>
        <v>OKCountyRecords: 1937-000416</v>
      </c>
      <c r="L35" s="442" t="s">
        <v>412</v>
      </c>
      <c r="M35" s="442" t="s">
        <v>405</v>
      </c>
      <c r="N35" s="442"/>
      <c r="O35" s="442" t="s">
        <v>422</v>
      </c>
      <c r="P35" s="3" t="s">
        <v>8854</v>
      </c>
      <c r="Q35" s="3" t="s">
        <v>118</v>
      </c>
      <c r="R35" s="3" t="s">
        <v>89</v>
      </c>
      <c r="S35" s="3" t="s">
        <v>2701</v>
      </c>
      <c r="T35" s="3" t="s">
        <v>89</v>
      </c>
      <c r="U35" s="3" t="s">
        <v>8881</v>
      </c>
      <c r="V35" s="3" t="s">
        <v>3072</v>
      </c>
      <c r="W35" s="3" t="s">
        <v>9623</v>
      </c>
      <c r="X35" s="3" t="s">
        <v>8882</v>
      </c>
      <c r="Y35" s="3" t="s">
        <v>8857</v>
      </c>
      <c r="Z35" s="3" t="s">
        <v>8858</v>
      </c>
      <c r="AA35" s="3" t="s">
        <v>8917</v>
      </c>
      <c r="AB35" s="3" t="s">
        <v>8867</v>
      </c>
    </row>
    <row r="36" spans="1:28" s="3" customFormat="1" ht="60" x14ac:dyDescent="0.2">
      <c r="A36" s="435" t="s">
        <v>566</v>
      </c>
      <c r="B36" s="435"/>
      <c r="C36" s="435" t="s">
        <v>461</v>
      </c>
      <c r="D36" s="435" t="s">
        <v>567</v>
      </c>
      <c r="E36" s="436">
        <v>13938</v>
      </c>
      <c r="F36" s="437">
        <v>13924</v>
      </c>
      <c r="G36" s="438" t="s">
        <v>568</v>
      </c>
      <c r="H36" s="438" t="s">
        <v>102</v>
      </c>
      <c r="I36" s="443" t="s">
        <v>569</v>
      </c>
      <c r="J36" s="112" t="s">
        <v>8668</v>
      </c>
      <c r="K36" s="440" t="str">
        <f>HYPERLINK("https://okcountyrecords.com/detail/roger+mills/1938-000632","OKCountyRecords: 1938-000632")</f>
        <v>OKCountyRecords: 1938-000632</v>
      </c>
      <c r="L36" s="442" t="s">
        <v>503</v>
      </c>
      <c r="M36" s="442" t="s">
        <v>467</v>
      </c>
      <c r="N36" s="442" t="s">
        <v>504</v>
      </c>
      <c r="O36" s="442" t="s">
        <v>422</v>
      </c>
      <c r="P36" s="3" t="s">
        <v>8886</v>
      </c>
      <c r="Q36" s="3" t="s">
        <v>118</v>
      </c>
      <c r="R36" s="3" t="s">
        <v>89</v>
      </c>
      <c r="S36" s="3" t="s">
        <v>118</v>
      </c>
      <c r="T36" s="3" t="s">
        <v>89</v>
      </c>
      <c r="U36" s="3" t="s">
        <v>8896</v>
      </c>
      <c r="V36" s="3" t="s">
        <v>3386</v>
      </c>
      <c r="W36" s="3" t="s">
        <v>8864</v>
      </c>
      <c r="X36" s="3" t="s">
        <v>2701</v>
      </c>
      <c r="Y36" s="3" t="s">
        <v>8851</v>
      </c>
      <c r="Z36" s="3" t="s">
        <v>2701</v>
      </c>
      <c r="AA36" s="3" t="s">
        <v>8918</v>
      </c>
      <c r="AB36" s="3" t="s">
        <v>8888</v>
      </c>
    </row>
    <row r="37" spans="1:28" s="3" customFormat="1" ht="48" x14ac:dyDescent="0.2">
      <c r="A37" s="435" t="s">
        <v>571</v>
      </c>
      <c r="B37" s="435"/>
      <c r="C37" s="435" t="s">
        <v>533</v>
      </c>
      <c r="D37" s="435" t="s">
        <v>572</v>
      </c>
      <c r="E37" s="436">
        <v>14235</v>
      </c>
      <c r="F37" s="437">
        <v>14289</v>
      </c>
      <c r="G37" s="438" t="s">
        <v>573</v>
      </c>
      <c r="H37" s="438" t="s">
        <v>557</v>
      </c>
      <c r="I37" s="439" t="s">
        <v>514</v>
      </c>
      <c r="J37" s="112" t="s">
        <v>8669</v>
      </c>
      <c r="K37" s="440" t="str">
        <f>HYPERLINK("https://okcountyrecords.com/detail/roger+mills/1939-001120","OKCountyRecords: 1939-001120")</f>
        <v>OKCountyRecords: 1939-001120</v>
      </c>
      <c r="L37" s="442" t="s">
        <v>412</v>
      </c>
      <c r="M37" s="442" t="s">
        <v>405</v>
      </c>
      <c r="N37" s="442"/>
      <c r="O37" s="442" t="s">
        <v>413</v>
      </c>
      <c r="P37" s="3" t="s">
        <v>8854</v>
      </c>
      <c r="Q37" s="3" t="s">
        <v>118</v>
      </c>
      <c r="R37" s="3" t="s">
        <v>89</v>
      </c>
      <c r="S37" s="3" t="s">
        <v>2701</v>
      </c>
      <c r="T37" s="3" t="s">
        <v>89</v>
      </c>
      <c r="U37" s="3" t="s">
        <v>8881</v>
      </c>
      <c r="V37" s="3" t="s">
        <v>3072</v>
      </c>
      <c r="W37" s="3" t="s">
        <v>8855</v>
      </c>
      <c r="X37" s="3" t="s">
        <v>8882</v>
      </c>
      <c r="Y37" s="3" t="s">
        <v>8857</v>
      </c>
      <c r="Z37" s="3" t="s">
        <v>8858</v>
      </c>
      <c r="AA37" s="3" t="s">
        <v>8919</v>
      </c>
      <c r="AB37" s="3" t="s">
        <v>8860</v>
      </c>
    </row>
    <row r="38" spans="1:28" s="3" customFormat="1" ht="48" x14ac:dyDescent="0.2">
      <c r="A38" s="435" t="s">
        <v>574</v>
      </c>
      <c r="B38" s="435"/>
      <c r="C38" s="435" t="s">
        <v>575</v>
      </c>
      <c r="D38" s="435" t="s">
        <v>576</v>
      </c>
      <c r="E38" s="436">
        <v>15490</v>
      </c>
      <c r="F38" s="437">
        <v>15490</v>
      </c>
      <c r="G38" s="438" t="s">
        <v>577</v>
      </c>
      <c r="H38" s="438" t="s">
        <v>578</v>
      </c>
      <c r="I38" s="439" t="s">
        <v>579</v>
      </c>
      <c r="J38" s="112" t="s">
        <v>580</v>
      </c>
      <c r="K38" s="440" t="str">
        <f>HYPERLINK("https://okcountyrecords.com/detail/roger+mills/1942-000630","OKCountyRecords: 1942-000630")</f>
        <v>OKCountyRecords: 1942-000630</v>
      </c>
      <c r="L38" s="442" t="s">
        <v>412</v>
      </c>
      <c r="M38" s="442" t="s">
        <v>405</v>
      </c>
      <c r="N38" s="442"/>
      <c r="O38" s="442" t="s">
        <v>422</v>
      </c>
      <c r="P38" s="3" t="s">
        <v>8886</v>
      </c>
      <c r="Q38" s="3" t="s">
        <v>118</v>
      </c>
      <c r="R38" s="3" t="s">
        <v>89</v>
      </c>
      <c r="S38" s="3" t="s">
        <v>118</v>
      </c>
      <c r="T38" s="3" t="s">
        <v>89</v>
      </c>
      <c r="U38" s="3" t="s">
        <v>8901</v>
      </c>
      <c r="V38" s="3" t="s">
        <v>3072</v>
      </c>
      <c r="W38" s="3" t="s">
        <v>8864</v>
      </c>
      <c r="X38" s="3" t="s">
        <v>2701</v>
      </c>
      <c r="Y38" s="3" t="s">
        <v>8857</v>
      </c>
      <c r="Z38" s="3" t="s">
        <v>8858</v>
      </c>
      <c r="AA38" s="3" t="s">
        <v>8920</v>
      </c>
      <c r="AB38" s="3" t="s">
        <v>8867</v>
      </c>
    </row>
    <row r="39" spans="1:28" s="3" customFormat="1" ht="84" x14ac:dyDescent="0.2">
      <c r="A39" s="435" t="s">
        <v>581</v>
      </c>
      <c r="B39" s="435"/>
      <c r="C39" s="435" t="s">
        <v>545</v>
      </c>
      <c r="D39" s="435" t="s">
        <v>582</v>
      </c>
      <c r="E39" s="436">
        <v>16434</v>
      </c>
      <c r="F39" s="437">
        <v>16508</v>
      </c>
      <c r="G39" s="438" t="s">
        <v>583</v>
      </c>
      <c r="H39" s="438" t="s">
        <v>560</v>
      </c>
      <c r="I39" s="439" t="s">
        <v>432</v>
      </c>
      <c r="J39" s="112" t="s">
        <v>8670</v>
      </c>
      <c r="K39" s="440" t="str">
        <f>HYPERLINK("https://okcountyrecords.com/detail/roger+mills/1945-000171","OKCountyRecords: 1945-000171")</f>
        <v>OKCountyRecords: 1945-000171</v>
      </c>
      <c r="L39" s="442" t="s">
        <v>412</v>
      </c>
      <c r="M39" s="442" t="s">
        <v>405</v>
      </c>
      <c r="N39" s="442"/>
      <c r="O39" s="442" t="s">
        <v>413</v>
      </c>
      <c r="P39" s="3" t="s">
        <v>8854</v>
      </c>
      <c r="Q39" s="3" t="s">
        <v>118</v>
      </c>
      <c r="R39" s="3" t="s">
        <v>89</v>
      </c>
      <c r="S39" s="3" t="s">
        <v>2701</v>
      </c>
      <c r="T39" s="3" t="s">
        <v>89</v>
      </c>
      <c r="U39" s="3" t="s">
        <v>8868</v>
      </c>
      <c r="V39" s="3" t="s">
        <v>2701</v>
      </c>
      <c r="W39" s="3" t="s">
        <v>8855</v>
      </c>
      <c r="X39" s="3" t="s">
        <v>8869</v>
      </c>
      <c r="Y39" s="3" t="s">
        <v>8857</v>
      </c>
      <c r="Z39" s="3" t="s">
        <v>8858</v>
      </c>
      <c r="AA39" s="3" t="s">
        <v>8921</v>
      </c>
      <c r="AB39" s="3" t="s">
        <v>8922</v>
      </c>
    </row>
    <row r="40" spans="1:28" s="3" customFormat="1" ht="60" x14ac:dyDescent="0.2">
      <c r="A40" s="435" t="s">
        <v>584</v>
      </c>
      <c r="B40" s="435"/>
      <c r="C40" s="435" t="s">
        <v>585</v>
      </c>
      <c r="D40" s="435" t="s">
        <v>586</v>
      </c>
      <c r="E40" s="436">
        <v>16439</v>
      </c>
      <c r="F40" s="437">
        <v>16439</v>
      </c>
      <c r="G40" s="438" t="s">
        <v>587</v>
      </c>
      <c r="H40" s="438" t="s">
        <v>588</v>
      </c>
      <c r="I40" s="443" t="s">
        <v>589</v>
      </c>
      <c r="J40" s="112" t="s">
        <v>63</v>
      </c>
      <c r="K40" s="440" t="str">
        <f>HYPERLINK("https://okcountyrecords.com/detail/roger+mills/1945-000816","OKCountyRecords: 1945-000816")</f>
        <v>OKCountyRecords: 1945-000816</v>
      </c>
      <c r="L40" s="442" t="s">
        <v>412</v>
      </c>
      <c r="M40" s="442" t="s">
        <v>405</v>
      </c>
      <c r="N40" s="442"/>
      <c r="O40" s="442" t="s">
        <v>422</v>
      </c>
      <c r="P40" s="3" t="s">
        <v>8886</v>
      </c>
      <c r="Q40" s="3" t="s">
        <v>118</v>
      </c>
      <c r="R40" s="3" t="s">
        <v>89</v>
      </c>
      <c r="S40" s="3" t="s">
        <v>118</v>
      </c>
      <c r="T40" s="3" t="s">
        <v>89</v>
      </c>
      <c r="U40" s="3" t="s">
        <v>8868</v>
      </c>
      <c r="V40" s="3" t="s">
        <v>2701</v>
      </c>
      <c r="W40" s="3" t="s">
        <v>8864</v>
      </c>
      <c r="X40" s="3" t="s">
        <v>8869</v>
      </c>
      <c r="Y40" s="3" t="s">
        <v>8857</v>
      </c>
      <c r="Z40" s="3" t="s">
        <v>8858</v>
      </c>
      <c r="AA40" s="3" t="s">
        <v>8923</v>
      </c>
      <c r="AB40" s="3" t="s">
        <v>8877</v>
      </c>
    </row>
    <row r="41" spans="1:28" s="3" customFormat="1" ht="60" x14ac:dyDescent="0.2">
      <c r="A41" s="435" t="s">
        <v>590</v>
      </c>
      <c r="B41" s="435"/>
      <c r="C41" s="435" t="s">
        <v>591</v>
      </c>
      <c r="D41" s="435" t="s">
        <v>592</v>
      </c>
      <c r="E41" s="436">
        <v>17950</v>
      </c>
      <c r="F41" s="437">
        <v>17991</v>
      </c>
      <c r="G41" s="438" t="s">
        <v>593</v>
      </c>
      <c r="H41" s="438" t="s">
        <v>594</v>
      </c>
      <c r="I41" s="443" t="s">
        <v>530</v>
      </c>
      <c r="J41" s="112" t="s">
        <v>8671</v>
      </c>
      <c r="K41" s="440" t="str">
        <f>HYPERLINK("https://okcountyrecords.com/detail/roger+mills/1949-002138","OKCountyRecords: 1949-002138")</f>
        <v>OKCountyRecords: 1949-002138</v>
      </c>
      <c r="L41" s="442" t="s">
        <v>503</v>
      </c>
      <c r="M41" s="442"/>
      <c r="N41" s="442"/>
      <c r="O41" s="442" t="s">
        <v>422</v>
      </c>
      <c r="P41" s="3" t="s">
        <v>8903</v>
      </c>
      <c r="Q41" s="3" t="s">
        <v>2701</v>
      </c>
      <c r="R41" s="3" t="s">
        <v>2701</v>
      </c>
      <c r="S41" s="3" t="s">
        <v>2701</v>
      </c>
      <c r="T41" s="3" t="s">
        <v>2701</v>
      </c>
      <c r="U41" s="3" t="s">
        <v>8896</v>
      </c>
      <c r="V41" s="3" t="s">
        <v>3386</v>
      </c>
      <c r="W41" s="3" t="s">
        <v>8864</v>
      </c>
      <c r="X41" s="3" t="s">
        <v>2701</v>
      </c>
      <c r="Y41" s="3" t="s">
        <v>8851</v>
      </c>
      <c r="Z41" s="3" t="s">
        <v>2701</v>
      </c>
      <c r="AA41" s="3" t="s">
        <v>8924</v>
      </c>
      <c r="AB41" s="3" t="s">
        <v>8905</v>
      </c>
    </row>
    <row r="42" spans="1:28" s="3" customFormat="1" ht="48" x14ac:dyDescent="0.2">
      <c r="A42" s="435" t="s">
        <v>596</v>
      </c>
      <c r="B42" s="435"/>
      <c r="C42" s="435" t="s">
        <v>545</v>
      </c>
      <c r="D42" s="435" t="s">
        <v>597</v>
      </c>
      <c r="E42" s="436">
        <v>17950</v>
      </c>
      <c r="F42" s="437">
        <v>18112</v>
      </c>
      <c r="G42" s="438" t="s">
        <v>598</v>
      </c>
      <c r="H42" s="438" t="s">
        <v>599</v>
      </c>
      <c r="I42" s="439" t="s">
        <v>600</v>
      </c>
      <c r="J42" s="383" t="s">
        <v>601</v>
      </c>
      <c r="K42" s="440" t="str">
        <f>HYPERLINK("https://okcountyrecords.com/detail/roger+mills/1949-000814","OKCountyRecords: 1949-000814")</f>
        <v>OKCountyRecords: 1949-000814</v>
      </c>
      <c r="L42" s="442" t="s">
        <v>412</v>
      </c>
      <c r="M42" s="442" t="s">
        <v>405</v>
      </c>
      <c r="N42" s="442"/>
      <c r="O42" s="442" t="s">
        <v>428</v>
      </c>
      <c r="P42" s="3" t="s">
        <v>8854</v>
      </c>
      <c r="Q42" s="3" t="s">
        <v>118</v>
      </c>
      <c r="R42" s="3" t="s">
        <v>89</v>
      </c>
      <c r="S42" s="3" t="s">
        <v>2701</v>
      </c>
      <c r="T42" s="3" t="s">
        <v>89</v>
      </c>
      <c r="U42" s="3" t="s">
        <v>8925</v>
      </c>
      <c r="V42" s="3" t="s">
        <v>2701</v>
      </c>
      <c r="W42" s="3" t="s">
        <v>8864</v>
      </c>
      <c r="X42" s="3" t="s">
        <v>8882</v>
      </c>
      <c r="Y42" s="3" t="s">
        <v>8899</v>
      </c>
      <c r="Z42" s="3" t="s">
        <v>8858</v>
      </c>
      <c r="AA42" s="3" t="s">
        <v>8926</v>
      </c>
      <c r="AB42" s="3" t="s">
        <v>8877</v>
      </c>
    </row>
    <row r="43" spans="1:28" s="3" customFormat="1" ht="60" x14ac:dyDescent="0.2">
      <c r="A43" s="435" t="s">
        <v>603</v>
      </c>
      <c r="B43" s="435"/>
      <c r="C43" s="435" t="s">
        <v>604</v>
      </c>
      <c r="D43" s="435" t="s">
        <v>605</v>
      </c>
      <c r="E43" s="436">
        <v>17986</v>
      </c>
      <c r="F43" s="437">
        <v>17986</v>
      </c>
      <c r="G43" s="438" t="s">
        <v>606</v>
      </c>
      <c r="H43" s="438" t="s">
        <v>102</v>
      </c>
      <c r="I43" s="439" t="s">
        <v>607</v>
      </c>
      <c r="J43" s="383" t="s">
        <v>608</v>
      </c>
      <c r="K43" s="440" t="str">
        <f>HYPERLINK("https://okcountyrecords.com/detail/roger+mills/1949-002129","OKCountyRecords: 1949-002129")</f>
        <v>OKCountyRecords: 1949-002129</v>
      </c>
      <c r="L43" s="442" t="s">
        <v>503</v>
      </c>
      <c r="M43" s="442" t="s">
        <v>467</v>
      </c>
      <c r="N43" s="442" t="s">
        <v>504</v>
      </c>
      <c r="O43" s="442" t="s">
        <v>422</v>
      </c>
      <c r="P43" s="3" t="s">
        <v>8886</v>
      </c>
      <c r="Q43" s="3" t="s">
        <v>118</v>
      </c>
      <c r="R43" s="3" t="s">
        <v>89</v>
      </c>
      <c r="S43" s="3" t="s">
        <v>118</v>
      </c>
      <c r="T43" s="3" t="s">
        <v>89</v>
      </c>
      <c r="U43" s="3" t="s">
        <v>8927</v>
      </c>
      <c r="V43" s="3" t="s">
        <v>2701</v>
      </c>
      <c r="W43" s="3" t="s">
        <v>8864</v>
      </c>
      <c r="X43" s="3" t="s">
        <v>2701</v>
      </c>
      <c r="Y43" s="3" t="s">
        <v>8928</v>
      </c>
      <c r="Z43" s="3" t="s">
        <v>8858</v>
      </c>
      <c r="AA43" s="3" t="s">
        <v>8929</v>
      </c>
      <c r="AB43" s="3" t="s">
        <v>8877</v>
      </c>
    </row>
    <row r="44" spans="1:28" s="3" customFormat="1" ht="60" x14ac:dyDescent="0.2">
      <c r="A44" s="435" t="s">
        <v>609</v>
      </c>
      <c r="B44" s="435"/>
      <c r="C44" s="435" t="s">
        <v>545</v>
      </c>
      <c r="D44" s="435" t="s">
        <v>610</v>
      </c>
      <c r="E44" s="436">
        <v>18015</v>
      </c>
      <c r="F44" s="437">
        <v>18095</v>
      </c>
      <c r="G44" s="438" t="s">
        <v>611</v>
      </c>
      <c r="H44" s="438" t="s">
        <v>599</v>
      </c>
      <c r="I44" s="439" t="s">
        <v>612</v>
      </c>
      <c r="J44" s="112" t="s">
        <v>8672</v>
      </c>
      <c r="K44" s="440" t="str">
        <f>HYPERLINK("https://okcountyrecords.com/detail/roger+mills/1949-000809","OKCountyRecords: 1949-000809")</f>
        <v>OKCountyRecords: 1949-000809</v>
      </c>
      <c r="L44" s="442" t="s">
        <v>412</v>
      </c>
      <c r="M44" s="442" t="s">
        <v>405</v>
      </c>
      <c r="N44" s="442"/>
      <c r="O44" s="442" t="s">
        <v>428</v>
      </c>
      <c r="P44" s="3" t="s">
        <v>8854</v>
      </c>
      <c r="Q44" s="3" t="s">
        <v>118</v>
      </c>
      <c r="R44" s="3" t="s">
        <v>89</v>
      </c>
      <c r="S44" s="3" t="s">
        <v>2701</v>
      </c>
      <c r="T44" s="3" t="s">
        <v>89</v>
      </c>
      <c r="U44" s="3" t="s">
        <v>8930</v>
      </c>
      <c r="V44" s="3" t="s">
        <v>2701</v>
      </c>
      <c r="W44" s="3" t="s">
        <v>8864</v>
      </c>
      <c r="X44" s="3" t="s">
        <v>8865</v>
      </c>
      <c r="Y44" s="3" t="s">
        <v>8857</v>
      </c>
      <c r="Z44" s="3" t="s">
        <v>8858</v>
      </c>
      <c r="AA44" s="3" t="s">
        <v>8931</v>
      </c>
      <c r="AB44" s="3" t="s">
        <v>8877</v>
      </c>
    </row>
    <row r="45" spans="1:28" s="3" customFormat="1" ht="72" x14ac:dyDescent="0.2">
      <c r="A45" s="435" t="s">
        <v>614</v>
      </c>
      <c r="B45" s="435"/>
      <c r="C45" s="435" t="s">
        <v>533</v>
      </c>
      <c r="D45" s="435" t="s">
        <v>615</v>
      </c>
      <c r="E45" s="436">
        <v>18056</v>
      </c>
      <c r="F45" s="437">
        <v>18084</v>
      </c>
      <c r="G45" s="438" t="s">
        <v>616</v>
      </c>
      <c r="H45" s="438" t="s">
        <v>594</v>
      </c>
      <c r="I45" s="439" t="s">
        <v>617</v>
      </c>
      <c r="J45" s="383" t="s">
        <v>8673</v>
      </c>
      <c r="K45" s="440" t="str">
        <f>HYPERLINK("https://okcountyrecords.com/detail/roger+mills/1949-003394","OKCountyRecords: 1949-003394")</f>
        <v>OKCountyRecords: 1949-003394</v>
      </c>
      <c r="L45" s="442" t="s">
        <v>412</v>
      </c>
      <c r="M45" s="442" t="s">
        <v>405</v>
      </c>
      <c r="N45" s="442"/>
      <c r="O45" s="442" t="s">
        <v>428</v>
      </c>
      <c r="P45" s="3" t="s">
        <v>8854</v>
      </c>
      <c r="Q45" s="3" t="s">
        <v>118</v>
      </c>
      <c r="R45" s="3" t="s">
        <v>89</v>
      </c>
      <c r="S45" s="3" t="s">
        <v>2701</v>
      </c>
      <c r="T45" s="3" t="s">
        <v>89</v>
      </c>
      <c r="U45" s="3" t="s">
        <v>8932</v>
      </c>
      <c r="V45" s="3" t="s">
        <v>2701</v>
      </c>
      <c r="W45" s="3" t="s">
        <v>8864</v>
      </c>
      <c r="X45" s="3" t="s">
        <v>8873</v>
      </c>
      <c r="Y45" s="3" t="s">
        <v>8857</v>
      </c>
      <c r="Z45" s="3" t="s">
        <v>8858</v>
      </c>
      <c r="AA45" s="3" t="s">
        <v>8933</v>
      </c>
      <c r="AB45" s="3" t="s">
        <v>8877</v>
      </c>
    </row>
    <row r="46" spans="1:28" s="3" customFormat="1" ht="48" x14ac:dyDescent="0.2">
      <c r="A46" s="435" t="s">
        <v>618</v>
      </c>
      <c r="B46" s="435"/>
      <c r="C46" s="435" t="s">
        <v>619</v>
      </c>
      <c r="D46" s="435" t="s">
        <v>620</v>
      </c>
      <c r="E46" s="436">
        <v>18170</v>
      </c>
      <c r="F46" s="437">
        <v>18170</v>
      </c>
      <c r="G46" s="438" t="s">
        <v>621</v>
      </c>
      <c r="H46" s="438" t="s">
        <v>622</v>
      </c>
      <c r="I46" s="439" t="s">
        <v>623</v>
      </c>
      <c r="J46" s="383" t="s">
        <v>624</v>
      </c>
      <c r="K46" s="440" t="str">
        <f>HYPERLINK("https://okcountyrecords.com/detail/roger+mills/1949-001867","OKCountyRecords: 1949-001867")</f>
        <v>OKCountyRecords: 1949-001867</v>
      </c>
      <c r="L46" s="442" t="s">
        <v>412</v>
      </c>
      <c r="M46" s="442" t="s">
        <v>405</v>
      </c>
      <c r="N46" s="442" t="s">
        <v>626</v>
      </c>
      <c r="O46" s="442" t="s">
        <v>422</v>
      </c>
      <c r="P46" s="3" t="s">
        <v>8934</v>
      </c>
      <c r="Q46" s="3" t="s">
        <v>118</v>
      </c>
      <c r="R46" s="3" t="s">
        <v>89</v>
      </c>
      <c r="S46" s="3" t="s">
        <v>118</v>
      </c>
      <c r="T46" s="3" t="s">
        <v>89</v>
      </c>
      <c r="U46" s="3" t="s">
        <v>8935</v>
      </c>
      <c r="V46" s="3" t="s">
        <v>2701</v>
      </c>
      <c r="W46" s="3" t="s">
        <v>8864</v>
      </c>
      <c r="X46" s="3" t="s">
        <v>8869</v>
      </c>
      <c r="Y46" s="3" t="s">
        <v>8936</v>
      </c>
      <c r="Z46" s="3" t="s">
        <v>8858</v>
      </c>
      <c r="AA46" s="3" t="s">
        <v>8937</v>
      </c>
      <c r="AB46" s="3" t="s">
        <v>8877</v>
      </c>
    </row>
    <row r="47" spans="1:28" s="3" customFormat="1" ht="48" x14ac:dyDescent="0.2">
      <c r="A47" s="435" t="s">
        <v>627</v>
      </c>
      <c r="B47" s="435"/>
      <c r="C47" s="435" t="s">
        <v>545</v>
      </c>
      <c r="D47" s="435" t="s">
        <v>628</v>
      </c>
      <c r="E47" s="437">
        <v>18420</v>
      </c>
      <c r="F47" s="437">
        <v>18420</v>
      </c>
      <c r="G47" s="438" t="s">
        <v>621</v>
      </c>
      <c r="H47" s="438" t="s">
        <v>599</v>
      </c>
      <c r="I47" s="439" t="s">
        <v>623</v>
      </c>
      <c r="J47" s="112" t="s">
        <v>629</v>
      </c>
      <c r="K47" s="440" t="str">
        <f>HYPERLINK("https://okcountyrecords.com/detail/roger+mills/1950-000383","OKCountyRecords: 1950-000383")</f>
        <v>OKCountyRecords: 1950-000383</v>
      </c>
      <c r="L47" s="442" t="s">
        <v>412</v>
      </c>
      <c r="M47" s="442" t="s">
        <v>405</v>
      </c>
      <c r="N47" s="442"/>
      <c r="O47" s="442" t="s">
        <v>422</v>
      </c>
      <c r="P47" s="3" t="s">
        <v>8854</v>
      </c>
      <c r="Q47" s="3" t="s">
        <v>118</v>
      </c>
      <c r="R47" s="3" t="s">
        <v>89</v>
      </c>
      <c r="S47" s="3" t="s">
        <v>2701</v>
      </c>
      <c r="T47" s="3" t="s">
        <v>89</v>
      </c>
      <c r="U47" s="3" t="s">
        <v>8935</v>
      </c>
      <c r="V47" s="3" t="s">
        <v>2701</v>
      </c>
      <c r="W47" s="3" t="s">
        <v>8864</v>
      </c>
      <c r="X47" s="3" t="s">
        <v>8882</v>
      </c>
      <c r="Y47" s="3" t="s">
        <v>8857</v>
      </c>
      <c r="Z47" s="3" t="s">
        <v>8858</v>
      </c>
      <c r="AA47" s="3" t="s">
        <v>8938</v>
      </c>
      <c r="AB47" s="3" t="s">
        <v>8877</v>
      </c>
    </row>
    <row r="48" spans="1:28" s="3" customFormat="1" ht="48" x14ac:dyDescent="0.2">
      <c r="A48" s="435" t="s">
        <v>630</v>
      </c>
      <c r="B48" s="444"/>
      <c r="C48" s="444" t="s">
        <v>545</v>
      </c>
      <c r="D48" s="444" t="s">
        <v>631</v>
      </c>
      <c r="E48" s="445">
        <v>19396</v>
      </c>
      <c r="F48" s="437">
        <v>19396</v>
      </c>
      <c r="G48" s="443" t="s">
        <v>632</v>
      </c>
      <c r="H48" s="443" t="s">
        <v>633</v>
      </c>
      <c r="I48" s="439" t="s">
        <v>634</v>
      </c>
      <c r="J48" s="112" t="s">
        <v>8674</v>
      </c>
      <c r="K48" s="440" t="str">
        <f>HYPERLINK("https://okcountyrecords.com/detail/roger+mills/1953-000493","OKCountyRecords: 1953-000493")</f>
        <v>OKCountyRecords: 1953-000493</v>
      </c>
      <c r="L48" s="442" t="s">
        <v>412</v>
      </c>
      <c r="M48" s="442" t="s">
        <v>405</v>
      </c>
      <c r="N48" s="442"/>
      <c r="O48" s="442" t="s">
        <v>413</v>
      </c>
      <c r="P48" s="3" t="s">
        <v>8854</v>
      </c>
      <c r="Q48" s="3" t="s">
        <v>118</v>
      </c>
      <c r="R48" s="3" t="s">
        <v>89</v>
      </c>
      <c r="S48" s="3" t="s">
        <v>2701</v>
      </c>
      <c r="T48" s="3" t="s">
        <v>89</v>
      </c>
      <c r="U48" s="3" t="s">
        <v>8939</v>
      </c>
      <c r="V48" s="3" t="s">
        <v>2701</v>
      </c>
      <c r="W48" s="3" t="s">
        <v>8855</v>
      </c>
      <c r="X48" s="3" t="s">
        <v>8869</v>
      </c>
      <c r="Y48" s="3" t="s">
        <v>8857</v>
      </c>
      <c r="Z48" s="3" t="s">
        <v>8858</v>
      </c>
      <c r="AA48" s="3" t="s">
        <v>8940</v>
      </c>
      <c r="AB48" s="3" t="s">
        <v>8922</v>
      </c>
    </row>
    <row r="49" spans="1:28" s="3" customFormat="1" ht="48" x14ac:dyDescent="0.2">
      <c r="A49" s="435" t="s">
        <v>636</v>
      </c>
      <c r="B49" s="435"/>
      <c r="C49" s="435" t="s">
        <v>545</v>
      </c>
      <c r="D49" s="435" t="s">
        <v>637</v>
      </c>
      <c r="E49" s="436">
        <v>19414</v>
      </c>
      <c r="F49" s="437">
        <v>19417</v>
      </c>
      <c r="G49" s="438" t="s">
        <v>638</v>
      </c>
      <c r="H49" s="438" t="s">
        <v>639</v>
      </c>
      <c r="I49" s="439" t="s">
        <v>612</v>
      </c>
      <c r="J49" s="112" t="s">
        <v>640</v>
      </c>
      <c r="K49" s="440" t="str">
        <f>HYPERLINK("https://okcountyrecords.com/detail/roger+mills/1953-000498","OKCountyRecords: 1953-000498")</f>
        <v>OKCountyRecords: 1953-000498</v>
      </c>
      <c r="L49" s="442" t="s">
        <v>412</v>
      </c>
      <c r="M49" s="442" t="s">
        <v>641</v>
      </c>
      <c r="N49" s="442" t="s">
        <v>642</v>
      </c>
      <c r="O49" s="442" t="s">
        <v>428</v>
      </c>
      <c r="P49" s="3" t="s">
        <v>8854</v>
      </c>
      <c r="Q49" s="3" t="s">
        <v>118</v>
      </c>
      <c r="R49" s="3" t="s">
        <v>89</v>
      </c>
      <c r="S49" s="3" t="s">
        <v>2701</v>
      </c>
      <c r="T49" s="3" t="s">
        <v>89</v>
      </c>
      <c r="U49" s="3" t="s">
        <v>8930</v>
      </c>
      <c r="V49" s="3" t="s">
        <v>2701</v>
      </c>
      <c r="W49" s="3" t="s">
        <v>9624</v>
      </c>
      <c r="X49" s="3" t="s">
        <v>2701</v>
      </c>
      <c r="Y49" s="3" t="s">
        <v>8941</v>
      </c>
      <c r="Z49" s="3" t="s">
        <v>8858</v>
      </c>
      <c r="AA49" s="3" t="s">
        <v>8942</v>
      </c>
      <c r="AB49" s="3" t="s">
        <v>8877</v>
      </c>
    </row>
    <row r="50" spans="1:28" s="3" customFormat="1" ht="60" x14ac:dyDescent="0.2">
      <c r="A50" s="435" t="s">
        <v>643</v>
      </c>
      <c r="B50" s="435"/>
      <c r="C50" s="435" t="s">
        <v>591</v>
      </c>
      <c r="D50" s="435" t="s">
        <v>644</v>
      </c>
      <c r="E50" s="436">
        <v>20844</v>
      </c>
      <c r="F50" s="437">
        <v>20876</v>
      </c>
      <c r="G50" s="438" t="s">
        <v>645</v>
      </c>
      <c r="H50" s="438" t="s">
        <v>646</v>
      </c>
      <c r="I50" s="443" t="s">
        <v>530</v>
      </c>
      <c r="J50" s="112" t="s">
        <v>8675</v>
      </c>
      <c r="K50" s="440" t="str">
        <f>HYPERLINK("https://okcountyrecords.com/detail/roger+mills/1957-001086","OKCountyRecords: 1957-001086")</f>
        <v>OKCountyRecords: 1957-001086</v>
      </c>
      <c r="L50" s="442" t="s">
        <v>503</v>
      </c>
      <c r="M50" s="442"/>
      <c r="N50" s="442"/>
      <c r="O50" s="442" t="s">
        <v>422</v>
      </c>
      <c r="P50" s="3" t="s">
        <v>8903</v>
      </c>
      <c r="Q50" s="3" t="s">
        <v>2701</v>
      </c>
      <c r="R50" s="3" t="s">
        <v>2701</v>
      </c>
      <c r="S50" s="3" t="s">
        <v>2701</v>
      </c>
      <c r="T50" s="3" t="s">
        <v>2701</v>
      </c>
      <c r="U50" s="3" t="s">
        <v>8896</v>
      </c>
      <c r="V50" s="3" t="s">
        <v>3386</v>
      </c>
      <c r="W50" s="3" t="s">
        <v>8864</v>
      </c>
      <c r="X50" s="3" t="s">
        <v>2701</v>
      </c>
      <c r="Y50" s="3" t="s">
        <v>8851</v>
      </c>
      <c r="Z50" s="3" t="s">
        <v>2701</v>
      </c>
      <c r="AA50" s="3" t="s">
        <v>8943</v>
      </c>
      <c r="AB50" s="3" t="s">
        <v>8905</v>
      </c>
    </row>
    <row r="51" spans="1:28" s="3" customFormat="1" ht="60" x14ac:dyDescent="0.2">
      <c r="A51" s="435" t="s">
        <v>648</v>
      </c>
      <c r="B51" s="435"/>
      <c r="C51" s="435" t="s">
        <v>649</v>
      </c>
      <c r="D51" s="435" t="s">
        <v>650</v>
      </c>
      <c r="E51" s="436">
        <v>21957</v>
      </c>
      <c r="F51" s="437">
        <v>21969</v>
      </c>
      <c r="G51" s="438" t="s">
        <v>651</v>
      </c>
      <c r="H51" s="438" t="s">
        <v>102</v>
      </c>
      <c r="I51" s="443" t="s">
        <v>530</v>
      </c>
      <c r="J51" s="112" t="s">
        <v>8676</v>
      </c>
      <c r="K51" s="440" t="str">
        <f>HYPERLINK("https://okcountyrecords.com/detail/roger+mills/1960-000414","OKCountyRecords: 1960-000414")</f>
        <v>OKCountyRecords: 1960-000414</v>
      </c>
      <c r="L51" s="442" t="s">
        <v>653</v>
      </c>
      <c r="M51" s="442" t="s">
        <v>467</v>
      </c>
      <c r="N51" s="442" t="s">
        <v>654</v>
      </c>
      <c r="O51" s="442" t="s">
        <v>422</v>
      </c>
      <c r="P51" s="3" t="s">
        <v>8886</v>
      </c>
      <c r="Q51" s="3" t="s">
        <v>118</v>
      </c>
      <c r="R51" s="3" t="s">
        <v>89</v>
      </c>
      <c r="S51" s="3" t="s">
        <v>118</v>
      </c>
      <c r="T51" s="3" t="s">
        <v>89</v>
      </c>
      <c r="U51" s="3" t="s">
        <v>8896</v>
      </c>
      <c r="V51" s="3" t="s">
        <v>3386</v>
      </c>
      <c r="W51" s="3" t="s">
        <v>8864</v>
      </c>
      <c r="X51" s="3" t="s">
        <v>2701</v>
      </c>
      <c r="Y51" s="3" t="s">
        <v>8851</v>
      </c>
      <c r="Z51" s="3" t="s">
        <v>2701</v>
      </c>
      <c r="AA51" s="3" t="s">
        <v>8944</v>
      </c>
      <c r="AB51" s="3" t="s">
        <v>8888</v>
      </c>
    </row>
    <row r="52" spans="1:28" s="3" customFormat="1" ht="48" x14ac:dyDescent="0.2">
      <c r="A52" s="435" t="s">
        <v>655</v>
      </c>
      <c r="B52" s="435"/>
      <c r="C52" s="435" t="s">
        <v>619</v>
      </c>
      <c r="D52" s="435" t="s">
        <v>656</v>
      </c>
      <c r="E52" s="436">
        <v>22906</v>
      </c>
      <c r="F52" s="437">
        <v>22906</v>
      </c>
      <c r="G52" s="438" t="s">
        <v>657</v>
      </c>
      <c r="H52" s="438" t="s">
        <v>658</v>
      </c>
      <c r="I52" s="443" t="s">
        <v>269</v>
      </c>
      <c r="J52" s="112" t="s">
        <v>8677</v>
      </c>
      <c r="K52" s="440" t="str">
        <f>HYPERLINK("https://okcountyrecords.com/detail/roger+mills/1962-001145","OKCountyRecords: 1962-001145")</f>
        <v>OKCountyRecords: 1962-001145</v>
      </c>
      <c r="L52" s="442" t="s">
        <v>412</v>
      </c>
      <c r="M52" s="442" t="s">
        <v>405</v>
      </c>
      <c r="N52" s="442" t="s">
        <v>659</v>
      </c>
      <c r="O52" s="442" t="s">
        <v>413</v>
      </c>
      <c r="P52" s="3" t="s">
        <v>8934</v>
      </c>
      <c r="Q52" s="3" t="s">
        <v>118</v>
      </c>
      <c r="R52" s="3" t="s">
        <v>89</v>
      </c>
      <c r="S52" s="3" t="s">
        <v>118</v>
      </c>
      <c r="T52" s="3" t="s">
        <v>89</v>
      </c>
      <c r="U52" s="3" t="s">
        <v>8930</v>
      </c>
      <c r="V52" s="3" t="s">
        <v>2701</v>
      </c>
      <c r="W52" s="3" t="s">
        <v>8855</v>
      </c>
      <c r="X52" s="3" t="s">
        <v>8869</v>
      </c>
      <c r="Y52" s="3" t="s">
        <v>8945</v>
      </c>
      <c r="Z52" s="3" t="s">
        <v>8858</v>
      </c>
      <c r="AA52" s="3" t="s">
        <v>8946</v>
      </c>
      <c r="AB52" s="3" t="s">
        <v>8922</v>
      </c>
    </row>
    <row r="53" spans="1:28" s="3" customFormat="1" ht="48" x14ac:dyDescent="0.2">
      <c r="A53" s="435" t="s">
        <v>660</v>
      </c>
      <c r="B53" s="435"/>
      <c r="C53" s="435" t="s">
        <v>619</v>
      </c>
      <c r="D53" s="435" t="s">
        <v>661</v>
      </c>
      <c r="E53" s="436">
        <v>22906</v>
      </c>
      <c r="F53" s="437">
        <v>22906</v>
      </c>
      <c r="G53" s="438" t="s">
        <v>662</v>
      </c>
      <c r="H53" s="438" t="s">
        <v>663</v>
      </c>
      <c r="I53" s="439" t="s">
        <v>269</v>
      </c>
      <c r="J53" s="383" t="s">
        <v>664</v>
      </c>
      <c r="K53" s="440" t="str">
        <f>HYPERLINK("https://okcountyrecords.com/detail/roger+mills/1962-001141","OKCountyRecords: 1962-001141")</f>
        <v>OKCountyRecords: 1962-001141</v>
      </c>
      <c r="L53" s="442" t="s">
        <v>412</v>
      </c>
      <c r="M53" s="442" t="s">
        <v>405</v>
      </c>
      <c r="N53" s="442" t="s">
        <v>642</v>
      </c>
      <c r="O53" s="442" t="s">
        <v>428</v>
      </c>
      <c r="P53" s="3" t="s">
        <v>8934</v>
      </c>
      <c r="Q53" s="3" t="s">
        <v>118</v>
      </c>
      <c r="R53" s="3" t="s">
        <v>89</v>
      </c>
      <c r="S53" s="3" t="s">
        <v>118</v>
      </c>
      <c r="T53" s="3" t="s">
        <v>89</v>
      </c>
      <c r="U53" s="3" t="s">
        <v>8930</v>
      </c>
      <c r="V53" s="3" t="s">
        <v>2701</v>
      </c>
      <c r="W53" s="3" t="s">
        <v>8864</v>
      </c>
      <c r="X53" s="3" t="s">
        <v>8869</v>
      </c>
      <c r="Y53" s="3" t="s">
        <v>8941</v>
      </c>
      <c r="Z53" s="3" t="s">
        <v>8858</v>
      </c>
      <c r="AA53" s="3" t="s">
        <v>8947</v>
      </c>
      <c r="AB53" s="3" t="s">
        <v>8877</v>
      </c>
    </row>
    <row r="54" spans="1:28" s="3" customFormat="1" ht="48" x14ac:dyDescent="0.2">
      <c r="A54" s="435" t="s">
        <v>665</v>
      </c>
      <c r="B54" s="435"/>
      <c r="C54" s="435" t="s">
        <v>619</v>
      </c>
      <c r="D54" s="435" t="s">
        <v>666</v>
      </c>
      <c r="E54" s="436">
        <v>22938</v>
      </c>
      <c r="F54" s="437">
        <v>22938</v>
      </c>
      <c r="G54" s="438" t="s">
        <v>663</v>
      </c>
      <c r="H54" s="438" t="s">
        <v>225</v>
      </c>
      <c r="I54" s="439" t="s">
        <v>269</v>
      </c>
      <c r="J54" s="112" t="s">
        <v>667</v>
      </c>
      <c r="K54" s="440" t="str">
        <f>HYPERLINK("https://okcountyrecords.com/detail/roger+mills/1962-001389","OKCountyRecords: 1962-001389")</f>
        <v>OKCountyRecords: 1962-001389</v>
      </c>
      <c r="L54" s="442" t="s">
        <v>412</v>
      </c>
      <c r="M54" s="442" t="s">
        <v>405</v>
      </c>
      <c r="N54" s="442" t="s">
        <v>668</v>
      </c>
      <c r="O54" s="442" t="s">
        <v>428</v>
      </c>
      <c r="P54" s="3" t="s">
        <v>8934</v>
      </c>
      <c r="Q54" s="3" t="s">
        <v>118</v>
      </c>
      <c r="R54" s="3" t="s">
        <v>89</v>
      </c>
      <c r="S54" s="3" t="s">
        <v>118</v>
      </c>
      <c r="T54" s="3" t="s">
        <v>89</v>
      </c>
      <c r="U54" s="3" t="s">
        <v>8930</v>
      </c>
      <c r="V54" s="3" t="s">
        <v>2701</v>
      </c>
      <c r="W54" s="3" t="s">
        <v>8906</v>
      </c>
      <c r="X54" s="3" t="s">
        <v>8869</v>
      </c>
      <c r="Y54" s="3" t="s">
        <v>8948</v>
      </c>
      <c r="Z54" s="3" t="s">
        <v>8858</v>
      </c>
      <c r="AA54" s="3" t="s">
        <v>8949</v>
      </c>
      <c r="AB54" s="3" t="s">
        <v>8879</v>
      </c>
    </row>
    <row r="55" spans="1:28" s="3" customFormat="1" ht="48" x14ac:dyDescent="0.2">
      <c r="A55" s="435" t="s">
        <v>669</v>
      </c>
      <c r="B55" s="435"/>
      <c r="C55" s="435" t="s">
        <v>619</v>
      </c>
      <c r="D55" s="435" t="s">
        <v>670</v>
      </c>
      <c r="E55" s="436">
        <v>22938</v>
      </c>
      <c r="F55" s="437">
        <v>22938</v>
      </c>
      <c r="G55" s="438" t="s">
        <v>663</v>
      </c>
      <c r="H55" s="438" t="s">
        <v>671</v>
      </c>
      <c r="I55" s="439" t="s">
        <v>269</v>
      </c>
      <c r="J55" s="112" t="s">
        <v>667</v>
      </c>
      <c r="K55" s="440" t="str">
        <f>HYPERLINK("https://okcountyrecords.com/detail/roger+mills/1962-001390","OKCountyRecords: 1962-001390")</f>
        <v>OKCountyRecords: 1962-001390</v>
      </c>
      <c r="L55" s="442" t="s">
        <v>412</v>
      </c>
      <c r="M55" s="442" t="s">
        <v>405</v>
      </c>
      <c r="N55" s="442" t="s">
        <v>668</v>
      </c>
      <c r="O55" s="442" t="s">
        <v>428</v>
      </c>
      <c r="P55" s="3" t="s">
        <v>8934</v>
      </c>
      <c r="Q55" s="3" t="s">
        <v>118</v>
      </c>
      <c r="R55" s="3" t="s">
        <v>89</v>
      </c>
      <c r="S55" s="3" t="s">
        <v>118</v>
      </c>
      <c r="T55" s="3" t="s">
        <v>89</v>
      </c>
      <c r="U55" s="3" t="s">
        <v>8930</v>
      </c>
      <c r="V55" s="3" t="s">
        <v>2701</v>
      </c>
      <c r="W55" s="3" t="s">
        <v>8906</v>
      </c>
      <c r="X55" s="3" t="s">
        <v>8869</v>
      </c>
      <c r="Y55" s="3" t="s">
        <v>8948</v>
      </c>
      <c r="Z55" s="3" t="s">
        <v>8858</v>
      </c>
      <c r="AA55" s="3" t="s">
        <v>8950</v>
      </c>
      <c r="AB55" s="3" t="s">
        <v>8879</v>
      </c>
    </row>
    <row r="56" spans="1:28" s="3" customFormat="1" ht="48" x14ac:dyDescent="0.2">
      <c r="A56" s="435" t="s">
        <v>672</v>
      </c>
      <c r="B56" s="435"/>
      <c r="C56" s="435" t="s">
        <v>673</v>
      </c>
      <c r="D56" s="435" t="s">
        <v>674</v>
      </c>
      <c r="E56" s="436">
        <v>24709</v>
      </c>
      <c r="F56" s="437">
        <v>24750</v>
      </c>
      <c r="G56" s="438" t="s">
        <v>675</v>
      </c>
      <c r="H56" s="438" t="s">
        <v>676</v>
      </c>
      <c r="I56" s="439" t="s">
        <v>677</v>
      </c>
      <c r="J56" s="112" t="s">
        <v>678</v>
      </c>
      <c r="K56" s="440" t="str">
        <f>HYPERLINK("https://okcountyrecords.com/detail/roger+mills/1967-002816","OKCountyRecords: 1967-002816")</f>
        <v>OKCountyRecords: 1967-002816</v>
      </c>
      <c r="L56" s="442" t="s">
        <v>412</v>
      </c>
      <c r="M56" s="442" t="s">
        <v>405</v>
      </c>
      <c r="N56" s="442"/>
      <c r="O56" s="442" t="s">
        <v>422</v>
      </c>
      <c r="P56" s="3" t="s">
        <v>8886</v>
      </c>
      <c r="Q56" s="3" t="s">
        <v>118</v>
      </c>
      <c r="R56" s="3" t="s">
        <v>89</v>
      </c>
      <c r="S56" s="3" t="s">
        <v>118</v>
      </c>
      <c r="T56" s="3" t="s">
        <v>89</v>
      </c>
      <c r="U56" s="3" t="s">
        <v>8872</v>
      </c>
      <c r="V56" s="3" t="s">
        <v>2701</v>
      </c>
      <c r="W56" s="3" t="s">
        <v>8864</v>
      </c>
      <c r="X56" s="3" t="s">
        <v>2701</v>
      </c>
      <c r="Y56" s="3" t="s">
        <v>8857</v>
      </c>
      <c r="Z56" s="3" t="s">
        <v>8858</v>
      </c>
      <c r="AA56" s="3" t="s">
        <v>8951</v>
      </c>
      <c r="AB56" s="3" t="s">
        <v>8877</v>
      </c>
    </row>
    <row r="57" spans="1:28" s="3" customFormat="1" ht="60" x14ac:dyDescent="0.2">
      <c r="A57" s="435" t="s">
        <v>679</v>
      </c>
      <c r="B57" s="435"/>
      <c r="C57" s="435" t="s">
        <v>680</v>
      </c>
      <c r="D57" s="435" t="s">
        <v>681</v>
      </c>
      <c r="E57" s="436">
        <v>25176</v>
      </c>
      <c r="F57" s="437">
        <v>25176</v>
      </c>
      <c r="G57" s="438" t="s">
        <v>682</v>
      </c>
      <c r="H57" s="438" t="s">
        <v>683</v>
      </c>
      <c r="I57" s="439" t="s">
        <v>231</v>
      </c>
      <c r="J57" s="112" t="s">
        <v>8678</v>
      </c>
      <c r="K57" s="440" t="str">
        <f>HYPERLINK("https://okcountyrecords.com/detail/roger+mills/1968-003144","OKCountyRecords: 1968-003144")</f>
        <v>OKCountyRecords: 1968-003144</v>
      </c>
      <c r="L57" s="442" t="s">
        <v>503</v>
      </c>
      <c r="M57" s="442" t="s">
        <v>685</v>
      </c>
      <c r="N57" s="442"/>
      <c r="O57" s="442" t="s">
        <v>505</v>
      </c>
      <c r="P57" s="3" t="s">
        <v>8952</v>
      </c>
      <c r="Q57" s="3" t="s">
        <v>89</v>
      </c>
      <c r="R57" s="3" t="s">
        <v>89</v>
      </c>
      <c r="S57" s="3" t="s">
        <v>89</v>
      </c>
      <c r="T57" s="3" t="s">
        <v>118</v>
      </c>
      <c r="U57" s="3" t="s">
        <v>8896</v>
      </c>
      <c r="V57" s="3" t="s">
        <v>3386</v>
      </c>
      <c r="W57" s="3" t="s">
        <v>8864</v>
      </c>
      <c r="X57" s="3" t="s">
        <v>2701</v>
      </c>
      <c r="Y57" s="3" t="s">
        <v>8851</v>
      </c>
      <c r="Z57" s="3" t="s">
        <v>2701</v>
      </c>
      <c r="AA57" s="3" t="s">
        <v>8953</v>
      </c>
      <c r="AB57" s="3" t="s">
        <v>8867</v>
      </c>
    </row>
    <row r="58" spans="1:28" s="3" customFormat="1" ht="72" x14ac:dyDescent="0.2">
      <c r="A58" s="435" t="s">
        <v>686</v>
      </c>
      <c r="B58" s="435"/>
      <c r="C58" s="435" t="s">
        <v>680</v>
      </c>
      <c r="D58" s="435" t="s">
        <v>687</v>
      </c>
      <c r="E58" s="436">
        <v>25905</v>
      </c>
      <c r="F58" s="437">
        <v>25905</v>
      </c>
      <c r="G58" s="438" t="s">
        <v>688</v>
      </c>
      <c r="H58" s="438" t="s">
        <v>689</v>
      </c>
      <c r="I58" s="443" t="s">
        <v>231</v>
      </c>
      <c r="J58" s="112" t="s">
        <v>9563</v>
      </c>
      <c r="K58" s="440" t="str">
        <f>HYPERLINK("https://okcountyrecords.com/detail/roger+mills/1970-003015","OKCountyRecords: 1970-003015")</f>
        <v>OKCountyRecords: 1970-003015</v>
      </c>
      <c r="L58" s="442" t="s">
        <v>503</v>
      </c>
      <c r="M58" s="442" t="s">
        <v>685</v>
      </c>
      <c r="N58" s="442"/>
      <c r="O58" s="442" t="s">
        <v>422</v>
      </c>
      <c r="P58" s="3" t="s">
        <v>8952</v>
      </c>
      <c r="Q58" s="3" t="s">
        <v>89</v>
      </c>
      <c r="R58" s="3" t="s">
        <v>89</v>
      </c>
      <c r="S58" s="3" t="s">
        <v>89</v>
      </c>
      <c r="T58" s="3" t="s">
        <v>118</v>
      </c>
      <c r="U58" s="3" t="s">
        <v>8896</v>
      </c>
      <c r="V58" s="3" t="s">
        <v>3386</v>
      </c>
      <c r="W58" s="3" t="s">
        <v>8864</v>
      </c>
      <c r="X58" s="3" t="s">
        <v>2701</v>
      </c>
      <c r="Y58" s="3" t="s">
        <v>8851</v>
      </c>
      <c r="Z58" s="3" t="s">
        <v>2701</v>
      </c>
      <c r="AA58" s="3" t="s">
        <v>8954</v>
      </c>
      <c r="AB58" s="3" t="s">
        <v>8867</v>
      </c>
    </row>
    <row r="59" spans="1:28" s="3" customFormat="1" ht="48" x14ac:dyDescent="0.2">
      <c r="A59" s="435" t="s">
        <v>691</v>
      </c>
      <c r="B59" s="435"/>
      <c r="C59" s="435" t="s">
        <v>619</v>
      </c>
      <c r="D59" s="435" t="s">
        <v>692</v>
      </c>
      <c r="E59" s="436">
        <v>27163</v>
      </c>
      <c r="F59" s="437">
        <v>27163</v>
      </c>
      <c r="G59" s="438" t="s">
        <v>693</v>
      </c>
      <c r="H59" s="438" t="s">
        <v>694</v>
      </c>
      <c r="I59" s="443" t="s">
        <v>623</v>
      </c>
      <c r="J59" s="112" t="s">
        <v>695</v>
      </c>
      <c r="K59" s="440" t="str">
        <f>HYPERLINK("https://okcountyrecords.com/detail/roger+mills/1974-001639","OKCountyRecords: 1974-001639")</f>
        <v>OKCountyRecords: 1974-001639</v>
      </c>
      <c r="L59" s="442" t="s">
        <v>412</v>
      </c>
      <c r="M59" s="442"/>
      <c r="N59" s="442"/>
      <c r="O59" s="442" t="s">
        <v>422</v>
      </c>
      <c r="P59" s="3" t="s">
        <v>8934</v>
      </c>
      <c r="Q59" s="3" t="s">
        <v>118</v>
      </c>
      <c r="R59" s="3" t="s">
        <v>89</v>
      </c>
      <c r="S59" s="3" t="s">
        <v>118</v>
      </c>
      <c r="T59" s="3" t="s">
        <v>89</v>
      </c>
      <c r="U59" s="3" t="s">
        <v>8935</v>
      </c>
      <c r="V59" s="3" t="s">
        <v>2701</v>
      </c>
      <c r="W59" s="3" t="s">
        <v>8864</v>
      </c>
      <c r="X59" s="3" t="s">
        <v>8869</v>
      </c>
      <c r="Y59" s="3" t="s">
        <v>8955</v>
      </c>
      <c r="Z59" s="3" t="s">
        <v>8858</v>
      </c>
      <c r="AA59" s="3" t="s">
        <v>8956</v>
      </c>
      <c r="AB59" s="3" t="s">
        <v>8877</v>
      </c>
    </row>
    <row r="60" spans="1:28" s="3" customFormat="1" ht="48" x14ac:dyDescent="0.2">
      <c r="A60" s="435" t="s">
        <v>696</v>
      </c>
      <c r="B60" s="435"/>
      <c r="C60" s="435" t="s">
        <v>619</v>
      </c>
      <c r="D60" s="435" t="s">
        <v>697</v>
      </c>
      <c r="E60" s="436">
        <v>27171</v>
      </c>
      <c r="F60" s="437">
        <v>27171</v>
      </c>
      <c r="G60" s="438" t="s">
        <v>694</v>
      </c>
      <c r="H60" s="438" t="s">
        <v>698</v>
      </c>
      <c r="I60" s="439" t="s">
        <v>623</v>
      </c>
      <c r="J60" s="112" t="s">
        <v>699</v>
      </c>
      <c r="K60" s="440" t="str">
        <f>HYPERLINK("https://okcountyrecords.com/detail/roger+mills/1974-001700","OKCountyRecords: 1974-001700")</f>
        <v>OKCountyRecords: 1974-001700</v>
      </c>
      <c r="L60" s="442" t="s">
        <v>412</v>
      </c>
      <c r="M60" s="442"/>
      <c r="N60" s="442"/>
      <c r="O60" s="442" t="s">
        <v>422</v>
      </c>
      <c r="P60" s="3" t="s">
        <v>8934</v>
      </c>
      <c r="Q60" s="3" t="s">
        <v>118</v>
      </c>
      <c r="R60" s="3" t="s">
        <v>89</v>
      </c>
      <c r="S60" s="3" t="s">
        <v>118</v>
      </c>
      <c r="T60" s="3" t="s">
        <v>89</v>
      </c>
      <c r="U60" s="3" t="s">
        <v>8935</v>
      </c>
      <c r="V60" s="3" t="s">
        <v>2701</v>
      </c>
      <c r="W60" s="3" t="s">
        <v>8906</v>
      </c>
      <c r="X60" s="3" t="s">
        <v>8869</v>
      </c>
      <c r="Y60" s="3" t="s">
        <v>8957</v>
      </c>
      <c r="Z60" s="3" t="s">
        <v>8858</v>
      </c>
      <c r="AA60" s="3" t="s">
        <v>8958</v>
      </c>
      <c r="AB60" s="3" t="s">
        <v>8879</v>
      </c>
    </row>
    <row r="61" spans="1:28" s="3" customFormat="1" ht="48" x14ac:dyDescent="0.2">
      <c r="A61" s="435" t="s">
        <v>700</v>
      </c>
      <c r="B61" s="435"/>
      <c r="C61" s="435" t="s">
        <v>619</v>
      </c>
      <c r="D61" s="435" t="s">
        <v>701</v>
      </c>
      <c r="E61" s="436">
        <v>27207</v>
      </c>
      <c r="F61" s="437">
        <v>27207</v>
      </c>
      <c r="G61" s="438" t="s">
        <v>694</v>
      </c>
      <c r="H61" s="438" t="s">
        <v>702</v>
      </c>
      <c r="I61" s="439" t="s">
        <v>623</v>
      </c>
      <c r="J61" s="112" t="s">
        <v>703</v>
      </c>
      <c r="K61" s="440" t="str">
        <f>HYPERLINK("https://okcountyrecords.com/detail/roger+mills/1974-002044","OKCountyRecords: 1974-002044")</f>
        <v>OKCountyRecords: 1974-002044</v>
      </c>
      <c r="L61" s="442" t="s">
        <v>412</v>
      </c>
      <c r="M61" s="442" t="s">
        <v>405</v>
      </c>
      <c r="N61" s="442"/>
      <c r="O61" s="442" t="s">
        <v>422</v>
      </c>
      <c r="P61" s="3" t="s">
        <v>8934</v>
      </c>
      <c r="Q61" s="3" t="s">
        <v>118</v>
      </c>
      <c r="R61" s="3" t="s">
        <v>89</v>
      </c>
      <c r="S61" s="3" t="s">
        <v>118</v>
      </c>
      <c r="T61" s="3" t="s">
        <v>89</v>
      </c>
      <c r="U61" s="3" t="s">
        <v>8935</v>
      </c>
      <c r="V61" s="3" t="s">
        <v>2701</v>
      </c>
      <c r="W61" s="3" t="s">
        <v>8906</v>
      </c>
      <c r="X61" s="3" t="s">
        <v>8869</v>
      </c>
      <c r="Y61" s="3" t="s">
        <v>8959</v>
      </c>
      <c r="Z61" s="3" t="s">
        <v>8858</v>
      </c>
      <c r="AA61" s="3" t="s">
        <v>8960</v>
      </c>
      <c r="AB61" s="3" t="s">
        <v>8879</v>
      </c>
    </row>
    <row r="62" spans="1:28" s="3" customFormat="1" ht="48" x14ac:dyDescent="0.2">
      <c r="A62" s="435" t="s">
        <v>704</v>
      </c>
      <c r="B62" s="435"/>
      <c r="C62" s="435" t="s">
        <v>619</v>
      </c>
      <c r="D62" s="435" t="s">
        <v>705</v>
      </c>
      <c r="E62" s="436">
        <v>27481</v>
      </c>
      <c r="F62" s="437">
        <v>27481</v>
      </c>
      <c r="G62" s="438" t="s">
        <v>694</v>
      </c>
      <c r="H62" s="438" t="s">
        <v>706</v>
      </c>
      <c r="I62" s="439" t="s">
        <v>623</v>
      </c>
      <c r="J62" s="112" t="s">
        <v>703</v>
      </c>
      <c r="K62" s="440" t="str">
        <f>HYPERLINK("https://okcountyrecords.com/detail/roger+mills/1975-000869","OKCountyRecords: 1975-000869")</f>
        <v>OKCountyRecords: 1975-000869</v>
      </c>
      <c r="L62" s="442" t="s">
        <v>412</v>
      </c>
      <c r="M62" s="442" t="s">
        <v>405</v>
      </c>
      <c r="N62" s="442"/>
      <c r="O62" s="442" t="s">
        <v>422</v>
      </c>
      <c r="P62" s="3" t="s">
        <v>8934</v>
      </c>
      <c r="Q62" s="3" t="s">
        <v>118</v>
      </c>
      <c r="R62" s="3" t="s">
        <v>89</v>
      </c>
      <c r="S62" s="3" t="s">
        <v>118</v>
      </c>
      <c r="T62" s="3" t="s">
        <v>89</v>
      </c>
      <c r="U62" s="3" t="s">
        <v>8935</v>
      </c>
      <c r="V62" s="3" t="s">
        <v>2701</v>
      </c>
      <c r="W62" s="3" t="s">
        <v>8906</v>
      </c>
      <c r="X62" s="3" t="s">
        <v>8869</v>
      </c>
      <c r="Y62" s="3" t="s">
        <v>8959</v>
      </c>
      <c r="Z62" s="3" t="s">
        <v>8858</v>
      </c>
      <c r="AA62" s="3" t="s">
        <v>8961</v>
      </c>
      <c r="AB62" s="3" t="s">
        <v>8879</v>
      </c>
    </row>
    <row r="63" spans="1:28" s="3" customFormat="1" ht="144" x14ac:dyDescent="0.2">
      <c r="A63" s="435" t="s">
        <v>707</v>
      </c>
      <c r="B63" s="435"/>
      <c r="C63" s="435" t="s">
        <v>545</v>
      </c>
      <c r="D63" s="435" t="s">
        <v>708</v>
      </c>
      <c r="E63" s="437">
        <v>28005</v>
      </c>
      <c r="F63" s="437">
        <v>28005</v>
      </c>
      <c r="G63" s="438" t="s">
        <v>709</v>
      </c>
      <c r="H63" s="438" t="s">
        <v>710</v>
      </c>
      <c r="I63" s="439" t="s">
        <v>711</v>
      </c>
      <c r="J63" s="112" t="s">
        <v>8679</v>
      </c>
      <c r="K63" s="440" t="str">
        <f>HYPERLINK("https://okcountyrecords.com/detail/roger+mills/1976-003251","OKCountyRecords: 1976-003251")</f>
        <v>OKCountyRecords: 1976-003251</v>
      </c>
      <c r="L63" s="442" t="s">
        <v>412</v>
      </c>
      <c r="M63" s="442" t="s">
        <v>467</v>
      </c>
      <c r="N63" s="442" t="s">
        <v>712</v>
      </c>
      <c r="O63" s="442" t="s">
        <v>413</v>
      </c>
      <c r="P63" s="3" t="s">
        <v>8854</v>
      </c>
      <c r="Q63" s="3" t="s">
        <v>118</v>
      </c>
      <c r="R63" s="3" t="s">
        <v>89</v>
      </c>
      <c r="S63" s="3" t="s">
        <v>2701</v>
      </c>
      <c r="T63" s="3" t="s">
        <v>89</v>
      </c>
      <c r="U63" s="3" t="s">
        <v>8962</v>
      </c>
      <c r="V63" s="3" t="s">
        <v>2701</v>
      </c>
      <c r="W63" s="3" t="s">
        <v>8855</v>
      </c>
      <c r="X63" s="3" t="s">
        <v>8856</v>
      </c>
      <c r="Y63" s="3" t="s">
        <v>8857</v>
      </c>
      <c r="Z63" s="3" t="s">
        <v>8858</v>
      </c>
      <c r="AA63" s="3" t="s">
        <v>8963</v>
      </c>
      <c r="AB63" s="3" t="s">
        <v>8922</v>
      </c>
    </row>
    <row r="64" spans="1:28" s="3" customFormat="1" ht="144" x14ac:dyDescent="0.2">
      <c r="A64" s="435" t="s">
        <v>713</v>
      </c>
      <c r="B64" s="435"/>
      <c r="C64" s="435" t="s">
        <v>714</v>
      </c>
      <c r="D64" s="435" t="s">
        <v>715</v>
      </c>
      <c r="E64" s="436">
        <v>28445</v>
      </c>
      <c r="F64" s="437">
        <v>28445</v>
      </c>
      <c r="G64" s="438" t="s">
        <v>710</v>
      </c>
      <c r="H64" s="438" t="s">
        <v>716</v>
      </c>
      <c r="I64" s="443" t="s">
        <v>711</v>
      </c>
      <c r="J64" s="112" t="s">
        <v>63</v>
      </c>
      <c r="K64" s="440" t="str">
        <f>HYPERLINK("https://okcountyrecords.com/detail/roger+mills/1977-007503","OKCountyRecords: 1977-007503")</f>
        <v>OKCountyRecords: 1977-007503</v>
      </c>
      <c r="L64" s="442" t="s">
        <v>412</v>
      </c>
      <c r="M64" s="442" t="s">
        <v>467</v>
      </c>
      <c r="N64" s="442" t="s">
        <v>717</v>
      </c>
      <c r="O64" s="442" t="s">
        <v>428</v>
      </c>
      <c r="P64" s="3" t="s">
        <v>8854</v>
      </c>
      <c r="Q64" s="3" t="s">
        <v>118</v>
      </c>
      <c r="R64" s="3" t="s">
        <v>89</v>
      </c>
      <c r="S64" s="3" t="s">
        <v>2701</v>
      </c>
      <c r="T64" s="3" t="s">
        <v>89</v>
      </c>
      <c r="U64" s="3" t="s">
        <v>8962</v>
      </c>
      <c r="V64" s="3" t="s">
        <v>2701</v>
      </c>
      <c r="W64" s="3" t="s">
        <v>8906</v>
      </c>
      <c r="X64" s="3" t="s">
        <v>8856</v>
      </c>
      <c r="Y64" s="3" t="s">
        <v>8857</v>
      </c>
      <c r="Z64" s="3" t="s">
        <v>8858</v>
      </c>
      <c r="AA64" s="3" t="s">
        <v>8964</v>
      </c>
      <c r="AB64" s="3" t="s">
        <v>8879</v>
      </c>
    </row>
    <row r="65" spans="1:28" s="3" customFormat="1" ht="48" x14ac:dyDescent="0.2">
      <c r="A65" s="435" t="s">
        <v>718</v>
      </c>
      <c r="B65" s="435"/>
      <c r="C65" s="435" t="s">
        <v>619</v>
      </c>
      <c r="D65" s="435" t="s">
        <v>719</v>
      </c>
      <c r="E65" s="436">
        <v>28583</v>
      </c>
      <c r="F65" s="437">
        <v>28583</v>
      </c>
      <c r="G65" s="438" t="s">
        <v>720</v>
      </c>
      <c r="H65" s="438" t="s">
        <v>721</v>
      </c>
      <c r="I65" s="439" t="s">
        <v>722</v>
      </c>
      <c r="J65" s="112" t="s">
        <v>723</v>
      </c>
      <c r="K65" s="440" t="str">
        <f>HYPERLINK("https://okcountyrecords.com/detail/roger+mills/1978-002576","OKCountyRecords: 1978-002576")</f>
        <v>OKCountyRecords: 1978-002576</v>
      </c>
      <c r="L65" s="442" t="s">
        <v>412</v>
      </c>
      <c r="M65" s="442" t="s">
        <v>405</v>
      </c>
      <c r="N65" s="442"/>
      <c r="O65" s="442" t="s">
        <v>422</v>
      </c>
      <c r="P65" s="3" t="s">
        <v>8934</v>
      </c>
      <c r="Q65" s="3" t="s">
        <v>118</v>
      </c>
      <c r="R65" s="3" t="s">
        <v>89</v>
      </c>
      <c r="S65" s="3" t="s">
        <v>118</v>
      </c>
      <c r="T65" s="3" t="s">
        <v>89</v>
      </c>
      <c r="U65" s="3" t="s">
        <v>8862</v>
      </c>
      <c r="V65" s="3" t="s">
        <v>3072</v>
      </c>
      <c r="W65" s="3" t="s">
        <v>9625</v>
      </c>
      <c r="X65" s="3" t="s">
        <v>8865</v>
      </c>
      <c r="Y65" s="3" t="s">
        <v>8965</v>
      </c>
      <c r="Z65" s="3" t="s">
        <v>8858</v>
      </c>
      <c r="AA65" s="3" t="s">
        <v>8966</v>
      </c>
      <c r="AB65" s="3" t="s">
        <v>8867</v>
      </c>
    </row>
    <row r="66" spans="1:28" s="3" customFormat="1" ht="48" x14ac:dyDescent="0.2">
      <c r="A66" s="435" t="s">
        <v>724</v>
      </c>
      <c r="B66" s="435"/>
      <c r="C66" s="435" t="s">
        <v>619</v>
      </c>
      <c r="D66" s="435" t="s">
        <v>725</v>
      </c>
      <c r="E66" s="436">
        <v>28583</v>
      </c>
      <c r="F66" s="437">
        <v>28583</v>
      </c>
      <c r="G66" s="438" t="s">
        <v>720</v>
      </c>
      <c r="H66" s="438" t="s">
        <v>726</v>
      </c>
      <c r="I66" s="439" t="s">
        <v>722</v>
      </c>
      <c r="J66" s="112" t="s">
        <v>723</v>
      </c>
      <c r="K66" s="440" t="str">
        <f>HYPERLINK("https://okcountyrecords.com/detail/roger+mills/1978-002579","OKCountyRecords: 1978-002579")</f>
        <v>OKCountyRecords: 1978-002579</v>
      </c>
      <c r="L66" s="442" t="s">
        <v>412</v>
      </c>
      <c r="M66" s="442" t="s">
        <v>405</v>
      </c>
      <c r="N66" s="442"/>
      <c r="O66" s="442" t="s">
        <v>422</v>
      </c>
      <c r="P66" s="3" t="s">
        <v>8934</v>
      </c>
      <c r="Q66" s="3" t="s">
        <v>118</v>
      </c>
      <c r="R66" s="3" t="s">
        <v>89</v>
      </c>
      <c r="S66" s="3" t="s">
        <v>118</v>
      </c>
      <c r="T66" s="3" t="s">
        <v>89</v>
      </c>
      <c r="U66" s="3" t="s">
        <v>8862</v>
      </c>
      <c r="V66" s="3" t="s">
        <v>3072</v>
      </c>
      <c r="W66" s="3" t="s">
        <v>9625</v>
      </c>
      <c r="X66" s="3" t="s">
        <v>8865</v>
      </c>
      <c r="Y66" s="3" t="s">
        <v>8965</v>
      </c>
      <c r="Z66" s="3" t="s">
        <v>8858</v>
      </c>
      <c r="AA66" s="3" t="s">
        <v>8967</v>
      </c>
      <c r="AB66" s="3" t="s">
        <v>8867</v>
      </c>
    </row>
    <row r="67" spans="1:28" s="3" customFormat="1" ht="48" x14ac:dyDescent="0.2">
      <c r="A67" s="435" t="s">
        <v>727</v>
      </c>
      <c r="B67" s="435"/>
      <c r="C67" s="435" t="s">
        <v>619</v>
      </c>
      <c r="D67" s="435" t="s">
        <v>728</v>
      </c>
      <c r="E67" s="436">
        <v>28583</v>
      </c>
      <c r="F67" s="437">
        <v>28583</v>
      </c>
      <c r="G67" s="438" t="s">
        <v>720</v>
      </c>
      <c r="H67" s="438" t="s">
        <v>355</v>
      </c>
      <c r="I67" s="439" t="s">
        <v>722</v>
      </c>
      <c r="J67" s="112" t="s">
        <v>723</v>
      </c>
      <c r="K67" s="440" t="str">
        <f>HYPERLINK("https://okcountyrecords.com/detail/roger+mills/1978-002580","OKCountyRecords: 1978-002580")</f>
        <v>OKCountyRecords: 1978-002580</v>
      </c>
      <c r="L67" s="442" t="s">
        <v>412</v>
      </c>
      <c r="M67" s="442" t="s">
        <v>405</v>
      </c>
      <c r="N67" s="442"/>
      <c r="O67" s="442" t="s">
        <v>422</v>
      </c>
      <c r="P67" s="3" t="s">
        <v>8934</v>
      </c>
      <c r="Q67" s="3" t="s">
        <v>118</v>
      </c>
      <c r="R67" s="3" t="s">
        <v>89</v>
      </c>
      <c r="S67" s="3" t="s">
        <v>118</v>
      </c>
      <c r="T67" s="3" t="s">
        <v>89</v>
      </c>
      <c r="U67" s="3" t="s">
        <v>8862</v>
      </c>
      <c r="V67" s="3" t="s">
        <v>3072</v>
      </c>
      <c r="W67" s="3" t="s">
        <v>9625</v>
      </c>
      <c r="X67" s="3" t="s">
        <v>8865</v>
      </c>
      <c r="Y67" s="3" t="s">
        <v>8965</v>
      </c>
      <c r="Z67" s="3" t="s">
        <v>8858</v>
      </c>
      <c r="AA67" s="3" t="s">
        <v>8968</v>
      </c>
      <c r="AB67" s="3" t="s">
        <v>8867</v>
      </c>
    </row>
    <row r="68" spans="1:28" s="3" customFormat="1" ht="48" x14ac:dyDescent="0.2">
      <c r="A68" s="435" t="s">
        <v>729</v>
      </c>
      <c r="B68" s="435"/>
      <c r="C68" s="435" t="s">
        <v>619</v>
      </c>
      <c r="D68" s="435" t="s">
        <v>730</v>
      </c>
      <c r="E68" s="436">
        <v>28583</v>
      </c>
      <c r="F68" s="437">
        <v>28583</v>
      </c>
      <c r="G68" s="438" t="s">
        <v>720</v>
      </c>
      <c r="H68" s="438" t="s">
        <v>731</v>
      </c>
      <c r="I68" s="439" t="s">
        <v>722</v>
      </c>
      <c r="J68" s="112" t="s">
        <v>723</v>
      </c>
      <c r="K68" s="440" t="str">
        <f>HYPERLINK("https://okcountyrecords.com/detail/roger+mills/1978-002581","OKCountyRecords: 1978-002581")</f>
        <v>OKCountyRecords: 1978-002581</v>
      </c>
      <c r="L68" s="442" t="s">
        <v>412</v>
      </c>
      <c r="M68" s="442"/>
      <c r="N68" s="442"/>
      <c r="O68" s="442" t="s">
        <v>422</v>
      </c>
      <c r="P68" s="3" t="s">
        <v>8934</v>
      </c>
      <c r="Q68" s="3" t="s">
        <v>118</v>
      </c>
      <c r="R68" s="3" t="s">
        <v>89</v>
      </c>
      <c r="S68" s="3" t="s">
        <v>118</v>
      </c>
      <c r="T68" s="3" t="s">
        <v>89</v>
      </c>
      <c r="U68" s="3" t="s">
        <v>8862</v>
      </c>
      <c r="V68" s="3" t="s">
        <v>3072</v>
      </c>
      <c r="W68" s="3" t="s">
        <v>9625</v>
      </c>
      <c r="X68" s="3" t="s">
        <v>8865</v>
      </c>
      <c r="Y68" s="3" t="s">
        <v>8965</v>
      </c>
      <c r="Z68" s="3" t="s">
        <v>8858</v>
      </c>
      <c r="AA68" s="3" t="s">
        <v>8969</v>
      </c>
      <c r="AB68" s="3" t="s">
        <v>8867</v>
      </c>
    </row>
    <row r="69" spans="1:28" s="3" customFormat="1" ht="48" x14ac:dyDescent="0.2">
      <c r="A69" s="435" t="s">
        <v>732</v>
      </c>
      <c r="B69" s="435"/>
      <c r="C69" s="435" t="s">
        <v>619</v>
      </c>
      <c r="D69" s="435" t="s">
        <v>733</v>
      </c>
      <c r="E69" s="436">
        <v>28583</v>
      </c>
      <c r="F69" s="437">
        <v>28583</v>
      </c>
      <c r="G69" s="438" t="s">
        <v>720</v>
      </c>
      <c r="H69" s="438" t="s">
        <v>214</v>
      </c>
      <c r="I69" s="439" t="s">
        <v>722</v>
      </c>
      <c r="J69" s="112" t="s">
        <v>723</v>
      </c>
      <c r="K69" s="440" t="str">
        <f>HYPERLINK("https://okcountyrecords.com/detail/roger+mills/1978-002582","OKCountyRecords: 1978-002582")</f>
        <v>OKCountyRecords: 1978-002582</v>
      </c>
      <c r="L69" s="442" t="s">
        <v>412</v>
      </c>
      <c r="M69" s="442" t="s">
        <v>405</v>
      </c>
      <c r="N69" s="442"/>
      <c r="O69" s="442" t="s">
        <v>422</v>
      </c>
      <c r="P69" s="3" t="s">
        <v>8934</v>
      </c>
      <c r="Q69" s="3" t="s">
        <v>118</v>
      </c>
      <c r="R69" s="3" t="s">
        <v>89</v>
      </c>
      <c r="S69" s="3" t="s">
        <v>118</v>
      </c>
      <c r="T69" s="3" t="s">
        <v>89</v>
      </c>
      <c r="U69" s="3" t="s">
        <v>8862</v>
      </c>
      <c r="V69" s="3" t="s">
        <v>3072</v>
      </c>
      <c r="W69" s="3" t="s">
        <v>9625</v>
      </c>
      <c r="X69" s="3" t="s">
        <v>8865</v>
      </c>
      <c r="Y69" s="3" t="s">
        <v>8965</v>
      </c>
      <c r="Z69" s="3" t="s">
        <v>8858</v>
      </c>
      <c r="AA69" s="3" t="s">
        <v>8970</v>
      </c>
      <c r="AB69" s="3" t="s">
        <v>8867</v>
      </c>
    </row>
    <row r="70" spans="1:28" s="3" customFormat="1" ht="48" x14ac:dyDescent="0.2">
      <c r="A70" s="435" t="s">
        <v>734</v>
      </c>
      <c r="B70" s="435"/>
      <c r="C70" s="435" t="s">
        <v>619</v>
      </c>
      <c r="D70" s="435" t="s">
        <v>735</v>
      </c>
      <c r="E70" s="436">
        <v>28583</v>
      </c>
      <c r="F70" s="437">
        <v>28583</v>
      </c>
      <c r="G70" s="438" t="s">
        <v>720</v>
      </c>
      <c r="H70" s="438" t="s">
        <v>736</v>
      </c>
      <c r="I70" s="439" t="s">
        <v>722</v>
      </c>
      <c r="J70" s="112" t="s">
        <v>723</v>
      </c>
      <c r="K70" s="440" t="str">
        <f>HYPERLINK("https://okcountyrecords.com/detail/roger+mills/1978-002583","OKCountyRecords: 1978-002583")</f>
        <v>OKCountyRecords: 1978-002583</v>
      </c>
      <c r="L70" s="442" t="s">
        <v>412</v>
      </c>
      <c r="M70" s="442"/>
      <c r="N70" s="442"/>
      <c r="O70" s="442" t="s">
        <v>422</v>
      </c>
      <c r="P70" s="3" t="s">
        <v>8934</v>
      </c>
      <c r="Q70" s="3" t="s">
        <v>118</v>
      </c>
      <c r="R70" s="3" t="s">
        <v>89</v>
      </c>
      <c r="S70" s="3" t="s">
        <v>118</v>
      </c>
      <c r="T70" s="3" t="s">
        <v>89</v>
      </c>
      <c r="U70" s="3" t="s">
        <v>8862</v>
      </c>
      <c r="V70" s="3" t="s">
        <v>3072</v>
      </c>
      <c r="W70" s="3" t="s">
        <v>9625</v>
      </c>
      <c r="X70" s="3" t="s">
        <v>2701</v>
      </c>
      <c r="Y70" s="3" t="s">
        <v>8965</v>
      </c>
      <c r="Z70" s="3" t="s">
        <v>8858</v>
      </c>
      <c r="AA70" s="3" t="s">
        <v>8971</v>
      </c>
      <c r="AB70" s="3" t="s">
        <v>8867</v>
      </c>
    </row>
    <row r="71" spans="1:28" s="3" customFormat="1" ht="48" x14ac:dyDescent="0.2">
      <c r="A71" s="435" t="s">
        <v>737</v>
      </c>
      <c r="B71" s="435"/>
      <c r="C71" s="435" t="s">
        <v>619</v>
      </c>
      <c r="D71" s="435" t="s">
        <v>738</v>
      </c>
      <c r="E71" s="436">
        <v>28583</v>
      </c>
      <c r="F71" s="437">
        <v>28583</v>
      </c>
      <c r="G71" s="438" t="s">
        <v>720</v>
      </c>
      <c r="H71" s="438" t="s">
        <v>739</v>
      </c>
      <c r="I71" s="439" t="s">
        <v>722</v>
      </c>
      <c r="J71" s="112" t="s">
        <v>723</v>
      </c>
      <c r="K71" s="440" t="str">
        <f>HYPERLINK("https://okcountyrecords.com/detail/roger+mills/1978-002585","OKCountyRecords: 1978-002585")</f>
        <v>OKCountyRecords: 1978-002585</v>
      </c>
      <c r="L71" s="442" t="s">
        <v>412</v>
      </c>
      <c r="M71" s="442" t="s">
        <v>405</v>
      </c>
      <c r="N71" s="442"/>
      <c r="O71" s="442" t="s">
        <v>422</v>
      </c>
      <c r="P71" s="3" t="s">
        <v>8934</v>
      </c>
      <c r="Q71" s="3" t="s">
        <v>118</v>
      </c>
      <c r="R71" s="3" t="s">
        <v>89</v>
      </c>
      <c r="S71" s="3" t="s">
        <v>118</v>
      </c>
      <c r="T71" s="3" t="s">
        <v>89</v>
      </c>
      <c r="U71" s="3" t="s">
        <v>8862</v>
      </c>
      <c r="V71" s="3" t="s">
        <v>3072</v>
      </c>
      <c r="W71" s="3" t="s">
        <v>9626</v>
      </c>
      <c r="X71" s="3" t="s">
        <v>2701</v>
      </c>
      <c r="Y71" s="3" t="s">
        <v>8965</v>
      </c>
      <c r="Z71" s="3" t="s">
        <v>8858</v>
      </c>
      <c r="AA71" s="3" t="s">
        <v>8972</v>
      </c>
      <c r="AB71" s="3" t="s">
        <v>8867</v>
      </c>
    </row>
    <row r="72" spans="1:28" s="3" customFormat="1" ht="48" x14ac:dyDescent="0.2">
      <c r="A72" s="435" t="s">
        <v>740</v>
      </c>
      <c r="B72" s="435"/>
      <c r="C72" s="435" t="s">
        <v>619</v>
      </c>
      <c r="D72" s="435" t="s">
        <v>741</v>
      </c>
      <c r="E72" s="436">
        <v>28584</v>
      </c>
      <c r="F72" s="437">
        <v>28584</v>
      </c>
      <c r="G72" s="438" t="s">
        <v>720</v>
      </c>
      <c r="H72" s="438" t="s">
        <v>353</v>
      </c>
      <c r="I72" s="439" t="s">
        <v>722</v>
      </c>
      <c r="J72" s="112" t="s">
        <v>723</v>
      </c>
      <c r="K72" s="440" t="str">
        <f>HYPERLINK("https://okcountyrecords.com/detail/roger+mills/1978-002584","OKCountyRecords: 1978-002584")</f>
        <v>OKCountyRecords: 1978-002584</v>
      </c>
      <c r="L72" s="442" t="s">
        <v>412</v>
      </c>
      <c r="M72" s="442" t="s">
        <v>405</v>
      </c>
      <c r="N72" s="442"/>
      <c r="O72" s="442" t="s">
        <v>422</v>
      </c>
      <c r="P72" s="3" t="s">
        <v>8934</v>
      </c>
      <c r="Q72" s="3" t="s">
        <v>118</v>
      </c>
      <c r="R72" s="3" t="s">
        <v>89</v>
      </c>
      <c r="S72" s="3" t="s">
        <v>118</v>
      </c>
      <c r="T72" s="3" t="s">
        <v>89</v>
      </c>
      <c r="U72" s="3" t="s">
        <v>8862</v>
      </c>
      <c r="V72" s="3" t="s">
        <v>3072</v>
      </c>
      <c r="W72" s="3" t="s">
        <v>9626</v>
      </c>
      <c r="X72" s="3" t="s">
        <v>8865</v>
      </c>
      <c r="Y72" s="3" t="s">
        <v>8965</v>
      </c>
      <c r="Z72" s="3" t="s">
        <v>8858</v>
      </c>
      <c r="AA72" s="3" t="s">
        <v>8973</v>
      </c>
      <c r="AB72" s="3" t="s">
        <v>8867</v>
      </c>
    </row>
    <row r="73" spans="1:28" s="3" customFormat="1" ht="60" x14ac:dyDescent="0.2">
      <c r="A73" s="435" t="s">
        <v>742</v>
      </c>
      <c r="B73" s="435"/>
      <c r="C73" s="435" t="s">
        <v>680</v>
      </c>
      <c r="D73" s="435" t="s">
        <v>743</v>
      </c>
      <c r="E73" s="436">
        <v>28711</v>
      </c>
      <c r="F73" s="437">
        <v>28711</v>
      </c>
      <c r="G73" s="438" t="s">
        <v>744</v>
      </c>
      <c r="H73" s="438" t="s">
        <v>745</v>
      </c>
      <c r="I73" s="439" t="s">
        <v>231</v>
      </c>
      <c r="J73" s="112" t="s">
        <v>746</v>
      </c>
      <c r="K73" s="440" t="str">
        <f>HYPERLINK("https://okcountyrecords.com/detail/roger+mills/1978-005886","OKCountyRecords: 1978-005886")</f>
        <v>OKCountyRecords: 1978-005886</v>
      </c>
      <c r="L73" s="442" t="s">
        <v>503</v>
      </c>
      <c r="M73" s="442" t="s">
        <v>685</v>
      </c>
      <c r="N73" s="442"/>
      <c r="O73" s="442" t="s">
        <v>505</v>
      </c>
      <c r="P73" s="3" t="s">
        <v>8952</v>
      </c>
      <c r="Q73" s="3" t="s">
        <v>89</v>
      </c>
      <c r="R73" s="3" t="s">
        <v>89</v>
      </c>
      <c r="S73" s="3" t="s">
        <v>89</v>
      </c>
      <c r="T73" s="3" t="s">
        <v>118</v>
      </c>
      <c r="U73" s="3" t="s">
        <v>8896</v>
      </c>
      <c r="V73" s="3" t="s">
        <v>3386</v>
      </c>
      <c r="W73" s="3" t="s">
        <v>8906</v>
      </c>
      <c r="X73" s="3" t="s">
        <v>2701</v>
      </c>
      <c r="Y73" s="3" t="s">
        <v>8851</v>
      </c>
      <c r="Z73" s="3" t="s">
        <v>2701</v>
      </c>
      <c r="AA73" s="3" t="s">
        <v>8974</v>
      </c>
    </row>
    <row r="74" spans="1:28" s="3" customFormat="1" ht="108" x14ac:dyDescent="0.2">
      <c r="A74" s="435" t="s">
        <v>748</v>
      </c>
      <c r="B74" s="435"/>
      <c r="C74" s="435" t="s">
        <v>585</v>
      </c>
      <c r="D74" s="435" t="s">
        <v>749</v>
      </c>
      <c r="E74" s="436">
        <v>28961</v>
      </c>
      <c r="F74" s="437">
        <v>28961</v>
      </c>
      <c r="G74" s="438" t="s">
        <v>750</v>
      </c>
      <c r="H74" s="438" t="s">
        <v>751</v>
      </c>
      <c r="I74" s="439" t="s">
        <v>752</v>
      </c>
      <c r="J74" s="112" t="s">
        <v>753</v>
      </c>
      <c r="K74" s="440" t="str">
        <f>HYPERLINK("https://okcountyrecords.com/detail/roger+mills/1979-002206","OKCountyRecords: 1979-002206")</f>
        <v>OKCountyRecords: 1979-002206</v>
      </c>
      <c r="L74" s="442" t="s">
        <v>412</v>
      </c>
      <c r="M74" s="442" t="s">
        <v>405</v>
      </c>
      <c r="N74" s="442" t="s">
        <v>754</v>
      </c>
      <c r="O74" s="442" t="s">
        <v>422</v>
      </c>
      <c r="P74" s="3" t="s">
        <v>8886</v>
      </c>
      <c r="Q74" s="3" t="s">
        <v>118</v>
      </c>
      <c r="R74" s="3" t="s">
        <v>89</v>
      </c>
      <c r="S74" s="3" t="s">
        <v>118</v>
      </c>
      <c r="T74" s="3" t="s">
        <v>89</v>
      </c>
      <c r="U74" s="3" t="s">
        <v>8975</v>
      </c>
      <c r="V74" s="3" t="s">
        <v>3386</v>
      </c>
      <c r="W74" s="3" t="s">
        <v>8864</v>
      </c>
      <c r="X74" s="3" t="s">
        <v>2701</v>
      </c>
      <c r="Y74" s="3" t="s">
        <v>8976</v>
      </c>
      <c r="Z74" s="3" t="s">
        <v>8858</v>
      </c>
      <c r="AA74" s="3" t="s">
        <v>8977</v>
      </c>
      <c r="AB74" s="3" t="s">
        <v>8867</v>
      </c>
    </row>
    <row r="75" spans="1:28" s="3" customFormat="1" ht="60" x14ac:dyDescent="0.2">
      <c r="A75" s="435" t="s">
        <v>755</v>
      </c>
      <c r="B75" s="435"/>
      <c r="C75" s="435" t="s">
        <v>756</v>
      </c>
      <c r="D75" s="435" t="s">
        <v>757</v>
      </c>
      <c r="E75" s="436">
        <v>28961</v>
      </c>
      <c r="F75" s="437">
        <v>28961</v>
      </c>
      <c r="G75" s="438" t="s">
        <v>758</v>
      </c>
      <c r="H75" s="438" t="s">
        <v>759</v>
      </c>
      <c r="I75" s="439" t="s">
        <v>530</v>
      </c>
      <c r="J75" s="112" t="s">
        <v>760</v>
      </c>
      <c r="K75" s="440" t="str">
        <f>HYPERLINK("https://okcountyrecords.com/detail/roger+mills/1979-002207","OKCountyRecords: 1979-002207")</f>
        <v>OKCountyRecords: 1979-002207</v>
      </c>
      <c r="L75" s="442" t="s">
        <v>503</v>
      </c>
      <c r="M75" s="442"/>
      <c r="N75" s="442"/>
      <c r="O75" s="442" t="s">
        <v>422</v>
      </c>
      <c r="P75" s="3" t="s">
        <v>8903</v>
      </c>
      <c r="Q75" s="3" t="s">
        <v>2701</v>
      </c>
      <c r="R75" s="3" t="s">
        <v>2701</v>
      </c>
      <c r="S75" s="3" t="s">
        <v>2701</v>
      </c>
      <c r="T75" s="3" t="s">
        <v>2701</v>
      </c>
      <c r="U75" s="3" t="s">
        <v>8896</v>
      </c>
      <c r="V75" s="3" t="s">
        <v>3386</v>
      </c>
      <c r="W75" s="3" t="s">
        <v>8864</v>
      </c>
      <c r="X75" s="3" t="s">
        <v>2701</v>
      </c>
      <c r="Y75" s="3" t="s">
        <v>8851</v>
      </c>
      <c r="Z75" s="3" t="s">
        <v>2701</v>
      </c>
      <c r="AA75" s="3" t="s">
        <v>8978</v>
      </c>
      <c r="AB75" s="3" t="s">
        <v>8905</v>
      </c>
    </row>
    <row r="76" spans="1:28" s="3" customFormat="1" ht="48" x14ac:dyDescent="0.2">
      <c r="A76" s="435" t="s">
        <v>761</v>
      </c>
      <c r="B76" s="435"/>
      <c r="C76" s="435" t="s">
        <v>619</v>
      </c>
      <c r="D76" s="435" t="s">
        <v>762</v>
      </c>
      <c r="E76" s="436">
        <v>29094</v>
      </c>
      <c r="F76" s="437">
        <v>29094</v>
      </c>
      <c r="G76" s="438" t="s">
        <v>353</v>
      </c>
      <c r="H76" s="438" t="s">
        <v>763</v>
      </c>
      <c r="I76" s="439" t="s">
        <v>722</v>
      </c>
      <c r="J76" s="112" t="s">
        <v>764</v>
      </c>
      <c r="K76" s="440" t="str">
        <f>HYPERLINK("https://okcountyrecords.com/detail/roger+mills/1979-004881","OKCountyRecords: 1979-004881")</f>
        <v>OKCountyRecords: 1979-004881</v>
      </c>
      <c r="L76" s="442" t="s">
        <v>412</v>
      </c>
      <c r="M76" s="442" t="s">
        <v>405</v>
      </c>
      <c r="N76" s="442"/>
      <c r="O76" s="442" t="s">
        <v>422</v>
      </c>
      <c r="P76" s="3" t="s">
        <v>8934</v>
      </c>
      <c r="Q76" s="3" t="s">
        <v>118</v>
      </c>
      <c r="R76" s="3" t="s">
        <v>89</v>
      </c>
      <c r="S76" s="3" t="s">
        <v>118</v>
      </c>
      <c r="T76" s="3" t="s">
        <v>89</v>
      </c>
      <c r="U76" s="3" t="s">
        <v>8862</v>
      </c>
      <c r="V76" s="3" t="s">
        <v>3072</v>
      </c>
      <c r="W76" s="3" t="s">
        <v>8906</v>
      </c>
      <c r="X76" s="3" t="s">
        <v>8865</v>
      </c>
      <c r="Y76" s="3" t="s">
        <v>8979</v>
      </c>
      <c r="Z76" s="3" t="s">
        <v>8858</v>
      </c>
      <c r="AA76" s="3" t="s">
        <v>8980</v>
      </c>
    </row>
    <row r="77" spans="1:28" s="3" customFormat="1" ht="60" x14ac:dyDescent="0.2">
      <c r="A77" s="435" t="s">
        <v>765</v>
      </c>
      <c r="B77" s="435"/>
      <c r="C77" s="435" t="s">
        <v>680</v>
      </c>
      <c r="D77" s="435" t="s">
        <v>766</v>
      </c>
      <c r="E77" s="436">
        <v>29102</v>
      </c>
      <c r="F77" s="437">
        <v>29102</v>
      </c>
      <c r="G77" s="438" t="s">
        <v>221</v>
      </c>
      <c r="H77" s="438" t="s">
        <v>767</v>
      </c>
      <c r="I77" s="439" t="s">
        <v>530</v>
      </c>
      <c r="J77" s="112" t="s">
        <v>746</v>
      </c>
      <c r="K77" s="440" t="str">
        <f>HYPERLINK("https://okcountyrecords.com/detail/roger+mills/1979-005006","OKCountyRecords: 1979-005006")</f>
        <v>OKCountyRecords: 1979-005006</v>
      </c>
      <c r="L77" s="442" t="s">
        <v>503</v>
      </c>
      <c r="M77" s="442" t="s">
        <v>685</v>
      </c>
      <c r="N77" s="442"/>
      <c r="O77" s="442" t="s">
        <v>422</v>
      </c>
      <c r="P77" s="3" t="s">
        <v>8952</v>
      </c>
      <c r="Q77" s="3" t="s">
        <v>89</v>
      </c>
      <c r="R77" s="3" t="s">
        <v>89</v>
      </c>
      <c r="S77" s="3" t="s">
        <v>89</v>
      </c>
      <c r="T77" s="3" t="s">
        <v>118</v>
      </c>
      <c r="U77" s="3" t="s">
        <v>8896</v>
      </c>
      <c r="V77" s="3" t="s">
        <v>3386</v>
      </c>
      <c r="W77" s="3" t="s">
        <v>8864</v>
      </c>
      <c r="X77" s="3" t="s">
        <v>2701</v>
      </c>
      <c r="Y77" s="3" t="s">
        <v>8851</v>
      </c>
      <c r="Z77" s="3" t="s">
        <v>2701</v>
      </c>
      <c r="AA77" s="3" t="s">
        <v>8981</v>
      </c>
      <c r="AB77" s="3" t="s">
        <v>8867</v>
      </c>
    </row>
    <row r="78" spans="1:28" s="3" customFormat="1" ht="60" x14ac:dyDescent="0.2">
      <c r="A78" s="435" t="s">
        <v>769</v>
      </c>
      <c r="B78" s="435"/>
      <c r="C78" s="435" t="s">
        <v>680</v>
      </c>
      <c r="D78" s="435" t="s">
        <v>770</v>
      </c>
      <c r="E78" s="436">
        <v>29102</v>
      </c>
      <c r="F78" s="437">
        <v>29102</v>
      </c>
      <c r="G78" s="438" t="s">
        <v>221</v>
      </c>
      <c r="H78" s="438" t="s">
        <v>767</v>
      </c>
      <c r="I78" s="439" t="s">
        <v>530</v>
      </c>
      <c r="J78" s="112" t="s">
        <v>746</v>
      </c>
      <c r="K78" s="440" t="str">
        <f>HYPERLINK("https://okcountyrecords.com/detail/roger+mills/1979-005007","OKCountyRecords: 1979-005007")</f>
        <v>OKCountyRecords: 1979-005007</v>
      </c>
      <c r="L78" s="442" t="s">
        <v>503</v>
      </c>
      <c r="M78" s="442" t="s">
        <v>685</v>
      </c>
      <c r="N78" s="442"/>
      <c r="O78" s="442" t="s">
        <v>422</v>
      </c>
      <c r="P78" s="3" t="s">
        <v>8952</v>
      </c>
      <c r="Q78" s="3" t="s">
        <v>89</v>
      </c>
      <c r="R78" s="3" t="s">
        <v>89</v>
      </c>
      <c r="S78" s="3" t="s">
        <v>89</v>
      </c>
      <c r="T78" s="3" t="s">
        <v>118</v>
      </c>
      <c r="U78" s="3" t="s">
        <v>8896</v>
      </c>
      <c r="V78" s="3" t="s">
        <v>3386</v>
      </c>
      <c r="W78" s="3" t="s">
        <v>8864</v>
      </c>
      <c r="X78" s="3" t="s">
        <v>2701</v>
      </c>
      <c r="Y78" s="3" t="s">
        <v>8851</v>
      </c>
      <c r="Z78" s="3" t="s">
        <v>2701</v>
      </c>
      <c r="AA78" s="3" t="s">
        <v>8982</v>
      </c>
      <c r="AB78" s="3" t="s">
        <v>8867</v>
      </c>
    </row>
    <row r="79" spans="1:28" s="3" customFormat="1" ht="60" x14ac:dyDescent="0.2">
      <c r="A79" s="435" t="s">
        <v>772</v>
      </c>
      <c r="B79" s="435"/>
      <c r="C79" s="435" t="s">
        <v>619</v>
      </c>
      <c r="D79" s="435" t="s">
        <v>773</v>
      </c>
      <c r="E79" s="436">
        <v>29126</v>
      </c>
      <c r="F79" s="437">
        <v>29132</v>
      </c>
      <c r="G79" s="438" t="s">
        <v>774</v>
      </c>
      <c r="H79" s="438" t="s">
        <v>775</v>
      </c>
      <c r="I79" s="439" t="s">
        <v>776</v>
      </c>
      <c r="J79" s="112" t="s">
        <v>777</v>
      </c>
      <c r="K79" s="440" t="str">
        <f>HYPERLINK("https://okcountyrecords.com/detail/roger+mills/1979-005655","OKCountyRecords: 1979-005655")</f>
        <v>OKCountyRecords: 1979-005655</v>
      </c>
      <c r="L79" s="442" t="s">
        <v>412</v>
      </c>
      <c r="M79" s="442" t="s">
        <v>405</v>
      </c>
      <c r="N79" s="442"/>
      <c r="O79" s="442" t="s">
        <v>422</v>
      </c>
      <c r="P79" s="3" t="s">
        <v>8934</v>
      </c>
      <c r="Q79" s="3" t="s">
        <v>118</v>
      </c>
      <c r="R79" s="3" t="s">
        <v>89</v>
      </c>
      <c r="S79" s="3" t="s">
        <v>118</v>
      </c>
      <c r="T79" s="3" t="s">
        <v>89</v>
      </c>
      <c r="U79" s="3" t="s">
        <v>8983</v>
      </c>
      <c r="V79" s="3" t="s">
        <v>3072</v>
      </c>
      <c r="W79" s="3" t="s">
        <v>8906</v>
      </c>
      <c r="X79" s="3" t="s">
        <v>8882</v>
      </c>
      <c r="Y79" s="3" t="s">
        <v>8857</v>
      </c>
      <c r="Z79" s="3" t="s">
        <v>8858</v>
      </c>
      <c r="AA79" s="3" t="s">
        <v>8984</v>
      </c>
    </row>
    <row r="80" spans="1:28" s="3" customFormat="1" ht="48" x14ac:dyDescent="0.2">
      <c r="A80" s="435" t="s">
        <v>779</v>
      </c>
      <c r="B80" s="435"/>
      <c r="C80" s="435" t="s">
        <v>521</v>
      </c>
      <c r="D80" s="435" t="s">
        <v>780</v>
      </c>
      <c r="E80" s="436">
        <v>29172</v>
      </c>
      <c r="F80" s="437">
        <v>29172</v>
      </c>
      <c r="G80" s="438" t="s">
        <v>781</v>
      </c>
      <c r="H80" s="438" t="s">
        <v>782</v>
      </c>
      <c r="I80" s="439" t="s">
        <v>722</v>
      </c>
      <c r="J80" s="112" t="s">
        <v>783</v>
      </c>
      <c r="K80" s="440" t="str">
        <f>HYPERLINK("https://okcountyrecords.com/detail/roger+mills/1979-006593","OKCountyRecords: 1979-006593")</f>
        <v>OKCountyRecords: 1979-006593</v>
      </c>
      <c r="L80" s="442" t="s">
        <v>466</v>
      </c>
      <c r="M80" s="442"/>
      <c r="N80" s="442"/>
      <c r="O80" s="442" t="s">
        <v>422</v>
      </c>
      <c r="P80" s="3" t="s">
        <v>8903</v>
      </c>
      <c r="Q80" s="3" t="s">
        <v>2701</v>
      </c>
      <c r="R80" s="3" t="s">
        <v>2701</v>
      </c>
      <c r="S80" s="3" t="s">
        <v>2701</v>
      </c>
      <c r="T80" s="3" t="s">
        <v>2701</v>
      </c>
      <c r="U80" s="3" t="s">
        <v>8862</v>
      </c>
      <c r="V80" s="3" t="s">
        <v>3072</v>
      </c>
      <c r="W80" s="3" t="s">
        <v>8864</v>
      </c>
      <c r="X80" s="3" t="s">
        <v>8865</v>
      </c>
      <c r="Y80" s="3" t="s">
        <v>8851</v>
      </c>
      <c r="Z80" s="3" t="s">
        <v>2701</v>
      </c>
      <c r="AA80" s="3" t="s">
        <v>8985</v>
      </c>
      <c r="AB80" s="3" t="s">
        <v>8905</v>
      </c>
    </row>
    <row r="81" spans="1:28" s="3" customFormat="1" ht="48" x14ac:dyDescent="0.2">
      <c r="A81" s="435" t="s">
        <v>784</v>
      </c>
      <c r="B81" s="435"/>
      <c r="C81" s="435" t="s">
        <v>619</v>
      </c>
      <c r="D81" s="435" t="s">
        <v>785</v>
      </c>
      <c r="E81" s="436">
        <v>29675</v>
      </c>
      <c r="F81" s="437">
        <v>29675</v>
      </c>
      <c r="G81" s="438" t="s">
        <v>221</v>
      </c>
      <c r="H81" s="438" t="s">
        <v>786</v>
      </c>
      <c r="I81" s="439" t="s">
        <v>332</v>
      </c>
      <c r="J81" s="112" t="s">
        <v>787</v>
      </c>
      <c r="K81" s="440" t="str">
        <f>HYPERLINK("https://okcountyrecords.com/detail/roger+mills/1981-003445","OKCountyRecords: 1981-003445")</f>
        <v>OKCountyRecords: 1981-003445</v>
      </c>
      <c r="L81" s="442" t="s">
        <v>412</v>
      </c>
      <c r="M81" s="442" t="s">
        <v>641</v>
      </c>
      <c r="N81" s="442" t="s">
        <v>788</v>
      </c>
      <c r="O81" s="442" t="s">
        <v>428</v>
      </c>
      <c r="P81" s="3" t="s">
        <v>8934</v>
      </c>
      <c r="Q81" s="3" t="s">
        <v>118</v>
      </c>
      <c r="R81" s="3" t="s">
        <v>89</v>
      </c>
      <c r="S81" s="3" t="s">
        <v>118</v>
      </c>
      <c r="T81" s="3" t="s">
        <v>89</v>
      </c>
      <c r="U81" s="3" t="s">
        <v>8986</v>
      </c>
      <c r="V81" s="3" t="s">
        <v>3072</v>
      </c>
      <c r="W81" s="3" t="s">
        <v>8864</v>
      </c>
      <c r="X81" s="3" t="s">
        <v>8856</v>
      </c>
      <c r="Y81" s="3" t="s">
        <v>8987</v>
      </c>
      <c r="Z81" s="3" t="s">
        <v>8858</v>
      </c>
      <c r="AA81" s="3" t="s">
        <v>8988</v>
      </c>
      <c r="AB81" s="3" t="s">
        <v>8867</v>
      </c>
    </row>
    <row r="82" spans="1:28" s="3" customFormat="1" ht="48" x14ac:dyDescent="0.2">
      <c r="A82" s="435" t="s">
        <v>789</v>
      </c>
      <c r="B82" s="435"/>
      <c r="C82" s="435" t="s">
        <v>619</v>
      </c>
      <c r="D82" s="435" t="s">
        <v>790</v>
      </c>
      <c r="E82" s="436">
        <v>29714</v>
      </c>
      <c r="F82" s="437">
        <v>29714</v>
      </c>
      <c r="G82" s="438" t="s">
        <v>791</v>
      </c>
      <c r="H82" s="438" t="s">
        <v>792</v>
      </c>
      <c r="I82" s="439" t="s">
        <v>623</v>
      </c>
      <c r="J82" s="112" t="s">
        <v>703</v>
      </c>
      <c r="K82" s="440" t="str">
        <f>HYPERLINK("https://okcountyrecords.com/detail/roger+mills/1981-005180","OKCountyRecords: 1981-005180")</f>
        <v>OKCountyRecords: 1981-005180</v>
      </c>
      <c r="L82" s="442" t="s">
        <v>412</v>
      </c>
      <c r="M82" s="442" t="s">
        <v>405</v>
      </c>
      <c r="N82" s="442"/>
      <c r="O82" s="442" t="s">
        <v>422</v>
      </c>
      <c r="P82" s="3" t="s">
        <v>8934</v>
      </c>
      <c r="Q82" s="3" t="s">
        <v>118</v>
      </c>
      <c r="R82" s="3" t="s">
        <v>89</v>
      </c>
      <c r="S82" s="3" t="s">
        <v>118</v>
      </c>
      <c r="T82" s="3" t="s">
        <v>89</v>
      </c>
      <c r="U82" s="3" t="s">
        <v>8935</v>
      </c>
      <c r="V82" s="3" t="s">
        <v>2701</v>
      </c>
      <c r="W82" s="3" t="s">
        <v>9627</v>
      </c>
      <c r="X82" s="3" t="s">
        <v>8869</v>
      </c>
      <c r="Y82" s="3" t="s">
        <v>8959</v>
      </c>
      <c r="Z82" s="3" t="s">
        <v>8858</v>
      </c>
      <c r="AA82" s="3" t="s">
        <v>8989</v>
      </c>
      <c r="AB82" s="3" t="s">
        <v>8877</v>
      </c>
    </row>
    <row r="83" spans="1:28" s="3" customFormat="1" ht="48" x14ac:dyDescent="0.2">
      <c r="A83" s="435" t="s">
        <v>793</v>
      </c>
      <c r="B83" s="435"/>
      <c r="C83" s="435" t="s">
        <v>619</v>
      </c>
      <c r="D83" s="435" t="s">
        <v>794</v>
      </c>
      <c r="E83" s="436">
        <v>29714</v>
      </c>
      <c r="F83" s="437">
        <v>29714</v>
      </c>
      <c r="G83" s="438" t="s">
        <v>792</v>
      </c>
      <c r="H83" s="438" t="s">
        <v>795</v>
      </c>
      <c r="I83" s="439" t="s">
        <v>623</v>
      </c>
      <c r="J83" s="112" t="s">
        <v>796</v>
      </c>
      <c r="K83" s="440" t="str">
        <f>HYPERLINK("https://okcountyrecords.com/detail/roger+mills/1981-005181","OKCountyRecords: 1981-005181")</f>
        <v>OKCountyRecords: 1981-005181</v>
      </c>
      <c r="L83" s="442" t="s">
        <v>412</v>
      </c>
      <c r="M83" s="442"/>
      <c r="N83" s="442"/>
      <c r="O83" s="442" t="s">
        <v>422</v>
      </c>
      <c r="P83" s="3" t="s">
        <v>8934</v>
      </c>
      <c r="Q83" s="3" t="s">
        <v>118</v>
      </c>
      <c r="R83" s="3" t="s">
        <v>89</v>
      </c>
      <c r="S83" s="3" t="s">
        <v>118</v>
      </c>
      <c r="T83" s="3" t="s">
        <v>89</v>
      </c>
      <c r="U83" s="3" t="s">
        <v>8935</v>
      </c>
      <c r="V83" s="3" t="s">
        <v>2701</v>
      </c>
      <c r="W83" s="3" t="s">
        <v>8906</v>
      </c>
      <c r="X83" s="3" t="s">
        <v>8869</v>
      </c>
      <c r="Y83" s="3" t="s">
        <v>8990</v>
      </c>
      <c r="Z83" s="3" t="s">
        <v>8858</v>
      </c>
      <c r="AA83" s="3" t="s">
        <v>8991</v>
      </c>
      <c r="AB83" s="3" t="s">
        <v>8879</v>
      </c>
    </row>
    <row r="84" spans="1:28" s="3" customFormat="1" ht="36" x14ac:dyDescent="0.2">
      <c r="A84" s="435" t="s">
        <v>797</v>
      </c>
      <c r="B84" s="435"/>
      <c r="C84" s="435" t="s">
        <v>619</v>
      </c>
      <c r="D84" s="435" t="s">
        <v>798</v>
      </c>
      <c r="E84" s="436">
        <v>29767</v>
      </c>
      <c r="F84" s="437">
        <v>29767</v>
      </c>
      <c r="G84" s="438" t="s">
        <v>786</v>
      </c>
      <c r="H84" s="438" t="s">
        <v>799</v>
      </c>
      <c r="I84" s="439" t="s">
        <v>332</v>
      </c>
      <c r="J84" s="112" t="s">
        <v>800</v>
      </c>
      <c r="K84" s="440" t="str">
        <f>HYPERLINK("https://okcountyrecords.com/detail/roger+mills/1981-007481","OKCountyRecords: 1981-007481")</f>
        <v>OKCountyRecords: 1981-007481</v>
      </c>
      <c r="L84" s="442" t="s">
        <v>412</v>
      </c>
      <c r="M84" s="442" t="s">
        <v>641</v>
      </c>
      <c r="N84" s="442" t="s">
        <v>801</v>
      </c>
      <c r="O84" s="442" t="s">
        <v>428</v>
      </c>
      <c r="P84" s="3" t="s">
        <v>8934</v>
      </c>
      <c r="Q84" s="3" t="s">
        <v>118</v>
      </c>
      <c r="R84" s="3" t="s">
        <v>89</v>
      </c>
      <c r="S84" s="3" t="s">
        <v>118</v>
      </c>
      <c r="T84" s="3" t="s">
        <v>89</v>
      </c>
      <c r="U84" s="3" t="s">
        <v>8986</v>
      </c>
      <c r="V84" s="3" t="s">
        <v>3072</v>
      </c>
      <c r="W84" s="3" t="s">
        <v>8906</v>
      </c>
      <c r="X84" s="3" t="s">
        <v>8856</v>
      </c>
      <c r="Y84" s="3" t="s">
        <v>8992</v>
      </c>
      <c r="Z84" s="3" t="s">
        <v>8858</v>
      </c>
      <c r="AA84" s="3" t="s">
        <v>8993</v>
      </c>
    </row>
    <row r="85" spans="1:28" s="3" customFormat="1" ht="36" x14ac:dyDescent="0.2">
      <c r="A85" s="435" t="s">
        <v>802</v>
      </c>
      <c r="B85" s="435"/>
      <c r="C85" s="435" t="s">
        <v>619</v>
      </c>
      <c r="D85" s="435" t="s">
        <v>803</v>
      </c>
      <c r="E85" s="436">
        <v>29812</v>
      </c>
      <c r="F85" s="437">
        <v>29812</v>
      </c>
      <c r="G85" s="438" t="s">
        <v>786</v>
      </c>
      <c r="H85" s="438" t="s">
        <v>804</v>
      </c>
      <c r="I85" s="439" t="s">
        <v>332</v>
      </c>
      <c r="J85" s="112" t="s">
        <v>805</v>
      </c>
      <c r="K85" s="440" t="str">
        <f>HYPERLINK("https://okcountyrecords.com/detail/roger+mills/1981-009501","OKCountyRecords: 1981-009501")</f>
        <v>OKCountyRecords: 1981-009501</v>
      </c>
      <c r="L85" s="442" t="s">
        <v>412</v>
      </c>
      <c r="M85" s="442" t="s">
        <v>641</v>
      </c>
      <c r="N85" s="442" t="s">
        <v>806</v>
      </c>
      <c r="O85" s="442" t="s">
        <v>428</v>
      </c>
      <c r="P85" s="3" t="s">
        <v>8934</v>
      </c>
      <c r="Q85" s="3" t="s">
        <v>118</v>
      </c>
      <c r="R85" s="3" t="s">
        <v>89</v>
      </c>
      <c r="S85" s="3" t="s">
        <v>118</v>
      </c>
      <c r="T85" s="3" t="s">
        <v>89</v>
      </c>
      <c r="U85" s="3" t="s">
        <v>8986</v>
      </c>
      <c r="V85" s="3" t="s">
        <v>3072</v>
      </c>
      <c r="W85" s="3" t="s">
        <v>8906</v>
      </c>
      <c r="X85" s="3" t="s">
        <v>8856</v>
      </c>
      <c r="Y85" s="3" t="s">
        <v>8994</v>
      </c>
      <c r="Z85" s="3" t="s">
        <v>8858</v>
      </c>
      <c r="AA85" s="3" t="s">
        <v>8995</v>
      </c>
    </row>
    <row r="86" spans="1:28" s="3" customFormat="1" ht="48" x14ac:dyDescent="0.2">
      <c r="A86" s="435" t="s">
        <v>807</v>
      </c>
      <c r="B86" s="435"/>
      <c r="C86" s="435" t="s">
        <v>619</v>
      </c>
      <c r="D86" s="435" t="s">
        <v>808</v>
      </c>
      <c r="E86" s="436">
        <v>30054</v>
      </c>
      <c r="F86" s="437">
        <v>30054</v>
      </c>
      <c r="G86" s="438" t="s">
        <v>698</v>
      </c>
      <c r="H86" s="438" t="s">
        <v>809</v>
      </c>
      <c r="I86" s="439" t="s">
        <v>623</v>
      </c>
      <c r="J86" s="112" t="s">
        <v>699</v>
      </c>
      <c r="K86" s="440" t="str">
        <f>HYPERLINK("https://okcountyrecords.com/detail/roger+mills/1982-004342","OKCountyRecords: 1982-004342")</f>
        <v>OKCountyRecords: 1982-004342</v>
      </c>
      <c r="L86" s="442" t="s">
        <v>412</v>
      </c>
      <c r="M86" s="442" t="s">
        <v>405</v>
      </c>
      <c r="N86" s="442"/>
      <c r="O86" s="442" t="s">
        <v>422</v>
      </c>
      <c r="P86" s="3" t="s">
        <v>8934</v>
      </c>
      <c r="Q86" s="3" t="s">
        <v>118</v>
      </c>
      <c r="R86" s="3" t="s">
        <v>89</v>
      </c>
      <c r="S86" s="3" t="s">
        <v>118</v>
      </c>
      <c r="T86" s="3" t="s">
        <v>89</v>
      </c>
      <c r="U86" s="3" t="s">
        <v>8935</v>
      </c>
      <c r="V86" s="3" t="s">
        <v>2701</v>
      </c>
      <c r="W86" s="3" t="s">
        <v>8906</v>
      </c>
      <c r="X86" s="3" t="s">
        <v>2701</v>
      </c>
      <c r="Y86" s="3" t="s">
        <v>8957</v>
      </c>
      <c r="Z86" s="3" t="s">
        <v>8858</v>
      </c>
      <c r="AA86" s="3" t="s">
        <v>8996</v>
      </c>
      <c r="AB86" s="3" t="s">
        <v>8879</v>
      </c>
    </row>
    <row r="87" spans="1:28" s="3" customFormat="1" ht="60" x14ac:dyDescent="0.2">
      <c r="A87" s="435" t="s">
        <v>810</v>
      </c>
      <c r="B87" s="435"/>
      <c r="C87" s="435" t="s">
        <v>756</v>
      </c>
      <c r="D87" s="435" t="s">
        <v>811</v>
      </c>
      <c r="E87" s="436">
        <v>30061</v>
      </c>
      <c r="F87" s="437">
        <v>30061</v>
      </c>
      <c r="G87" s="438" t="s">
        <v>812</v>
      </c>
      <c r="H87" s="438" t="s">
        <v>646</v>
      </c>
      <c r="I87" s="439" t="s">
        <v>530</v>
      </c>
      <c r="J87" s="112" t="s">
        <v>760</v>
      </c>
      <c r="K87" s="440" t="str">
        <f>HYPERLINK("https://okcountyrecords.com/detail/roger+mills/1982-004658","OKCountyRecords: 1982-004658")</f>
        <v>OKCountyRecords: 1982-004658</v>
      </c>
      <c r="L87" s="442" t="s">
        <v>503</v>
      </c>
      <c r="M87" s="442"/>
      <c r="N87" s="442"/>
      <c r="O87" s="442" t="s">
        <v>422</v>
      </c>
      <c r="P87" s="3" t="s">
        <v>8903</v>
      </c>
      <c r="Q87" s="3" t="s">
        <v>2701</v>
      </c>
      <c r="R87" s="3" t="s">
        <v>2701</v>
      </c>
      <c r="S87" s="3" t="s">
        <v>2701</v>
      </c>
      <c r="T87" s="3" t="s">
        <v>2701</v>
      </c>
      <c r="U87" s="3" t="s">
        <v>8896</v>
      </c>
      <c r="V87" s="3" t="s">
        <v>3386</v>
      </c>
      <c r="W87" s="3" t="s">
        <v>8864</v>
      </c>
      <c r="X87" s="3" t="s">
        <v>2701</v>
      </c>
      <c r="Y87" s="3" t="s">
        <v>8851</v>
      </c>
      <c r="Z87" s="3" t="s">
        <v>2701</v>
      </c>
      <c r="AA87" s="3" t="s">
        <v>8997</v>
      </c>
      <c r="AB87" s="3" t="s">
        <v>8905</v>
      </c>
    </row>
    <row r="88" spans="1:28" s="3" customFormat="1" ht="36" x14ac:dyDescent="0.2">
      <c r="A88" s="435" t="s">
        <v>813</v>
      </c>
      <c r="B88" s="435"/>
      <c r="C88" s="435" t="s">
        <v>619</v>
      </c>
      <c r="D88" s="435" t="s">
        <v>814</v>
      </c>
      <c r="E88" s="436">
        <v>30081</v>
      </c>
      <c r="F88" s="437">
        <v>30081</v>
      </c>
      <c r="G88" s="438" t="s">
        <v>786</v>
      </c>
      <c r="H88" s="438" t="s">
        <v>799</v>
      </c>
      <c r="I88" s="439" t="s">
        <v>332</v>
      </c>
      <c r="J88" s="112" t="s">
        <v>815</v>
      </c>
      <c r="K88" s="440" t="str">
        <f>HYPERLINK("https://okcountyrecords.com/detail/roger+mills/1982-005352","OKCountyRecords: 1982-005352")</f>
        <v>OKCountyRecords: 1982-005352</v>
      </c>
      <c r="L88" s="442" t="s">
        <v>412</v>
      </c>
      <c r="M88" s="442" t="s">
        <v>641</v>
      </c>
      <c r="N88" s="442" t="s">
        <v>816</v>
      </c>
      <c r="O88" s="442" t="s">
        <v>428</v>
      </c>
      <c r="P88" s="3" t="s">
        <v>8934</v>
      </c>
      <c r="Q88" s="3" t="s">
        <v>118</v>
      </c>
      <c r="R88" s="3" t="s">
        <v>89</v>
      </c>
      <c r="S88" s="3" t="s">
        <v>118</v>
      </c>
      <c r="T88" s="3" t="s">
        <v>89</v>
      </c>
      <c r="U88" s="3" t="s">
        <v>8986</v>
      </c>
      <c r="V88" s="3" t="s">
        <v>3072</v>
      </c>
      <c r="W88" s="3" t="s">
        <v>8906</v>
      </c>
      <c r="X88" s="3" t="s">
        <v>8856</v>
      </c>
      <c r="Y88" s="3" t="s">
        <v>8998</v>
      </c>
      <c r="Z88" s="3" t="s">
        <v>8858</v>
      </c>
      <c r="AA88" s="3" t="s">
        <v>8999</v>
      </c>
    </row>
    <row r="89" spans="1:28" s="3" customFormat="1" ht="60" x14ac:dyDescent="0.2">
      <c r="A89" s="435" t="s">
        <v>817</v>
      </c>
      <c r="B89" s="435"/>
      <c r="C89" s="435" t="s">
        <v>604</v>
      </c>
      <c r="D89" s="435" t="s">
        <v>818</v>
      </c>
      <c r="E89" s="436">
        <v>30099</v>
      </c>
      <c r="F89" s="437">
        <v>30099</v>
      </c>
      <c r="G89" s="438" t="s">
        <v>819</v>
      </c>
      <c r="H89" s="438" t="s">
        <v>102</v>
      </c>
      <c r="I89" s="439" t="s">
        <v>231</v>
      </c>
      <c r="J89" s="112" t="s">
        <v>760</v>
      </c>
      <c r="K89" s="440" t="str">
        <f>HYPERLINK("https://okcountyrecords.com/detail/roger+mills/1982-006217","OKCountyRecords: 1982-006217")</f>
        <v>OKCountyRecords: 1982-006217</v>
      </c>
      <c r="L89" s="442" t="s">
        <v>503</v>
      </c>
      <c r="M89" s="442" t="s">
        <v>467</v>
      </c>
      <c r="N89" s="442" t="s">
        <v>504</v>
      </c>
      <c r="O89" s="442" t="s">
        <v>526</v>
      </c>
      <c r="P89" s="3" t="s">
        <v>8886</v>
      </c>
      <c r="Q89" s="3" t="s">
        <v>118</v>
      </c>
      <c r="R89" s="3" t="s">
        <v>89</v>
      </c>
      <c r="S89" s="3" t="s">
        <v>118</v>
      </c>
      <c r="T89" s="3" t="s">
        <v>89</v>
      </c>
      <c r="U89" s="3" t="s">
        <v>8896</v>
      </c>
      <c r="V89" s="3" t="s">
        <v>3386</v>
      </c>
      <c r="W89" s="3" t="s">
        <v>8864</v>
      </c>
      <c r="X89" s="3" t="s">
        <v>2701</v>
      </c>
      <c r="Y89" s="3" t="s">
        <v>8851</v>
      </c>
      <c r="Z89" s="3" t="s">
        <v>2701</v>
      </c>
      <c r="AA89" s="3" t="s">
        <v>9000</v>
      </c>
      <c r="AB89" s="3" t="s">
        <v>8888</v>
      </c>
    </row>
    <row r="90" spans="1:28" s="3" customFormat="1" ht="60" x14ac:dyDescent="0.2">
      <c r="A90" s="435" t="s">
        <v>820</v>
      </c>
      <c r="B90" s="435"/>
      <c r="C90" s="435" t="s">
        <v>604</v>
      </c>
      <c r="D90" s="435" t="s">
        <v>821</v>
      </c>
      <c r="E90" s="436">
        <v>30099</v>
      </c>
      <c r="F90" s="437">
        <v>30099</v>
      </c>
      <c r="G90" s="438" t="s">
        <v>819</v>
      </c>
      <c r="H90" s="438" t="s">
        <v>102</v>
      </c>
      <c r="I90" s="439" t="s">
        <v>231</v>
      </c>
      <c r="J90" s="112" t="s">
        <v>760</v>
      </c>
      <c r="K90" s="440" t="str">
        <f>HYPERLINK("https://okcountyrecords.com/detail/roger+mills/1982-006218","OKCountyRecords: 1982-006218")</f>
        <v>OKCountyRecords: 1982-006218</v>
      </c>
      <c r="L90" s="442" t="s">
        <v>503</v>
      </c>
      <c r="M90" s="442" t="s">
        <v>467</v>
      </c>
      <c r="N90" s="442" t="s">
        <v>504</v>
      </c>
      <c r="O90" s="442" t="s">
        <v>526</v>
      </c>
      <c r="P90" s="3" t="s">
        <v>8886</v>
      </c>
      <c r="Q90" s="3" t="s">
        <v>118</v>
      </c>
      <c r="R90" s="3" t="s">
        <v>89</v>
      </c>
      <c r="S90" s="3" t="s">
        <v>118</v>
      </c>
      <c r="T90" s="3" t="s">
        <v>89</v>
      </c>
      <c r="U90" s="3" t="s">
        <v>8896</v>
      </c>
      <c r="V90" s="3" t="s">
        <v>3386</v>
      </c>
      <c r="W90" s="3" t="s">
        <v>8864</v>
      </c>
      <c r="X90" s="3" t="s">
        <v>2701</v>
      </c>
      <c r="Y90" s="3" t="s">
        <v>8851</v>
      </c>
      <c r="Z90" s="3" t="s">
        <v>2701</v>
      </c>
      <c r="AA90" s="3" t="s">
        <v>9001</v>
      </c>
      <c r="AB90" s="3" t="s">
        <v>8888</v>
      </c>
    </row>
    <row r="91" spans="1:28" s="3" customFormat="1" ht="108" x14ac:dyDescent="0.2">
      <c r="A91" s="435" t="s">
        <v>822</v>
      </c>
      <c r="B91" s="435"/>
      <c r="C91" s="435" t="s">
        <v>619</v>
      </c>
      <c r="D91" s="435" t="s">
        <v>823</v>
      </c>
      <c r="E91" s="436">
        <v>30124</v>
      </c>
      <c r="F91" s="437">
        <v>30124</v>
      </c>
      <c r="G91" s="438" t="s">
        <v>824</v>
      </c>
      <c r="H91" s="438" t="s">
        <v>335</v>
      </c>
      <c r="I91" s="439" t="s">
        <v>825</v>
      </c>
      <c r="J91" s="112" t="s">
        <v>826</v>
      </c>
      <c r="K91" s="440" t="str">
        <f>HYPERLINK("https://okcountyrecords.com/detail/roger+mills/1982-007158","OKCountyRecords: 1982-007158")</f>
        <v>OKCountyRecords: 1982-007158</v>
      </c>
      <c r="L91" s="442" t="s">
        <v>412</v>
      </c>
      <c r="M91" s="442" t="s">
        <v>641</v>
      </c>
      <c r="N91" s="442" t="s">
        <v>827</v>
      </c>
      <c r="O91" s="442" t="s">
        <v>428</v>
      </c>
      <c r="P91" s="3" t="s">
        <v>8934</v>
      </c>
      <c r="Q91" s="3" t="s">
        <v>118</v>
      </c>
      <c r="R91" s="3" t="s">
        <v>89</v>
      </c>
      <c r="S91" s="3" t="s">
        <v>118</v>
      </c>
      <c r="T91" s="3" t="s">
        <v>89</v>
      </c>
      <c r="U91" s="3" t="s">
        <v>8975</v>
      </c>
      <c r="V91" s="3" t="s">
        <v>3386</v>
      </c>
      <c r="W91" s="3" t="s">
        <v>9628</v>
      </c>
      <c r="X91" s="3" t="s">
        <v>8856</v>
      </c>
      <c r="Y91" s="3" t="s">
        <v>9002</v>
      </c>
      <c r="Z91" s="3" t="s">
        <v>8858</v>
      </c>
      <c r="AA91" s="3" t="s">
        <v>9003</v>
      </c>
      <c r="AB91" s="3" t="s">
        <v>8867</v>
      </c>
    </row>
    <row r="92" spans="1:28" s="3" customFormat="1" ht="48" x14ac:dyDescent="0.2">
      <c r="A92" s="435" t="s">
        <v>828</v>
      </c>
      <c r="B92" s="435"/>
      <c r="C92" s="435" t="s">
        <v>619</v>
      </c>
      <c r="D92" s="435" t="s">
        <v>829</v>
      </c>
      <c r="E92" s="436">
        <v>30250</v>
      </c>
      <c r="F92" s="437">
        <v>30250</v>
      </c>
      <c r="G92" s="438" t="s">
        <v>830</v>
      </c>
      <c r="H92" s="438" t="s">
        <v>329</v>
      </c>
      <c r="I92" s="439" t="s">
        <v>831</v>
      </c>
      <c r="J92" s="112" t="s">
        <v>832</v>
      </c>
      <c r="K92" s="440" t="str">
        <f>HYPERLINK("https://okcountyrecords.com/detail/roger+mills/1982-011144","OKCountyRecords: 1982-011144")</f>
        <v>OKCountyRecords: 1982-011144</v>
      </c>
      <c r="L92" s="442" t="s">
        <v>412</v>
      </c>
      <c r="M92" s="442" t="s">
        <v>405</v>
      </c>
      <c r="N92" s="442"/>
      <c r="O92" s="442" t="s">
        <v>422</v>
      </c>
      <c r="P92" s="3" t="s">
        <v>8934</v>
      </c>
      <c r="Q92" s="3" t="s">
        <v>118</v>
      </c>
      <c r="R92" s="3" t="s">
        <v>89</v>
      </c>
      <c r="S92" s="3" t="s">
        <v>118</v>
      </c>
      <c r="T92" s="3" t="s">
        <v>89</v>
      </c>
      <c r="U92" s="3" t="s">
        <v>8862</v>
      </c>
      <c r="V92" s="3" t="s">
        <v>3072</v>
      </c>
      <c r="W92" s="3" t="s">
        <v>8864</v>
      </c>
      <c r="X92" s="3" t="s">
        <v>8865</v>
      </c>
      <c r="Y92" s="3" t="s">
        <v>9004</v>
      </c>
      <c r="Z92" s="3" t="s">
        <v>8858</v>
      </c>
      <c r="AA92" s="3" t="s">
        <v>9005</v>
      </c>
      <c r="AB92" s="3" t="s">
        <v>8867</v>
      </c>
    </row>
    <row r="93" spans="1:28" s="3" customFormat="1" ht="48" x14ac:dyDescent="0.2">
      <c r="A93" s="435" t="s">
        <v>833</v>
      </c>
      <c r="B93" s="435"/>
      <c r="C93" s="435" t="s">
        <v>619</v>
      </c>
      <c r="D93" s="435" t="s">
        <v>834</v>
      </c>
      <c r="E93" s="436">
        <v>30250</v>
      </c>
      <c r="F93" s="437">
        <v>30250</v>
      </c>
      <c r="G93" s="438" t="s">
        <v>835</v>
      </c>
      <c r="H93" s="438" t="s">
        <v>357</v>
      </c>
      <c r="I93" s="439" t="s">
        <v>831</v>
      </c>
      <c r="J93" s="383" t="s">
        <v>832</v>
      </c>
      <c r="K93" s="440" t="str">
        <f>HYPERLINK("https://okcountyrecords.com/detail/roger+mills/1982-011142","OKCountyRecords: 1982-011142")</f>
        <v>OKCountyRecords: 1982-011142</v>
      </c>
      <c r="L93" s="442" t="s">
        <v>412</v>
      </c>
      <c r="M93" s="442"/>
      <c r="N93" s="442"/>
      <c r="O93" s="442" t="s">
        <v>422</v>
      </c>
      <c r="P93" s="3" t="s">
        <v>8934</v>
      </c>
      <c r="Q93" s="3" t="s">
        <v>118</v>
      </c>
      <c r="R93" s="3" t="s">
        <v>89</v>
      </c>
      <c r="S93" s="3" t="s">
        <v>118</v>
      </c>
      <c r="T93" s="3" t="s">
        <v>89</v>
      </c>
      <c r="U93" s="3" t="s">
        <v>8862</v>
      </c>
      <c r="V93" s="3" t="s">
        <v>3072</v>
      </c>
      <c r="W93" s="3" t="s">
        <v>9629</v>
      </c>
      <c r="X93" s="3" t="s">
        <v>8865</v>
      </c>
      <c r="Y93" s="3" t="s">
        <v>9004</v>
      </c>
      <c r="Z93" s="3" t="s">
        <v>8858</v>
      </c>
      <c r="AA93" s="3" t="s">
        <v>9006</v>
      </c>
      <c r="AB93" s="3" t="s">
        <v>8867</v>
      </c>
    </row>
    <row r="94" spans="1:28" s="3" customFormat="1" ht="48" x14ac:dyDescent="0.2">
      <c r="A94" s="435" t="s">
        <v>836</v>
      </c>
      <c r="B94" s="435"/>
      <c r="C94" s="435" t="s">
        <v>619</v>
      </c>
      <c r="D94" s="435" t="s">
        <v>837</v>
      </c>
      <c r="E94" s="436">
        <v>30250</v>
      </c>
      <c r="F94" s="437">
        <v>30250</v>
      </c>
      <c r="G94" s="438" t="s">
        <v>835</v>
      </c>
      <c r="H94" s="438" t="s">
        <v>838</v>
      </c>
      <c r="I94" s="439" t="s">
        <v>831</v>
      </c>
      <c r="J94" s="383" t="s">
        <v>832</v>
      </c>
      <c r="K94" s="440" t="str">
        <f>HYPERLINK("https://okcountyrecords.com/detail/roger+mills/1982-011143","OKCountyRecords: 1982-011143")</f>
        <v>OKCountyRecords: 1982-011143</v>
      </c>
      <c r="L94" s="442" t="s">
        <v>412</v>
      </c>
      <c r="M94" s="442" t="s">
        <v>405</v>
      </c>
      <c r="N94" s="442"/>
      <c r="O94" s="442" t="s">
        <v>422</v>
      </c>
      <c r="P94" s="3" t="s">
        <v>8934</v>
      </c>
      <c r="Q94" s="3" t="s">
        <v>118</v>
      </c>
      <c r="R94" s="3" t="s">
        <v>89</v>
      </c>
      <c r="S94" s="3" t="s">
        <v>118</v>
      </c>
      <c r="T94" s="3" t="s">
        <v>89</v>
      </c>
      <c r="U94" s="3" t="s">
        <v>8862</v>
      </c>
      <c r="V94" s="3" t="s">
        <v>3072</v>
      </c>
      <c r="W94" s="3" t="s">
        <v>9629</v>
      </c>
      <c r="X94" s="3" t="s">
        <v>8865</v>
      </c>
      <c r="Y94" s="3" t="s">
        <v>9004</v>
      </c>
      <c r="Z94" s="3" t="s">
        <v>8858</v>
      </c>
      <c r="AA94" s="3" t="s">
        <v>9007</v>
      </c>
      <c r="AB94" s="3" t="s">
        <v>8867</v>
      </c>
    </row>
    <row r="95" spans="1:28" s="3" customFormat="1" ht="48" x14ac:dyDescent="0.25">
      <c r="A95" s="435" t="s">
        <v>839</v>
      </c>
      <c r="B95" s="435"/>
      <c r="C95" s="435" t="s">
        <v>619</v>
      </c>
      <c r="D95" s="435" t="s">
        <v>840</v>
      </c>
      <c r="E95" s="436">
        <v>30361</v>
      </c>
      <c r="F95" s="437">
        <v>30369</v>
      </c>
      <c r="G95" s="438" t="s">
        <v>835</v>
      </c>
      <c r="H95" s="438" t="s">
        <v>842</v>
      </c>
      <c r="I95" s="439" t="s">
        <v>831</v>
      </c>
      <c r="J95" s="112" t="s">
        <v>843</v>
      </c>
      <c r="K95" s="329" t="s">
        <v>844</v>
      </c>
      <c r="L95" s="442" t="s">
        <v>8708</v>
      </c>
      <c r="M95" s="442" t="s">
        <v>8709</v>
      </c>
      <c r="N95" s="442" t="s">
        <v>846</v>
      </c>
      <c r="O95" s="442" t="s">
        <v>422</v>
      </c>
      <c r="P95" s="3" t="s">
        <v>8934</v>
      </c>
      <c r="Q95" s="3" t="s">
        <v>118</v>
      </c>
      <c r="R95" s="3" t="s">
        <v>89</v>
      </c>
      <c r="S95" s="3" t="s">
        <v>118</v>
      </c>
      <c r="T95" s="3" t="s">
        <v>89</v>
      </c>
      <c r="U95" s="3" t="s">
        <v>8862</v>
      </c>
      <c r="V95" s="3" t="s">
        <v>3072</v>
      </c>
      <c r="W95" s="3" t="s">
        <v>9629</v>
      </c>
      <c r="X95" s="3" t="s">
        <v>2701</v>
      </c>
      <c r="Y95" s="3" t="s">
        <v>8851</v>
      </c>
      <c r="Z95" s="3" t="s">
        <v>2701</v>
      </c>
      <c r="AA95" s="3" t="s">
        <v>9008</v>
      </c>
      <c r="AB95" s="3" t="s">
        <v>8888</v>
      </c>
    </row>
    <row r="96" spans="1:28" s="3" customFormat="1" ht="48" x14ac:dyDescent="0.2">
      <c r="A96" s="435" t="s">
        <v>847</v>
      </c>
      <c r="B96" s="435"/>
      <c r="C96" s="435" t="s">
        <v>619</v>
      </c>
      <c r="D96" s="435" t="s">
        <v>848</v>
      </c>
      <c r="E96" s="436">
        <v>30369</v>
      </c>
      <c r="F96" s="437">
        <v>30369</v>
      </c>
      <c r="G96" s="438" t="s">
        <v>849</v>
      </c>
      <c r="H96" s="438" t="s">
        <v>850</v>
      </c>
      <c r="I96" s="439" t="s">
        <v>831</v>
      </c>
      <c r="J96" s="112" t="s">
        <v>851</v>
      </c>
      <c r="K96" s="440" t="str">
        <f>HYPERLINK("https://okcountyrecords.com/detail/roger+mills/1983-001669","OKCountyRecords: 1983-001669")</f>
        <v>OKCountyRecords: 1983-001669</v>
      </c>
      <c r="L96" s="442" t="s">
        <v>412</v>
      </c>
      <c r="M96" s="442"/>
      <c r="N96" s="442"/>
      <c r="O96" s="442" t="s">
        <v>422</v>
      </c>
      <c r="P96" s="3" t="s">
        <v>8934</v>
      </c>
      <c r="Q96" s="3" t="s">
        <v>118</v>
      </c>
      <c r="R96" s="3" t="s">
        <v>89</v>
      </c>
      <c r="S96" s="3" t="s">
        <v>118</v>
      </c>
      <c r="T96" s="3" t="s">
        <v>89</v>
      </c>
      <c r="U96" s="3" t="s">
        <v>8862</v>
      </c>
      <c r="V96" s="3" t="s">
        <v>3072</v>
      </c>
      <c r="W96" s="3" t="s">
        <v>8864</v>
      </c>
      <c r="X96" s="3" t="s">
        <v>8865</v>
      </c>
      <c r="Y96" s="3" t="s">
        <v>9009</v>
      </c>
      <c r="Z96" s="3" t="s">
        <v>8858</v>
      </c>
      <c r="AA96" s="3" t="s">
        <v>9010</v>
      </c>
      <c r="AB96" s="3" t="s">
        <v>8867</v>
      </c>
    </row>
    <row r="97" spans="1:28" s="3" customFormat="1" ht="60" x14ac:dyDescent="0.2">
      <c r="A97" s="435" t="s">
        <v>852</v>
      </c>
      <c r="B97" s="435"/>
      <c r="C97" s="435" t="s">
        <v>853</v>
      </c>
      <c r="D97" s="435" t="s">
        <v>854</v>
      </c>
      <c r="E97" s="436">
        <v>30369</v>
      </c>
      <c r="F97" s="437">
        <v>30369</v>
      </c>
      <c r="G97" s="438" t="s">
        <v>721</v>
      </c>
      <c r="H97" s="438" t="s">
        <v>855</v>
      </c>
      <c r="I97" s="439" t="s">
        <v>530</v>
      </c>
      <c r="J97" s="112" t="s">
        <v>853</v>
      </c>
      <c r="K97" s="440" t="str">
        <f>HYPERLINK("https://okcountyrecords.com/detail/roger+mills/1983-001668","OKCountyRecords: 1983-001668")</f>
        <v>OKCountyRecords: 1983-001668</v>
      </c>
      <c r="L97" s="442" t="s">
        <v>503</v>
      </c>
      <c r="M97" s="442"/>
      <c r="N97" s="442"/>
      <c r="O97" s="442" t="s">
        <v>422</v>
      </c>
      <c r="P97" s="3" t="s">
        <v>8886</v>
      </c>
      <c r="Q97" s="3" t="s">
        <v>118</v>
      </c>
      <c r="R97" s="3" t="s">
        <v>89</v>
      </c>
      <c r="S97" s="3" t="s">
        <v>118</v>
      </c>
      <c r="T97" s="3" t="s">
        <v>89</v>
      </c>
      <c r="U97" s="3" t="s">
        <v>8896</v>
      </c>
      <c r="V97" s="3" t="s">
        <v>3386</v>
      </c>
      <c r="W97" s="3" t="s">
        <v>8906</v>
      </c>
      <c r="X97" s="3" t="s">
        <v>2701</v>
      </c>
      <c r="Y97" s="3" t="s">
        <v>8851</v>
      </c>
      <c r="Z97" s="3" t="s">
        <v>2701</v>
      </c>
      <c r="AA97" s="3" t="s">
        <v>9011</v>
      </c>
      <c r="AB97" s="3" t="s">
        <v>8853</v>
      </c>
    </row>
    <row r="98" spans="1:28" s="3" customFormat="1" ht="84" x14ac:dyDescent="0.2">
      <c r="A98" s="435" t="s">
        <v>856</v>
      </c>
      <c r="B98" s="435"/>
      <c r="C98" s="435" t="s">
        <v>585</v>
      </c>
      <c r="D98" s="435" t="s">
        <v>857</v>
      </c>
      <c r="E98" s="436">
        <v>30369</v>
      </c>
      <c r="F98" s="437">
        <v>30369</v>
      </c>
      <c r="G98" s="438" t="s">
        <v>858</v>
      </c>
      <c r="H98" s="438" t="s">
        <v>859</v>
      </c>
      <c r="I98" s="439" t="s">
        <v>860</v>
      </c>
      <c r="J98" s="112" t="s">
        <v>8680</v>
      </c>
      <c r="K98" s="440" t="str">
        <f>HYPERLINK("https://okcountyrecords.com/detail/roger+mills/1983-001671","OKCountyRecords: 1983-001671")</f>
        <v>OKCountyRecords: 1983-001671</v>
      </c>
      <c r="L98" s="442" t="s">
        <v>653</v>
      </c>
      <c r="M98" s="442" t="s">
        <v>405</v>
      </c>
      <c r="N98" s="442"/>
      <c r="O98" s="442" t="s">
        <v>422</v>
      </c>
      <c r="P98" s="3" t="s">
        <v>8886</v>
      </c>
      <c r="Q98" s="3" t="s">
        <v>118</v>
      </c>
      <c r="R98" s="3" t="s">
        <v>89</v>
      </c>
      <c r="S98" s="3" t="s">
        <v>118</v>
      </c>
      <c r="T98" s="3" t="s">
        <v>89</v>
      </c>
      <c r="U98" s="3" t="s">
        <v>8896</v>
      </c>
      <c r="V98" s="3" t="s">
        <v>3386</v>
      </c>
      <c r="W98" s="3" t="s">
        <v>8864</v>
      </c>
      <c r="X98" s="3" t="s">
        <v>2701</v>
      </c>
      <c r="Y98" s="3" t="s">
        <v>8857</v>
      </c>
      <c r="Z98" s="3" t="s">
        <v>8858</v>
      </c>
      <c r="AA98" s="3" t="s">
        <v>9012</v>
      </c>
      <c r="AB98" s="3" t="s">
        <v>8867</v>
      </c>
    </row>
    <row r="99" spans="1:28" s="3" customFormat="1" ht="48" x14ac:dyDescent="0.2">
      <c r="A99" s="435" t="s">
        <v>861</v>
      </c>
      <c r="B99" s="435"/>
      <c r="C99" s="435" t="s">
        <v>619</v>
      </c>
      <c r="D99" s="435" t="s">
        <v>862</v>
      </c>
      <c r="E99" s="436">
        <v>30388</v>
      </c>
      <c r="F99" s="437">
        <v>30388</v>
      </c>
      <c r="G99" s="438" t="s">
        <v>850</v>
      </c>
      <c r="H99" s="438" t="s">
        <v>863</v>
      </c>
      <c r="I99" s="439" t="s">
        <v>831</v>
      </c>
      <c r="J99" s="112" t="s">
        <v>832</v>
      </c>
      <c r="K99" s="440" t="str">
        <f>HYPERLINK("https://okcountyrecords.com/detail/roger+mills/1983-002348","OKCountyRecords: 1983-002348")</f>
        <v>OKCountyRecords: 1983-002348</v>
      </c>
      <c r="L99" s="442" t="s">
        <v>412</v>
      </c>
      <c r="M99" s="442"/>
      <c r="N99" s="442"/>
      <c r="O99" s="442" t="s">
        <v>422</v>
      </c>
      <c r="P99" s="3" t="s">
        <v>8934</v>
      </c>
      <c r="Q99" s="3" t="s">
        <v>118</v>
      </c>
      <c r="R99" s="3" t="s">
        <v>89</v>
      </c>
      <c r="S99" s="3" t="s">
        <v>118</v>
      </c>
      <c r="T99" s="3" t="s">
        <v>89</v>
      </c>
      <c r="U99" s="3" t="s">
        <v>8862</v>
      </c>
      <c r="V99" s="3" t="s">
        <v>3072</v>
      </c>
      <c r="W99" s="3" t="s">
        <v>8906</v>
      </c>
      <c r="X99" s="3" t="s">
        <v>8865</v>
      </c>
      <c r="Y99" s="3" t="s">
        <v>9004</v>
      </c>
      <c r="Z99" s="3" t="s">
        <v>8858</v>
      </c>
      <c r="AA99" s="3" t="s">
        <v>9013</v>
      </c>
    </row>
    <row r="100" spans="1:28" s="3" customFormat="1" ht="48" x14ac:dyDescent="0.2">
      <c r="A100" s="435" t="s">
        <v>864</v>
      </c>
      <c r="B100" s="435"/>
      <c r="C100" s="435" t="s">
        <v>619</v>
      </c>
      <c r="D100" s="435" t="s">
        <v>865</v>
      </c>
      <c r="E100" s="436">
        <v>30388</v>
      </c>
      <c r="F100" s="437">
        <v>30388</v>
      </c>
      <c r="G100" s="438" t="s">
        <v>850</v>
      </c>
      <c r="H100" s="438" t="s">
        <v>866</v>
      </c>
      <c r="I100" s="439" t="s">
        <v>831</v>
      </c>
      <c r="J100" s="112" t="s">
        <v>832</v>
      </c>
      <c r="K100" s="440" t="str">
        <f>HYPERLINK("https://okcountyrecords.com/detail/roger+mills/1983-002349","OKCountyRecords: 1983-002349")</f>
        <v>OKCountyRecords: 1983-002349</v>
      </c>
      <c r="L100" s="442" t="s">
        <v>412</v>
      </c>
      <c r="M100" s="442" t="s">
        <v>405</v>
      </c>
      <c r="N100" s="442"/>
      <c r="O100" s="442" t="s">
        <v>422</v>
      </c>
      <c r="P100" s="3" t="s">
        <v>8934</v>
      </c>
      <c r="Q100" s="3" t="s">
        <v>118</v>
      </c>
      <c r="R100" s="3" t="s">
        <v>89</v>
      </c>
      <c r="S100" s="3" t="s">
        <v>118</v>
      </c>
      <c r="T100" s="3" t="s">
        <v>89</v>
      </c>
      <c r="U100" s="3" t="s">
        <v>8862</v>
      </c>
      <c r="V100" s="3" t="s">
        <v>3072</v>
      </c>
      <c r="W100" s="3" t="s">
        <v>8906</v>
      </c>
      <c r="X100" s="3" t="s">
        <v>8865</v>
      </c>
      <c r="Y100" s="3" t="s">
        <v>9004</v>
      </c>
      <c r="Z100" s="3" t="s">
        <v>8858</v>
      </c>
      <c r="AA100" s="3" t="s">
        <v>9014</v>
      </c>
    </row>
    <row r="101" spans="1:28" s="3" customFormat="1" ht="48" x14ac:dyDescent="0.2">
      <c r="A101" s="435" t="s">
        <v>867</v>
      </c>
      <c r="B101" s="435"/>
      <c r="C101" s="435" t="s">
        <v>619</v>
      </c>
      <c r="D101" s="435" t="s">
        <v>868</v>
      </c>
      <c r="E101" s="436">
        <v>30388</v>
      </c>
      <c r="F101" s="437">
        <v>30388</v>
      </c>
      <c r="G101" s="438" t="s">
        <v>850</v>
      </c>
      <c r="H101" s="438" t="s">
        <v>869</v>
      </c>
      <c r="I101" s="439" t="s">
        <v>831</v>
      </c>
      <c r="J101" s="112" t="s">
        <v>832</v>
      </c>
      <c r="K101" s="440" t="str">
        <f>HYPERLINK("https://okcountyrecords.com/detail/roger+mills/1983-002350","OKCountyRecords: 1983-002350")</f>
        <v>OKCountyRecords: 1983-002350</v>
      </c>
      <c r="L101" s="442" t="s">
        <v>412</v>
      </c>
      <c r="M101" s="442" t="s">
        <v>405</v>
      </c>
      <c r="N101" s="442"/>
      <c r="O101" s="442" t="s">
        <v>422</v>
      </c>
      <c r="P101" s="3" t="s">
        <v>8934</v>
      </c>
      <c r="Q101" s="3" t="s">
        <v>118</v>
      </c>
      <c r="R101" s="3" t="s">
        <v>89</v>
      </c>
      <c r="S101" s="3" t="s">
        <v>118</v>
      </c>
      <c r="T101" s="3" t="s">
        <v>89</v>
      </c>
      <c r="U101" s="3" t="s">
        <v>8862</v>
      </c>
      <c r="V101" s="3" t="s">
        <v>3072</v>
      </c>
      <c r="W101" s="3" t="s">
        <v>8906</v>
      </c>
      <c r="X101" s="3" t="s">
        <v>8865</v>
      </c>
      <c r="Y101" s="3" t="s">
        <v>9004</v>
      </c>
      <c r="Z101" s="3" t="s">
        <v>8858</v>
      </c>
      <c r="AA101" s="3" t="s">
        <v>9015</v>
      </c>
    </row>
    <row r="102" spans="1:28" s="3" customFormat="1" ht="48" x14ac:dyDescent="0.2">
      <c r="A102" s="435" t="s">
        <v>870</v>
      </c>
      <c r="B102" s="435"/>
      <c r="C102" s="435" t="s">
        <v>619</v>
      </c>
      <c r="D102" s="435" t="s">
        <v>871</v>
      </c>
      <c r="E102" s="436">
        <v>30388</v>
      </c>
      <c r="F102" s="437">
        <v>30388</v>
      </c>
      <c r="G102" s="438" t="s">
        <v>850</v>
      </c>
      <c r="H102" s="438" t="s">
        <v>872</v>
      </c>
      <c r="I102" s="439" t="s">
        <v>831</v>
      </c>
      <c r="J102" s="112" t="s">
        <v>832</v>
      </c>
      <c r="K102" s="440" t="str">
        <f>HYPERLINK("https://okcountyrecords.com/detail/roger+mills/1983-002351","OKCountyRecords: 1983-002351")</f>
        <v>OKCountyRecords: 1983-002351</v>
      </c>
      <c r="L102" s="442" t="s">
        <v>412</v>
      </c>
      <c r="M102" s="442" t="s">
        <v>405</v>
      </c>
      <c r="N102" s="442"/>
      <c r="O102" s="442" t="s">
        <v>422</v>
      </c>
      <c r="P102" s="3" t="s">
        <v>8934</v>
      </c>
      <c r="Q102" s="3" t="s">
        <v>118</v>
      </c>
      <c r="R102" s="3" t="s">
        <v>89</v>
      </c>
      <c r="S102" s="3" t="s">
        <v>118</v>
      </c>
      <c r="T102" s="3" t="s">
        <v>89</v>
      </c>
      <c r="U102" s="3" t="s">
        <v>8862</v>
      </c>
      <c r="V102" s="3" t="s">
        <v>3072</v>
      </c>
      <c r="W102" s="3" t="s">
        <v>8906</v>
      </c>
      <c r="X102" s="3" t="s">
        <v>8865</v>
      </c>
      <c r="Y102" s="3" t="s">
        <v>9004</v>
      </c>
      <c r="Z102" s="3" t="s">
        <v>8858</v>
      </c>
      <c r="AA102" s="3" t="s">
        <v>9016</v>
      </c>
    </row>
    <row r="103" spans="1:28" s="3" customFormat="1" ht="48" x14ac:dyDescent="0.2">
      <c r="A103" s="435" t="s">
        <v>873</v>
      </c>
      <c r="B103" s="435"/>
      <c r="C103" s="435" t="s">
        <v>619</v>
      </c>
      <c r="D103" s="435" t="s">
        <v>874</v>
      </c>
      <c r="E103" s="436">
        <v>30388</v>
      </c>
      <c r="F103" s="437">
        <v>30388</v>
      </c>
      <c r="G103" s="438" t="s">
        <v>850</v>
      </c>
      <c r="H103" s="438" t="s">
        <v>875</v>
      </c>
      <c r="I103" s="443" t="s">
        <v>831</v>
      </c>
      <c r="J103" s="112" t="s">
        <v>876</v>
      </c>
      <c r="K103" s="440" t="str">
        <f>HYPERLINK("https://okcountyrecords.com/detail/roger+mills/1983-002352","OKCountyRecords: 1983-002352")</f>
        <v>OKCountyRecords: 1983-002352</v>
      </c>
      <c r="L103" s="442" t="s">
        <v>412</v>
      </c>
      <c r="M103" s="442" t="s">
        <v>405</v>
      </c>
      <c r="N103" s="442"/>
      <c r="O103" s="442" t="s">
        <v>422</v>
      </c>
      <c r="P103" s="3" t="s">
        <v>8934</v>
      </c>
      <c r="Q103" s="3" t="s">
        <v>118</v>
      </c>
      <c r="R103" s="3" t="s">
        <v>89</v>
      </c>
      <c r="S103" s="3" t="s">
        <v>118</v>
      </c>
      <c r="T103" s="3" t="s">
        <v>89</v>
      </c>
      <c r="U103" s="3" t="s">
        <v>8862</v>
      </c>
      <c r="V103" s="3" t="s">
        <v>3072</v>
      </c>
      <c r="W103" s="3" t="s">
        <v>8906</v>
      </c>
      <c r="X103" s="3" t="s">
        <v>8865</v>
      </c>
      <c r="Y103" s="3" t="s">
        <v>9017</v>
      </c>
      <c r="Z103" s="3" t="s">
        <v>8858</v>
      </c>
      <c r="AA103" s="3" t="s">
        <v>9018</v>
      </c>
    </row>
    <row r="104" spans="1:28" s="3" customFormat="1" ht="60" x14ac:dyDescent="0.2">
      <c r="A104" s="435" t="s">
        <v>877</v>
      </c>
      <c r="B104" s="435"/>
      <c r="C104" s="435" t="s">
        <v>604</v>
      </c>
      <c r="D104" s="435" t="s">
        <v>878</v>
      </c>
      <c r="E104" s="436">
        <v>30666</v>
      </c>
      <c r="F104" s="437">
        <v>30666</v>
      </c>
      <c r="G104" s="438" t="s">
        <v>879</v>
      </c>
      <c r="H104" s="438" t="s">
        <v>102</v>
      </c>
      <c r="I104" s="439" t="s">
        <v>231</v>
      </c>
      <c r="J104" s="112" t="s">
        <v>760</v>
      </c>
      <c r="K104" s="440" t="str">
        <f>HYPERLINK("https://okcountyrecords.com/detail/roger+mills/1983-009331","OKCountyRecords: 1983-009331")</f>
        <v>OKCountyRecords: 1983-009331</v>
      </c>
      <c r="L104" s="442" t="s">
        <v>503</v>
      </c>
      <c r="M104" s="442" t="s">
        <v>467</v>
      </c>
      <c r="N104" s="442" t="s">
        <v>504</v>
      </c>
      <c r="O104" s="442" t="s">
        <v>526</v>
      </c>
      <c r="P104" s="3" t="s">
        <v>8886</v>
      </c>
      <c r="Q104" s="3" t="s">
        <v>118</v>
      </c>
      <c r="R104" s="3" t="s">
        <v>89</v>
      </c>
      <c r="S104" s="3" t="s">
        <v>118</v>
      </c>
      <c r="T104" s="3" t="s">
        <v>89</v>
      </c>
      <c r="U104" s="3" t="s">
        <v>8896</v>
      </c>
      <c r="V104" s="3" t="s">
        <v>3386</v>
      </c>
      <c r="W104" s="3" t="s">
        <v>8864</v>
      </c>
      <c r="X104" s="3" t="s">
        <v>2701</v>
      </c>
      <c r="Y104" s="3" t="s">
        <v>8851</v>
      </c>
      <c r="Z104" s="3" t="s">
        <v>2701</v>
      </c>
      <c r="AA104" s="3" t="s">
        <v>9019</v>
      </c>
      <c r="AB104" s="3" t="s">
        <v>8888</v>
      </c>
    </row>
    <row r="105" spans="1:28" s="3" customFormat="1" ht="36" x14ac:dyDescent="0.2">
      <c r="A105" s="435" t="s">
        <v>880</v>
      </c>
      <c r="B105" s="435"/>
      <c r="C105" s="435" t="s">
        <v>619</v>
      </c>
      <c r="D105" s="435" t="s">
        <v>881</v>
      </c>
      <c r="E105" s="436">
        <v>30741</v>
      </c>
      <c r="F105" s="437">
        <v>30770</v>
      </c>
      <c r="G105" s="438" t="s">
        <v>799</v>
      </c>
      <c r="H105" s="438" t="s">
        <v>882</v>
      </c>
      <c r="I105" s="439" t="s">
        <v>883</v>
      </c>
      <c r="J105" s="112" t="s">
        <v>884</v>
      </c>
      <c r="K105" s="440" t="str">
        <f>HYPERLINK("https://okcountyrecords.com/detail/roger+mills/1984-002943","OKCountyRecords: 1984-002943")</f>
        <v>OKCountyRecords: 1984-002943</v>
      </c>
      <c r="L105" s="442" t="s">
        <v>412</v>
      </c>
      <c r="M105" s="442" t="s">
        <v>641</v>
      </c>
      <c r="N105" s="442" t="s">
        <v>8710</v>
      </c>
      <c r="O105" s="442" t="s">
        <v>422</v>
      </c>
      <c r="P105" s="3" t="s">
        <v>8934</v>
      </c>
      <c r="Q105" s="3" t="s">
        <v>118</v>
      </c>
      <c r="R105" s="3" t="s">
        <v>89</v>
      </c>
      <c r="S105" s="3" t="s">
        <v>118</v>
      </c>
      <c r="T105" s="3" t="s">
        <v>89</v>
      </c>
      <c r="U105" s="3" t="s">
        <v>8986</v>
      </c>
      <c r="V105" s="3" t="s">
        <v>3072</v>
      </c>
      <c r="W105" s="3" t="s">
        <v>8906</v>
      </c>
      <c r="X105" s="3" t="s">
        <v>8856</v>
      </c>
      <c r="Y105" s="3" t="s">
        <v>9020</v>
      </c>
      <c r="Z105" s="3" t="s">
        <v>8858</v>
      </c>
      <c r="AA105" s="3" t="s">
        <v>9021</v>
      </c>
    </row>
    <row r="106" spans="1:28" ht="36" x14ac:dyDescent="0.2">
      <c r="A106" s="435" t="s">
        <v>886</v>
      </c>
      <c r="B106" s="435"/>
      <c r="C106" s="435" t="s">
        <v>619</v>
      </c>
      <c r="D106" s="435" t="s">
        <v>887</v>
      </c>
      <c r="E106" s="436">
        <v>30770</v>
      </c>
      <c r="F106" s="437">
        <v>30770</v>
      </c>
      <c r="G106" s="438" t="s">
        <v>799</v>
      </c>
      <c r="H106" s="438" t="s">
        <v>888</v>
      </c>
      <c r="I106" s="439" t="s">
        <v>883</v>
      </c>
      <c r="J106" s="112" t="s">
        <v>889</v>
      </c>
      <c r="K106" s="440" t="str">
        <f>HYPERLINK("https://okcountyrecords.com/detail/roger+mills/1984-002948","OKCountyRecords: 1984-002948")</f>
        <v>OKCountyRecords: 1984-002948</v>
      </c>
      <c r="L106" s="133" t="s">
        <v>412</v>
      </c>
      <c r="M106" s="133" t="s">
        <v>641</v>
      </c>
      <c r="N106" s="133" t="s">
        <v>8710</v>
      </c>
      <c r="O106" s="133" t="s">
        <v>422</v>
      </c>
      <c r="P106" s="114" t="s">
        <v>8934</v>
      </c>
      <c r="Q106" s="114" t="s">
        <v>118</v>
      </c>
      <c r="R106" s="114" t="s">
        <v>89</v>
      </c>
      <c r="S106" s="114" t="s">
        <v>118</v>
      </c>
      <c r="T106" s="114" t="s">
        <v>89</v>
      </c>
      <c r="U106" s="114" t="s">
        <v>8986</v>
      </c>
      <c r="V106" s="114" t="s">
        <v>3072</v>
      </c>
      <c r="W106" s="114" t="s">
        <v>8906</v>
      </c>
      <c r="X106" s="114" t="s">
        <v>2701</v>
      </c>
      <c r="Y106" s="114" t="s">
        <v>9022</v>
      </c>
      <c r="Z106" s="114" t="s">
        <v>8858</v>
      </c>
      <c r="AA106" s="114" t="s">
        <v>9023</v>
      </c>
    </row>
    <row r="107" spans="1:28" ht="48" x14ac:dyDescent="0.2">
      <c r="A107" s="435" t="s">
        <v>890</v>
      </c>
      <c r="B107" s="435"/>
      <c r="C107" s="435" t="s">
        <v>619</v>
      </c>
      <c r="D107" s="435" t="s">
        <v>891</v>
      </c>
      <c r="E107" s="436">
        <v>30791</v>
      </c>
      <c r="F107" s="437">
        <v>30791</v>
      </c>
      <c r="G107" s="438" t="s">
        <v>353</v>
      </c>
      <c r="H107" s="438" t="s">
        <v>892</v>
      </c>
      <c r="I107" s="439" t="s">
        <v>831</v>
      </c>
      <c r="J107" s="112" t="s">
        <v>832</v>
      </c>
      <c r="K107" s="440" t="str">
        <f>HYPERLINK("https://okcountyrecords.com/detail/roger+mills/1984-003786","OKCountyRecords: 1984-003786")</f>
        <v>OKCountyRecords: 1984-003786</v>
      </c>
      <c r="L107" s="133" t="s">
        <v>412</v>
      </c>
      <c r="M107" s="133" t="s">
        <v>405</v>
      </c>
      <c r="N107" s="133"/>
      <c r="O107" s="133" t="s">
        <v>422</v>
      </c>
      <c r="P107" s="114" t="s">
        <v>8934</v>
      </c>
      <c r="Q107" s="114" t="s">
        <v>118</v>
      </c>
      <c r="R107" s="114" t="s">
        <v>89</v>
      </c>
      <c r="S107" s="114" t="s">
        <v>118</v>
      </c>
      <c r="T107" s="114" t="s">
        <v>89</v>
      </c>
      <c r="U107" s="114" t="s">
        <v>8862</v>
      </c>
      <c r="V107" s="114" t="s">
        <v>3072</v>
      </c>
      <c r="W107" s="114" t="s">
        <v>8906</v>
      </c>
      <c r="X107" s="114" t="s">
        <v>8865</v>
      </c>
      <c r="Y107" s="114" t="s">
        <v>9004</v>
      </c>
      <c r="Z107" s="114" t="s">
        <v>8858</v>
      </c>
      <c r="AA107" s="114" t="s">
        <v>9024</v>
      </c>
    </row>
    <row r="108" spans="1:28" ht="48" x14ac:dyDescent="0.2">
      <c r="A108" s="435" t="s">
        <v>893</v>
      </c>
      <c r="B108" s="435"/>
      <c r="C108" s="435" t="s">
        <v>894</v>
      </c>
      <c r="D108" s="435" t="s">
        <v>895</v>
      </c>
      <c r="E108" s="436">
        <v>30967</v>
      </c>
      <c r="F108" s="437">
        <v>30967</v>
      </c>
      <c r="G108" s="438" t="s">
        <v>896</v>
      </c>
      <c r="H108" s="438" t="s">
        <v>102</v>
      </c>
      <c r="I108" s="439" t="s">
        <v>579</v>
      </c>
      <c r="J108" s="112" t="s">
        <v>897</v>
      </c>
      <c r="K108" s="440" t="str">
        <f>HYPERLINK("https://okcountyrecords.com/detail/roger+mills/1984-009873","OKCountyRecords: 1984-009873")</f>
        <v>OKCountyRecords: 1984-009873</v>
      </c>
      <c r="L108" s="133" t="s">
        <v>466</v>
      </c>
      <c r="M108" s="133" t="s">
        <v>467</v>
      </c>
      <c r="N108" s="133" t="s">
        <v>504</v>
      </c>
      <c r="O108" s="133" t="s">
        <v>422</v>
      </c>
      <c r="P108" s="114" t="s">
        <v>8903</v>
      </c>
      <c r="Q108" s="114" t="s">
        <v>2701</v>
      </c>
      <c r="R108" s="114" t="s">
        <v>2701</v>
      </c>
      <c r="S108" s="114" t="s">
        <v>2701</v>
      </c>
      <c r="T108" s="114" t="s">
        <v>2701</v>
      </c>
      <c r="U108" s="114" t="s">
        <v>8901</v>
      </c>
      <c r="V108" s="114" t="s">
        <v>3072</v>
      </c>
      <c r="W108" s="114" t="s">
        <v>8864</v>
      </c>
      <c r="X108" s="114" t="s">
        <v>8873</v>
      </c>
      <c r="Y108" s="114" t="s">
        <v>8851</v>
      </c>
      <c r="Z108" s="114" t="s">
        <v>2701</v>
      </c>
      <c r="AA108" s="114" t="s">
        <v>9025</v>
      </c>
      <c r="AB108" s="114" t="s">
        <v>8905</v>
      </c>
    </row>
    <row r="109" spans="1:28" ht="48" x14ac:dyDescent="0.2">
      <c r="A109" s="435" t="s">
        <v>898</v>
      </c>
      <c r="B109" s="435"/>
      <c r="C109" s="435" t="s">
        <v>899</v>
      </c>
      <c r="D109" s="435" t="s">
        <v>900</v>
      </c>
      <c r="E109" s="436">
        <v>31158</v>
      </c>
      <c r="F109" s="437">
        <v>31158</v>
      </c>
      <c r="G109" s="438" t="s">
        <v>795</v>
      </c>
      <c r="H109" s="438" t="s">
        <v>901</v>
      </c>
      <c r="I109" s="439" t="s">
        <v>902</v>
      </c>
      <c r="J109" s="112" t="s">
        <v>63</v>
      </c>
      <c r="K109" s="440" t="str">
        <f>HYPERLINK("https://okcountyrecords.com/detail/roger+mills/1985-002650","OKCountyRecords: 1985-002650")</f>
        <v>OKCountyRecords: 1985-002650</v>
      </c>
      <c r="L109" s="133" t="s">
        <v>412</v>
      </c>
      <c r="M109" s="133" t="s">
        <v>405</v>
      </c>
      <c r="N109" s="133"/>
      <c r="O109" s="133" t="s">
        <v>422</v>
      </c>
      <c r="P109" s="114" t="s">
        <v>8934</v>
      </c>
      <c r="Q109" s="114" t="s">
        <v>118</v>
      </c>
      <c r="R109" s="114" t="s">
        <v>89</v>
      </c>
      <c r="S109" s="114" t="s">
        <v>118</v>
      </c>
      <c r="T109" s="114" t="s">
        <v>89</v>
      </c>
      <c r="U109" s="114" t="s">
        <v>8935</v>
      </c>
      <c r="V109" s="114" t="s">
        <v>2701</v>
      </c>
      <c r="W109" s="114" t="s">
        <v>8906</v>
      </c>
      <c r="X109" s="114" t="s">
        <v>8869</v>
      </c>
      <c r="Y109" s="114" t="s">
        <v>8857</v>
      </c>
      <c r="Z109" s="114" t="s">
        <v>8858</v>
      </c>
      <c r="AA109" s="114" t="s">
        <v>9026</v>
      </c>
      <c r="AB109" s="114" t="s">
        <v>8879</v>
      </c>
    </row>
    <row r="110" spans="1:28" ht="72" x14ac:dyDescent="0.2">
      <c r="A110" s="435" t="s">
        <v>903</v>
      </c>
      <c r="B110" s="435"/>
      <c r="C110" s="435" t="s">
        <v>904</v>
      </c>
      <c r="D110" s="435" t="s">
        <v>905</v>
      </c>
      <c r="E110" s="436">
        <v>31279</v>
      </c>
      <c r="F110" s="437">
        <v>31279</v>
      </c>
      <c r="G110" s="438" t="s">
        <v>906</v>
      </c>
      <c r="H110" s="438" t="s">
        <v>907</v>
      </c>
      <c r="I110" s="439" t="s">
        <v>908</v>
      </c>
      <c r="J110" s="112" t="s">
        <v>9564</v>
      </c>
      <c r="K110" s="440" t="str">
        <f>HYPERLINK("https://okcountyrecords.com/detail/roger+mills/1985-005895","OKCountyRecords: 1985-005895")</f>
        <v>OKCountyRecords: 1985-005895</v>
      </c>
      <c r="L110" s="133" t="s">
        <v>412</v>
      </c>
      <c r="M110" s="133" t="s">
        <v>405</v>
      </c>
      <c r="N110" s="133"/>
      <c r="O110" s="133" t="s">
        <v>422</v>
      </c>
      <c r="P110" s="114" t="s">
        <v>8854</v>
      </c>
      <c r="Q110" s="114" t="s">
        <v>118</v>
      </c>
      <c r="R110" s="114" t="s">
        <v>89</v>
      </c>
      <c r="S110" s="114" t="s">
        <v>2701</v>
      </c>
      <c r="T110" s="114" t="s">
        <v>89</v>
      </c>
      <c r="U110" s="114" t="s">
        <v>8901</v>
      </c>
      <c r="V110" s="114" t="s">
        <v>3072</v>
      </c>
      <c r="W110" s="114" t="s">
        <v>8864</v>
      </c>
      <c r="X110" s="114" t="s">
        <v>8873</v>
      </c>
      <c r="Y110" s="114" t="s">
        <v>8857</v>
      </c>
      <c r="Z110" s="114" t="s">
        <v>8858</v>
      </c>
      <c r="AA110" s="114" t="s">
        <v>9027</v>
      </c>
      <c r="AB110" s="114" t="s">
        <v>8867</v>
      </c>
    </row>
    <row r="111" spans="1:28" ht="48" x14ac:dyDescent="0.2">
      <c r="A111" s="435" t="s">
        <v>909</v>
      </c>
      <c r="B111" s="435"/>
      <c r="C111" s="435" t="s">
        <v>619</v>
      </c>
      <c r="D111" s="435" t="s">
        <v>910</v>
      </c>
      <c r="E111" s="436">
        <v>31308</v>
      </c>
      <c r="F111" s="437">
        <v>31308</v>
      </c>
      <c r="G111" s="438" t="s">
        <v>739</v>
      </c>
      <c r="H111" s="438" t="s">
        <v>368</v>
      </c>
      <c r="I111" s="439" t="s">
        <v>831</v>
      </c>
      <c r="J111" s="112" t="s">
        <v>832</v>
      </c>
      <c r="K111" s="440" t="str">
        <f>HYPERLINK("https://okcountyrecords.com/detail/roger+mills/1985-006556","OKCountyRecords: 1985-006556")</f>
        <v>OKCountyRecords: 1985-006556</v>
      </c>
      <c r="L111" s="133" t="s">
        <v>412</v>
      </c>
      <c r="M111" s="133" t="s">
        <v>405</v>
      </c>
      <c r="N111" s="133"/>
      <c r="O111" s="133" t="s">
        <v>422</v>
      </c>
      <c r="P111" s="114" t="s">
        <v>8934</v>
      </c>
      <c r="Q111" s="114" t="s">
        <v>118</v>
      </c>
      <c r="R111" s="114" t="s">
        <v>89</v>
      </c>
      <c r="S111" s="114" t="s">
        <v>118</v>
      </c>
      <c r="T111" s="114" t="s">
        <v>89</v>
      </c>
      <c r="U111" s="114" t="s">
        <v>8862</v>
      </c>
      <c r="V111" s="114" t="s">
        <v>3072</v>
      </c>
      <c r="W111" s="114" t="s">
        <v>8906</v>
      </c>
      <c r="X111" s="114" t="s">
        <v>2701</v>
      </c>
      <c r="Y111" s="114" t="s">
        <v>9004</v>
      </c>
      <c r="Z111" s="114" t="s">
        <v>8858</v>
      </c>
      <c r="AA111" s="114" t="s">
        <v>9028</v>
      </c>
    </row>
    <row r="112" spans="1:28" ht="60" x14ac:dyDescent="0.2">
      <c r="A112" s="435" t="s">
        <v>911</v>
      </c>
      <c r="B112" s="435"/>
      <c r="C112" s="435" t="s">
        <v>912</v>
      </c>
      <c r="D112" s="435" t="s">
        <v>913</v>
      </c>
      <c r="E112" s="436">
        <v>31329</v>
      </c>
      <c r="F112" s="437">
        <v>31329</v>
      </c>
      <c r="G112" s="438" t="s">
        <v>914</v>
      </c>
      <c r="H112" s="438" t="s">
        <v>915</v>
      </c>
      <c r="I112" s="439" t="s">
        <v>860</v>
      </c>
      <c r="J112" s="112" t="s">
        <v>9565</v>
      </c>
      <c r="K112" s="440" t="str">
        <f>HYPERLINK("https://okcountyrecords.com/detail/roger+mills/1985-007068","OKCountyRecords: 1985-007068")</f>
        <v>OKCountyRecords: 1985-007068</v>
      </c>
      <c r="L112" s="133" t="s">
        <v>653</v>
      </c>
      <c r="M112" s="133" t="s">
        <v>405</v>
      </c>
      <c r="N112" s="133"/>
      <c r="O112" s="133" t="s">
        <v>422</v>
      </c>
      <c r="P112" s="114" t="s">
        <v>8854</v>
      </c>
      <c r="Q112" s="114" t="s">
        <v>118</v>
      </c>
      <c r="R112" s="114" t="s">
        <v>89</v>
      </c>
      <c r="S112" s="114" t="s">
        <v>2701</v>
      </c>
      <c r="T112" s="114" t="s">
        <v>89</v>
      </c>
      <c r="U112" s="114" t="s">
        <v>8896</v>
      </c>
      <c r="V112" s="114" t="s">
        <v>3386</v>
      </c>
      <c r="W112" s="114" t="s">
        <v>8864</v>
      </c>
      <c r="X112" s="114" t="s">
        <v>2701</v>
      </c>
      <c r="Y112" s="114" t="s">
        <v>8857</v>
      </c>
      <c r="Z112" s="114" t="s">
        <v>8858</v>
      </c>
      <c r="AA112" s="114" t="s">
        <v>9029</v>
      </c>
      <c r="AB112" s="114" t="s">
        <v>8867</v>
      </c>
    </row>
    <row r="113" spans="1:28" ht="72" x14ac:dyDescent="0.2">
      <c r="A113" s="435" t="s">
        <v>916</v>
      </c>
      <c r="B113" s="435"/>
      <c r="C113" s="435" t="s">
        <v>533</v>
      </c>
      <c r="D113" s="435" t="s">
        <v>917</v>
      </c>
      <c r="E113" s="436">
        <v>31330</v>
      </c>
      <c r="F113" s="437">
        <v>31330</v>
      </c>
      <c r="G113" s="438" t="s">
        <v>710</v>
      </c>
      <c r="H113" s="438" t="s">
        <v>918</v>
      </c>
      <c r="I113" s="439" t="s">
        <v>908</v>
      </c>
      <c r="J113" s="112" t="s">
        <v>63</v>
      </c>
      <c r="K113" s="440" t="str">
        <f>HYPERLINK("https://okcountyrecords.com/detail/roger+mills/1985-007096","OKCountyRecords: 1985-007096")</f>
        <v>OKCountyRecords: 1985-007096</v>
      </c>
      <c r="L113" s="133" t="s">
        <v>412</v>
      </c>
      <c r="M113" s="133" t="s">
        <v>405</v>
      </c>
      <c r="N113" s="133"/>
      <c r="O113" s="133" t="s">
        <v>428</v>
      </c>
      <c r="P113" s="114" t="s">
        <v>8854</v>
      </c>
      <c r="Q113" s="114" t="s">
        <v>118</v>
      </c>
      <c r="R113" s="114" t="s">
        <v>89</v>
      </c>
      <c r="S113" s="114" t="s">
        <v>2701</v>
      </c>
      <c r="T113" s="114" t="s">
        <v>89</v>
      </c>
      <c r="U113" s="114" t="s">
        <v>8901</v>
      </c>
      <c r="V113" s="114" t="s">
        <v>3072</v>
      </c>
      <c r="W113" s="114" t="s">
        <v>8906</v>
      </c>
      <c r="X113" s="114" t="s">
        <v>8873</v>
      </c>
      <c r="Y113" s="114" t="s">
        <v>8857</v>
      </c>
      <c r="Z113" s="114" t="s">
        <v>8858</v>
      </c>
      <c r="AA113" s="114" t="s">
        <v>9030</v>
      </c>
    </row>
    <row r="114" spans="1:28" ht="48" x14ac:dyDescent="0.2">
      <c r="A114" s="435" t="s">
        <v>919</v>
      </c>
      <c r="B114" s="435"/>
      <c r="C114" s="435" t="s">
        <v>619</v>
      </c>
      <c r="D114" s="435" t="s">
        <v>920</v>
      </c>
      <c r="E114" s="436">
        <v>31408</v>
      </c>
      <c r="F114" s="437">
        <v>31408</v>
      </c>
      <c r="G114" s="438" t="s">
        <v>353</v>
      </c>
      <c r="H114" s="438" t="s">
        <v>921</v>
      </c>
      <c r="I114" s="439" t="s">
        <v>831</v>
      </c>
      <c r="J114" s="112" t="s">
        <v>832</v>
      </c>
      <c r="K114" s="440" t="str">
        <f>HYPERLINK("https://okcountyrecords.com/detail/roger+mills/1985-000061","OKCountyRecords: 1985-000061")</f>
        <v>OKCountyRecords: 1985-000061</v>
      </c>
      <c r="L114" s="133" t="s">
        <v>412</v>
      </c>
      <c r="M114" s="133" t="s">
        <v>405</v>
      </c>
      <c r="N114" s="133"/>
      <c r="O114" s="133" t="s">
        <v>422</v>
      </c>
      <c r="P114" s="114" t="s">
        <v>8934</v>
      </c>
      <c r="Q114" s="114" t="s">
        <v>118</v>
      </c>
      <c r="R114" s="114" t="s">
        <v>89</v>
      </c>
      <c r="S114" s="114" t="s">
        <v>118</v>
      </c>
      <c r="T114" s="114" t="s">
        <v>89</v>
      </c>
      <c r="U114" s="114" t="s">
        <v>8862</v>
      </c>
      <c r="V114" s="114" t="s">
        <v>3072</v>
      </c>
      <c r="W114" s="114" t="s">
        <v>8906</v>
      </c>
      <c r="X114" s="114" t="s">
        <v>8865</v>
      </c>
      <c r="Y114" s="114" t="s">
        <v>9004</v>
      </c>
      <c r="Z114" s="114" t="s">
        <v>8858</v>
      </c>
      <c r="AA114" s="114" t="s">
        <v>9031</v>
      </c>
    </row>
    <row r="115" spans="1:28" ht="48" x14ac:dyDescent="0.2">
      <c r="A115" s="435" t="s">
        <v>922</v>
      </c>
      <c r="B115" s="435"/>
      <c r="C115" s="435" t="s">
        <v>619</v>
      </c>
      <c r="D115" s="435" t="s">
        <v>923</v>
      </c>
      <c r="E115" s="436">
        <v>31408</v>
      </c>
      <c r="F115" s="437">
        <v>31408</v>
      </c>
      <c r="G115" s="438" t="s">
        <v>353</v>
      </c>
      <c r="H115" s="438" t="s">
        <v>924</v>
      </c>
      <c r="I115" s="439" t="s">
        <v>831</v>
      </c>
      <c r="J115" s="112" t="s">
        <v>876</v>
      </c>
      <c r="K115" s="440" t="str">
        <f>HYPERLINK("https://okcountyrecords.com/detail/roger+mills/1985-000060","OKCountyRecords: 1985-000060")</f>
        <v>OKCountyRecords: 1985-000060</v>
      </c>
      <c r="L115" s="133" t="s">
        <v>412</v>
      </c>
      <c r="M115" s="133" t="s">
        <v>405</v>
      </c>
      <c r="N115" s="133"/>
      <c r="O115" s="133" t="s">
        <v>422</v>
      </c>
      <c r="P115" s="114" t="s">
        <v>8934</v>
      </c>
      <c r="Q115" s="114" t="s">
        <v>118</v>
      </c>
      <c r="R115" s="114" t="s">
        <v>89</v>
      </c>
      <c r="S115" s="114" t="s">
        <v>118</v>
      </c>
      <c r="T115" s="114" t="s">
        <v>89</v>
      </c>
      <c r="U115" s="114" t="s">
        <v>8862</v>
      </c>
      <c r="V115" s="114" t="s">
        <v>3072</v>
      </c>
      <c r="W115" s="114" t="s">
        <v>8906</v>
      </c>
      <c r="X115" s="114" t="s">
        <v>8865</v>
      </c>
      <c r="Y115" s="114" t="s">
        <v>9017</v>
      </c>
      <c r="Z115" s="114" t="s">
        <v>8858</v>
      </c>
      <c r="AA115" s="114" t="s">
        <v>9032</v>
      </c>
    </row>
    <row r="116" spans="1:28" ht="60" x14ac:dyDescent="0.2">
      <c r="A116" s="435" t="s">
        <v>925</v>
      </c>
      <c r="B116" s="435"/>
      <c r="C116" s="435" t="s">
        <v>619</v>
      </c>
      <c r="D116" s="435" t="s">
        <v>926</v>
      </c>
      <c r="E116" s="436">
        <v>31418</v>
      </c>
      <c r="F116" s="437">
        <v>31418</v>
      </c>
      <c r="G116" s="438" t="s">
        <v>927</v>
      </c>
      <c r="H116" s="438" t="s">
        <v>928</v>
      </c>
      <c r="I116" s="439" t="s">
        <v>623</v>
      </c>
      <c r="J116" s="112" t="s">
        <v>929</v>
      </c>
      <c r="K116" s="440" t="str">
        <f>HYPERLINK("https://okcountyrecords.com/detail/roger+mills/1986-000268","OKCountyRecords: 1986-000268")</f>
        <v>OKCountyRecords: 1986-000268</v>
      </c>
      <c r="L116" s="133" t="s">
        <v>412</v>
      </c>
      <c r="M116" s="133"/>
      <c r="N116" s="133"/>
      <c r="O116" s="133" t="s">
        <v>422</v>
      </c>
      <c r="P116" s="114" t="s">
        <v>8934</v>
      </c>
      <c r="Q116" s="114" t="s">
        <v>118</v>
      </c>
      <c r="R116" s="114" t="s">
        <v>89</v>
      </c>
      <c r="S116" s="114" t="s">
        <v>118</v>
      </c>
      <c r="T116" s="114" t="s">
        <v>89</v>
      </c>
      <c r="U116" s="114" t="s">
        <v>8935</v>
      </c>
      <c r="V116" s="114" t="s">
        <v>2701</v>
      </c>
      <c r="W116" s="114" t="s">
        <v>8864</v>
      </c>
      <c r="X116" s="114" t="s">
        <v>8869</v>
      </c>
      <c r="Y116" s="114" t="s">
        <v>9033</v>
      </c>
      <c r="Z116" s="114" t="s">
        <v>8858</v>
      </c>
      <c r="AA116" s="114" t="s">
        <v>9034</v>
      </c>
      <c r="AB116" s="114" t="s">
        <v>8877</v>
      </c>
    </row>
    <row r="117" spans="1:28" ht="48" x14ac:dyDescent="0.2">
      <c r="A117" s="435" t="s">
        <v>930</v>
      </c>
      <c r="B117" s="435"/>
      <c r="C117" s="435" t="s">
        <v>619</v>
      </c>
      <c r="D117" s="435" t="s">
        <v>931</v>
      </c>
      <c r="E117" s="436">
        <v>31434</v>
      </c>
      <c r="F117" s="437">
        <v>31434</v>
      </c>
      <c r="G117" s="438" t="s">
        <v>882</v>
      </c>
      <c r="H117" s="438" t="s">
        <v>932</v>
      </c>
      <c r="I117" s="439" t="s">
        <v>332</v>
      </c>
      <c r="J117" s="112" t="s">
        <v>63</v>
      </c>
      <c r="K117" s="440" t="str">
        <f>HYPERLINK("https://okcountyrecords.com/detail/roger+mills/1986-000656","OKCountyRecords: 1986-000656")</f>
        <v>OKCountyRecords: 1986-000656</v>
      </c>
      <c r="L117" s="133" t="s">
        <v>412</v>
      </c>
      <c r="M117" s="133"/>
      <c r="N117" s="133"/>
      <c r="O117" s="133" t="s">
        <v>428</v>
      </c>
      <c r="P117" s="114" t="s">
        <v>8934</v>
      </c>
      <c r="Q117" s="114" t="s">
        <v>118</v>
      </c>
      <c r="R117" s="114" t="s">
        <v>89</v>
      </c>
      <c r="S117" s="114" t="s">
        <v>118</v>
      </c>
      <c r="T117" s="114" t="s">
        <v>89</v>
      </c>
      <c r="U117" s="114" t="s">
        <v>8986</v>
      </c>
      <c r="V117" s="114" t="s">
        <v>3072</v>
      </c>
      <c r="W117" s="114" t="s">
        <v>8906</v>
      </c>
      <c r="X117" s="114" t="s">
        <v>8856</v>
      </c>
      <c r="Y117" s="114" t="s">
        <v>8857</v>
      </c>
      <c r="Z117" s="114" t="s">
        <v>8858</v>
      </c>
      <c r="AA117" s="114" t="s">
        <v>9035</v>
      </c>
    </row>
    <row r="118" spans="1:28" ht="48" x14ac:dyDescent="0.2">
      <c r="A118" s="435" t="s">
        <v>933</v>
      </c>
      <c r="B118" s="435"/>
      <c r="C118" s="435" t="s">
        <v>619</v>
      </c>
      <c r="D118" s="435" t="s">
        <v>934</v>
      </c>
      <c r="E118" s="436">
        <v>31582</v>
      </c>
      <c r="F118" s="437">
        <v>31582</v>
      </c>
      <c r="G118" s="438" t="s">
        <v>739</v>
      </c>
      <c r="H118" s="438" t="s">
        <v>935</v>
      </c>
      <c r="I118" s="439" t="s">
        <v>831</v>
      </c>
      <c r="J118" s="112" t="s">
        <v>876</v>
      </c>
      <c r="K118" s="440" t="str">
        <f>HYPERLINK("https://okcountyrecords.com/detail/roger+mills/1986-003428","OKCountyRecords: 1986-003428")</f>
        <v>OKCountyRecords: 1986-003428</v>
      </c>
      <c r="L118" s="133" t="s">
        <v>412</v>
      </c>
      <c r="M118" s="133" t="s">
        <v>405</v>
      </c>
      <c r="N118" s="133"/>
      <c r="O118" s="133" t="s">
        <v>422</v>
      </c>
      <c r="P118" s="114" t="s">
        <v>8934</v>
      </c>
      <c r="Q118" s="114" t="s">
        <v>118</v>
      </c>
      <c r="R118" s="114" t="s">
        <v>89</v>
      </c>
      <c r="S118" s="114" t="s">
        <v>118</v>
      </c>
      <c r="T118" s="114" t="s">
        <v>89</v>
      </c>
      <c r="U118" s="114" t="s">
        <v>8862</v>
      </c>
      <c r="V118" s="114" t="s">
        <v>3072</v>
      </c>
      <c r="W118" s="114" t="s">
        <v>8906</v>
      </c>
      <c r="X118" s="114" t="s">
        <v>2701</v>
      </c>
      <c r="Y118" s="114" t="s">
        <v>9017</v>
      </c>
      <c r="Z118" s="114" t="s">
        <v>8858</v>
      </c>
      <c r="AA118" s="114" t="s">
        <v>9036</v>
      </c>
    </row>
    <row r="119" spans="1:28" ht="48" x14ac:dyDescent="0.2">
      <c r="A119" s="435" t="s">
        <v>936</v>
      </c>
      <c r="B119" s="435"/>
      <c r="C119" s="435" t="s">
        <v>619</v>
      </c>
      <c r="D119" s="435" t="s">
        <v>937</v>
      </c>
      <c r="E119" s="436">
        <v>31657</v>
      </c>
      <c r="F119" s="437">
        <v>31657</v>
      </c>
      <c r="G119" s="438" t="s">
        <v>739</v>
      </c>
      <c r="H119" s="438" t="s">
        <v>234</v>
      </c>
      <c r="I119" s="439" t="s">
        <v>831</v>
      </c>
      <c r="J119" s="112" t="s">
        <v>851</v>
      </c>
      <c r="K119" s="440" t="str">
        <f>HYPERLINK("https://okcountyrecords.com/detail/roger+mills/1986-004476","OKCountyRecords: 1986-004476")</f>
        <v>OKCountyRecords: 1986-004476</v>
      </c>
      <c r="L119" s="133" t="s">
        <v>412</v>
      </c>
      <c r="M119" s="133"/>
      <c r="N119" s="133"/>
      <c r="O119" s="133" t="s">
        <v>422</v>
      </c>
      <c r="P119" s="114" t="s">
        <v>8934</v>
      </c>
      <c r="Q119" s="114" t="s">
        <v>118</v>
      </c>
      <c r="R119" s="114" t="s">
        <v>89</v>
      </c>
      <c r="S119" s="114" t="s">
        <v>118</v>
      </c>
      <c r="T119" s="114" t="s">
        <v>89</v>
      </c>
      <c r="U119" s="114" t="s">
        <v>8862</v>
      </c>
      <c r="V119" s="114" t="s">
        <v>3072</v>
      </c>
      <c r="W119" s="114" t="s">
        <v>8906</v>
      </c>
      <c r="X119" s="114" t="s">
        <v>8865</v>
      </c>
      <c r="Y119" s="114" t="s">
        <v>9009</v>
      </c>
      <c r="Z119" s="114" t="s">
        <v>8858</v>
      </c>
      <c r="AA119" s="114" t="s">
        <v>9037</v>
      </c>
    </row>
    <row r="120" spans="1:28" ht="48" x14ac:dyDescent="0.2">
      <c r="A120" s="435" t="s">
        <v>938</v>
      </c>
      <c r="B120" s="435"/>
      <c r="C120" s="435" t="s">
        <v>619</v>
      </c>
      <c r="D120" s="435" t="s">
        <v>939</v>
      </c>
      <c r="E120" s="436">
        <v>31684</v>
      </c>
      <c r="F120" s="437">
        <v>31684</v>
      </c>
      <c r="G120" s="438" t="s">
        <v>940</v>
      </c>
      <c r="H120" s="438" t="s">
        <v>941</v>
      </c>
      <c r="I120" s="439" t="s">
        <v>831</v>
      </c>
      <c r="J120" s="112" t="s">
        <v>942</v>
      </c>
      <c r="K120" s="440" t="str">
        <f>HYPERLINK("https://okcountyrecords.com/detail/roger+mills/1986-005223","OKCountyRecords: 1986-005223")</f>
        <v>OKCountyRecords: 1986-005223</v>
      </c>
      <c r="L120" s="133" t="s">
        <v>412</v>
      </c>
      <c r="M120" s="133" t="s">
        <v>405</v>
      </c>
      <c r="N120" s="133"/>
      <c r="O120" s="133" t="s">
        <v>422</v>
      </c>
      <c r="P120" s="114" t="s">
        <v>8934</v>
      </c>
      <c r="Q120" s="114" t="s">
        <v>118</v>
      </c>
      <c r="R120" s="114" t="s">
        <v>89</v>
      </c>
      <c r="S120" s="114" t="s">
        <v>118</v>
      </c>
      <c r="T120" s="114" t="s">
        <v>89</v>
      </c>
      <c r="U120" s="114" t="s">
        <v>8862</v>
      </c>
      <c r="V120" s="114" t="s">
        <v>3072</v>
      </c>
      <c r="W120" s="114" t="s">
        <v>9630</v>
      </c>
      <c r="X120" s="114" t="s">
        <v>8865</v>
      </c>
      <c r="Y120" s="114" t="s">
        <v>9038</v>
      </c>
      <c r="Z120" s="114" t="s">
        <v>8858</v>
      </c>
      <c r="AA120" s="114" t="s">
        <v>9039</v>
      </c>
      <c r="AB120" s="114" t="s">
        <v>8867</v>
      </c>
    </row>
    <row r="121" spans="1:28" ht="48" x14ac:dyDescent="0.2">
      <c r="A121" s="435" t="s">
        <v>943</v>
      </c>
      <c r="B121" s="435"/>
      <c r="C121" s="435" t="s">
        <v>619</v>
      </c>
      <c r="D121" s="435" t="s">
        <v>944</v>
      </c>
      <c r="E121" s="436">
        <v>31723</v>
      </c>
      <c r="F121" s="437">
        <v>31723</v>
      </c>
      <c r="G121" s="438" t="s">
        <v>932</v>
      </c>
      <c r="H121" s="438" t="s">
        <v>945</v>
      </c>
      <c r="I121" s="439" t="s">
        <v>332</v>
      </c>
      <c r="J121" s="112" t="s">
        <v>946</v>
      </c>
      <c r="K121" s="440" t="str">
        <f>HYPERLINK("https://okcountyrecords.com/detail/roger+mills/1986-005341","OKCountyRecords: 1986-005341")</f>
        <v>OKCountyRecords: 1986-005341</v>
      </c>
      <c r="L121" s="133" t="s">
        <v>412</v>
      </c>
      <c r="M121" s="133" t="s">
        <v>405</v>
      </c>
      <c r="N121" s="133"/>
      <c r="O121" s="133" t="s">
        <v>428</v>
      </c>
      <c r="P121" s="114" t="s">
        <v>8934</v>
      </c>
      <c r="Q121" s="114" t="s">
        <v>118</v>
      </c>
      <c r="R121" s="114" t="s">
        <v>89</v>
      </c>
      <c r="S121" s="114" t="s">
        <v>118</v>
      </c>
      <c r="T121" s="114" t="s">
        <v>89</v>
      </c>
      <c r="U121" s="114" t="s">
        <v>8986</v>
      </c>
      <c r="V121" s="114" t="s">
        <v>3072</v>
      </c>
      <c r="W121" s="114" t="s">
        <v>8906</v>
      </c>
      <c r="X121" s="114" t="s">
        <v>8856</v>
      </c>
      <c r="Y121" s="114" t="s">
        <v>8857</v>
      </c>
      <c r="Z121" s="114" t="s">
        <v>8858</v>
      </c>
      <c r="AA121" s="114" t="s">
        <v>9040</v>
      </c>
    </row>
    <row r="122" spans="1:28" ht="60" x14ac:dyDescent="0.2">
      <c r="A122" s="435" t="s">
        <v>947</v>
      </c>
      <c r="B122" s="435"/>
      <c r="C122" s="435" t="s">
        <v>756</v>
      </c>
      <c r="D122" s="435" t="s">
        <v>948</v>
      </c>
      <c r="E122" s="436">
        <v>31803</v>
      </c>
      <c r="F122" s="437">
        <v>31803</v>
      </c>
      <c r="G122" s="438" t="s">
        <v>949</v>
      </c>
      <c r="H122" s="438" t="s">
        <v>102</v>
      </c>
      <c r="I122" s="439" t="s">
        <v>530</v>
      </c>
      <c r="J122" s="112" t="s">
        <v>760</v>
      </c>
      <c r="K122" s="440" t="str">
        <f>HYPERLINK("https://okcountyrecords.com/detail/roger+mills/1987-000496","OKCountyRecords: 1987-000496")</f>
        <v>OKCountyRecords: 1987-000496</v>
      </c>
      <c r="L122" s="133" t="s">
        <v>503</v>
      </c>
      <c r="M122" s="133" t="s">
        <v>467</v>
      </c>
      <c r="N122" s="133" t="s">
        <v>504</v>
      </c>
      <c r="O122" s="133" t="s">
        <v>422</v>
      </c>
      <c r="P122" s="114" t="s">
        <v>8903</v>
      </c>
      <c r="Q122" s="114" t="s">
        <v>2701</v>
      </c>
      <c r="R122" s="114" t="s">
        <v>2701</v>
      </c>
      <c r="S122" s="114" t="s">
        <v>2701</v>
      </c>
      <c r="T122" s="114" t="s">
        <v>2701</v>
      </c>
      <c r="U122" s="114" t="s">
        <v>8896</v>
      </c>
      <c r="V122" s="114" t="s">
        <v>3386</v>
      </c>
      <c r="W122" s="114" t="s">
        <v>8906</v>
      </c>
      <c r="X122" s="114" t="s">
        <v>2701</v>
      </c>
      <c r="Y122" s="114" t="s">
        <v>8851</v>
      </c>
      <c r="Z122" s="114" t="s">
        <v>2701</v>
      </c>
      <c r="AA122" s="114" t="s">
        <v>9041</v>
      </c>
      <c r="AB122" s="114" t="s">
        <v>8908</v>
      </c>
    </row>
    <row r="123" spans="1:28" ht="48" x14ac:dyDescent="0.2">
      <c r="A123" s="435" t="s">
        <v>950</v>
      </c>
      <c r="B123" s="435"/>
      <c r="C123" s="435" t="s">
        <v>619</v>
      </c>
      <c r="D123" s="435" t="s">
        <v>951</v>
      </c>
      <c r="E123" s="436">
        <v>31917</v>
      </c>
      <c r="F123" s="437">
        <v>31917</v>
      </c>
      <c r="G123" s="438" t="s">
        <v>739</v>
      </c>
      <c r="H123" s="438" t="s">
        <v>952</v>
      </c>
      <c r="I123" s="439" t="s">
        <v>831</v>
      </c>
      <c r="J123" s="112" t="s">
        <v>876</v>
      </c>
      <c r="K123" s="440" t="str">
        <f>HYPERLINK("https://okcountyrecords.com/detail/roger+mills/1987-002610","OKCountyRecords: 1987-002610")</f>
        <v>OKCountyRecords: 1987-002610</v>
      </c>
      <c r="L123" s="133" t="s">
        <v>412</v>
      </c>
      <c r="M123" s="133" t="s">
        <v>405</v>
      </c>
      <c r="N123" s="133"/>
      <c r="O123" s="133" t="s">
        <v>422</v>
      </c>
      <c r="P123" s="114" t="s">
        <v>8934</v>
      </c>
      <c r="Q123" s="114" t="s">
        <v>118</v>
      </c>
      <c r="R123" s="114" t="s">
        <v>89</v>
      </c>
      <c r="S123" s="114" t="s">
        <v>118</v>
      </c>
      <c r="T123" s="114" t="s">
        <v>89</v>
      </c>
      <c r="U123" s="114" t="s">
        <v>8862</v>
      </c>
      <c r="V123" s="114" t="s">
        <v>3072</v>
      </c>
      <c r="W123" s="114" t="s">
        <v>8906</v>
      </c>
      <c r="X123" s="114" t="s">
        <v>8865</v>
      </c>
      <c r="Y123" s="114" t="s">
        <v>9017</v>
      </c>
      <c r="Z123" s="114" t="s">
        <v>8858</v>
      </c>
      <c r="AA123" s="114" t="s">
        <v>9042</v>
      </c>
    </row>
    <row r="124" spans="1:28" customFormat="1" ht="15" x14ac:dyDescent="0.25">
      <c r="A124" s="446" t="s">
        <v>6249</v>
      </c>
      <c r="B124" s="446"/>
      <c r="C124" s="447" t="s">
        <v>1456</v>
      </c>
      <c r="D124" s="447" t="s">
        <v>8588</v>
      </c>
      <c r="E124" s="448">
        <v>31964</v>
      </c>
      <c r="F124" s="448">
        <v>31964</v>
      </c>
      <c r="G124" s="446" t="s">
        <v>901</v>
      </c>
      <c r="H124" s="446" t="s">
        <v>6252</v>
      </c>
      <c r="I124" s="446" t="s">
        <v>4632</v>
      </c>
      <c r="J124" s="449" t="s">
        <v>1275</v>
      </c>
      <c r="K124" s="446" t="s">
        <v>6253</v>
      </c>
      <c r="L124" s="451"/>
      <c r="M124" s="450"/>
      <c r="N124" s="451"/>
      <c r="O124" s="450"/>
      <c r="P124" s="450" t="s">
        <v>9043</v>
      </c>
      <c r="Q124" s="450" t="s">
        <v>2701</v>
      </c>
      <c r="R124" s="450" t="s">
        <v>118</v>
      </c>
      <c r="S124" s="450" t="s">
        <v>2701</v>
      </c>
      <c r="T124" t="s">
        <v>118</v>
      </c>
      <c r="U124" t="s">
        <v>9044</v>
      </c>
      <c r="V124" t="s">
        <v>2701</v>
      </c>
      <c r="W124" t="s">
        <v>8906</v>
      </c>
      <c r="X124" t="s">
        <v>2701</v>
      </c>
      <c r="Y124" t="s">
        <v>8851</v>
      </c>
      <c r="Z124" t="s">
        <v>2701</v>
      </c>
      <c r="AA124" t="s">
        <v>9045</v>
      </c>
      <c r="AB124" t="s">
        <v>8871</v>
      </c>
    </row>
    <row r="125" spans="1:28" ht="48" x14ac:dyDescent="0.2">
      <c r="A125" s="435" t="s">
        <v>953</v>
      </c>
      <c r="B125" s="435"/>
      <c r="C125" s="435" t="s">
        <v>619</v>
      </c>
      <c r="D125" s="435" t="s">
        <v>954</v>
      </c>
      <c r="E125" s="436">
        <v>32031</v>
      </c>
      <c r="F125" s="437">
        <v>32031</v>
      </c>
      <c r="G125" s="438" t="s">
        <v>955</v>
      </c>
      <c r="H125" s="438" t="s">
        <v>956</v>
      </c>
      <c r="I125" s="443" t="s">
        <v>831</v>
      </c>
      <c r="J125" s="112" t="s">
        <v>832</v>
      </c>
      <c r="K125" s="440" t="str">
        <f>HYPERLINK("https://okcountyrecords.com/detail/roger+mills/1987-005625","OKCountyRecords: 1987-005625")</f>
        <v>OKCountyRecords: 1987-005625</v>
      </c>
      <c r="L125" s="133" t="s">
        <v>412</v>
      </c>
      <c r="M125" s="133" t="s">
        <v>405</v>
      </c>
      <c r="N125" s="133"/>
      <c r="O125" s="133" t="s">
        <v>422</v>
      </c>
      <c r="P125" s="114" t="s">
        <v>8934</v>
      </c>
      <c r="Q125" s="114" t="s">
        <v>118</v>
      </c>
      <c r="R125" s="114" t="s">
        <v>89</v>
      </c>
      <c r="S125" s="114" t="s">
        <v>118</v>
      </c>
      <c r="T125" s="114" t="s">
        <v>89</v>
      </c>
      <c r="U125" s="114" t="s">
        <v>8862</v>
      </c>
      <c r="V125" s="114" t="s">
        <v>3072</v>
      </c>
      <c r="W125" s="114" t="s">
        <v>8864</v>
      </c>
      <c r="X125" s="114" t="s">
        <v>8865</v>
      </c>
      <c r="Y125" s="114" t="s">
        <v>9004</v>
      </c>
      <c r="Z125" s="114" t="s">
        <v>8858</v>
      </c>
      <c r="AA125" s="114" t="s">
        <v>9046</v>
      </c>
      <c r="AB125" s="114" t="s">
        <v>8867</v>
      </c>
    </row>
    <row r="126" spans="1:28" ht="48" x14ac:dyDescent="0.2">
      <c r="A126" s="435" t="s">
        <v>957</v>
      </c>
      <c r="B126" s="435"/>
      <c r="C126" s="435" t="s">
        <v>619</v>
      </c>
      <c r="D126" s="435" t="s">
        <v>958</v>
      </c>
      <c r="E126" s="436">
        <v>32072</v>
      </c>
      <c r="F126" s="437">
        <v>32072</v>
      </c>
      <c r="G126" s="438" t="s">
        <v>357</v>
      </c>
      <c r="H126" s="438" t="s">
        <v>959</v>
      </c>
      <c r="I126" s="443" t="s">
        <v>831</v>
      </c>
      <c r="J126" s="112" t="s">
        <v>832</v>
      </c>
      <c r="K126" s="440" t="str">
        <f>HYPERLINK("https://okcountyrecords.com/detail/roger+mills/1987-006732","OKCountyRecords: 1987-006732")</f>
        <v>OKCountyRecords: 1987-006732</v>
      </c>
      <c r="L126" s="133" t="s">
        <v>412</v>
      </c>
      <c r="M126" s="133"/>
      <c r="N126" s="133"/>
      <c r="O126" s="133" t="s">
        <v>422</v>
      </c>
      <c r="P126" s="114" t="s">
        <v>8934</v>
      </c>
      <c r="Q126" s="114" t="s">
        <v>118</v>
      </c>
      <c r="R126" s="114" t="s">
        <v>89</v>
      </c>
      <c r="S126" s="114" t="s">
        <v>118</v>
      </c>
      <c r="T126" s="114" t="s">
        <v>89</v>
      </c>
      <c r="U126" s="114" t="s">
        <v>8862</v>
      </c>
      <c r="V126" s="114" t="s">
        <v>3072</v>
      </c>
      <c r="W126" s="114" t="s">
        <v>8906</v>
      </c>
      <c r="X126" s="114" t="s">
        <v>8865</v>
      </c>
      <c r="Y126" s="114" t="s">
        <v>9004</v>
      </c>
      <c r="Z126" s="114" t="s">
        <v>8858</v>
      </c>
      <c r="AA126" s="114" t="s">
        <v>9047</v>
      </c>
    </row>
    <row r="127" spans="1:28" ht="48" x14ac:dyDescent="0.2">
      <c r="A127" s="435" t="s">
        <v>960</v>
      </c>
      <c r="B127" s="435"/>
      <c r="C127" s="435" t="s">
        <v>619</v>
      </c>
      <c r="D127" s="435" t="s">
        <v>961</v>
      </c>
      <c r="E127" s="436">
        <v>32072</v>
      </c>
      <c r="F127" s="437">
        <v>32072</v>
      </c>
      <c r="G127" s="438" t="s">
        <v>357</v>
      </c>
      <c r="H127" s="438" t="s">
        <v>959</v>
      </c>
      <c r="I127" s="439" t="s">
        <v>831</v>
      </c>
      <c r="J127" s="112" t="s">
        <v>962</v>
      </c>
      <c r="K127" s="440" t="str">
        <f>HYPERLINK("https://okcountyrecords.com/detail/roger+mills/1987-006731","OKCountyRecords: 1987-006731")</f>
        <v>OKCountyRecords: 1987-006731</v>
      </c>
      <c r="L127" s="133" t="s">
        <v>412</v>
      </c>
      <c r="M127" s="133"/>
      <c r="N127" s="133"/>
      <c r="O127" s="133" t="s">
        <v>422</v>
      </c>
      <c r="P127" s="114" t="s">
        <v>8934</v>
      </c>
      <c r="Q127" s="114" t="s">
        <v>118</v>
      </c>
      <c r="R127" s="114" t="s">
        <v>89</v>
      </c>
      <c r="S127" s="114" t="s">
        <v>118</v>
      </c>
      <c r="T127" s="114" t="s">
        <v>89</v>
      </c>
      <c r="U127" s="114" t="s">
        <v>8862</v>
      </c>
      <c r="V127" s="114" t="s">
        <v>3072</v>
      </c>
      <c r="W127" s="114" t="s">
        <v>8906</v>
      </c>
      <c r="X127" s="114" t="s">
        <v>8865</v>
      </c>
      <c r="Y127" s="114" t="s">
        <v>9048</v>
      </c>
      <c r="Z127" s="114" t="s">
        <v>8858</v>
      </c>
      <c r="AA127" s="114" t="s">
        <v>9049</v>
      </c>
    </row>
    <row r="128" spans="1:28" ht="48" x14ac:dyDescent="0.2">
      <c r="A128" s="435" t="s">
        <v>963</v>
      </c>
      <c r="B128" s="435"/>
      <c r="C128" s="435" t="s">
        <v>461</v>
      </c>
      <c r="D128" s="435" t="s">
        <v>964</v>
      </c>
      <c r="E128" s="436">
        <v>32072</v>
      </c>
      <c r="F128" s="437">
        <v>32072</v>
      </c>
      <c r="G128" s="438" t="s">
        <v>965</v>
      </c>
      <c r="H128" s="438" t="s">
        <v>102</v>
      </c>
      <c r="I128" s="439" t="s">
        <v>831</v>
      </c>
      <c r="J128" s="112" t="s">
        <v>9566</v>
      </c>
      <c r="K128" s="440" t="str">
        <f>HYPERLINK("https://okcountyrecords.com/detail/roger+mills/1987-006730","OKCountyRecords: 1987-006730")</f>
        <v>OKCountyRecords: 1987-006730</v>
      </c>
      <c r="L128" s="133" t="s">
        <v>466</v>
      </c>
      <c r="M128" s="133" t="s">
        <v>467</v>
      </c>
      <c r="N128" s="133" t="s">
        <v>468</v>
      </c>
      <c r="O128" s="133" t="s">
        <v>422</v>
      </c>
      <c r="P128" s="114" t="s">
        <v>8886</v>
      </c>
      <c r="Q128" s="114" t="s">
        <v>118</v>
      </c>
      <c r="R128" s="114" t="s">
        <v>89</v>
      </c>
      <c r="S128" s="114" t="s">
        <v>118</v>
      </c>
      <c r="T128" s="114" t="s">
        <v>89</v>
      </c>
      <c r="U128" s="114" t="s">
        <v>8862</v>
      </c>
      <c r="V128" s="114" t="s">
        <v>3072</v>
      </c>
      <c r="W128" s="114" t="s">
        <v>8864</v>
      </c>
      <c r="X128" s="114" t="s">
        <v>2701</v>
      </c>
      <c r="Y128" s="114" t="s">
        <v>8851</v>
      </c>
      <c r="Z128" s="114" t="s">
        <v>2701</v>
      </c>
      <c r="AA128" s="114" t="s">
        <v>9050</v>
      </c>
      <c r="AB128" s="114" t="s">
        <v>8888</v>
      </c>
    </row>
    <row r="129" spans="1:28" ht="48" x14ac:dyDescent="0.2">
      <c r="A129" s="435" t="s">
        <v>967</v>
      </c>
      <c r="B129" s="435"/>
      <c r="C129" s="435" t="s">
        <v>619</v>
      </c>
      <c r="D129" s="435" t="s">
        <v>968</v>
      </c>
      <c r="E129" s="436">
        <v>32118</v>
      </c>
      <c r="F129" s="437">
        <v>32118</v>
      </c>
      <c r="G129" s="438" t="s">
        <v>234</v>
      </c>
      <c r="H129" s="438" t="s">
        <v>940</v>
      </c>
      <c r="I129" s="439" t="s">
        <v>831</v>
      </c>
      <c r="J129" s="112" t="s">
        <v>851</v>
      </c>
      <c r="K129" s="440" t="str">
        <f>HYPERLINK("https://okcountyrecords.com/detail/roger+mills/1987-007680","OKCountyRecords: 1987-007680")</f>
        <v>OKCountyRecords: 1987-007680</v>
      </c>
      <c r="L129" s="133" t="s">
        <v>412</v>
      </c>
      <c r="M129" s="133" t="s">
        <v>405</v>
      </c>
      <c r="N129" s="133"/>
      <c r="O129" s="133" t="s">
        <v>422</v>
      </c>
      <c r="P129" s="114" t="s">
        <v>8934</v>
      </c>
      <c r="Q129" s="114" t="s">
        <v>118</v>
      </c>
      <c r="R129" s="114" t="s">
        <v>89</v>
      </c>
      <c r="S129" s="114" t="s">
        <v>118</v>
      </c>
      <c r="T129" s="114" t="s">
        <v>89</v>
      </c>
      <c r="U129" s="114" t="s">
        <v>8862</v>
      </c>
      <c r="V129" s="114" t="s">
        <v>3072</v>
      </c>
      <c r="W129" s="114" t="s">
        <v>8906</v>
      </c>
      <c r="X129" s="114" t="s">
        <v>2701</v>
      </c>
      <c r="Y129" s="114" t="s">
        <v>9009</v>
      </c>
      <c r="Z129" s="114" t="s">
        <v>8858</v>
      </c>
      <c r="AA129" s="114" t="s">
        <v>9051</v>
      </c>
    </row>
    <row r="130" spans="1:28" ht="36" x14ac:dyDescent="0.2">
      <c r="A130" s="435" t="s">
        <v>969</v>
      </c>
      <c r="B130" s="435"/>
      <c r="C130" s="435" t="s">
        <v>619</v>
      </c>
      <c r="D130" s="435" t="s">
        <v>970</v>
      </c>
      <c r="E130" s="436">
        <v>32177</v>
      </c>
      <c r="F130" s="437">
        <v>32177</v>
      </c>
      <c r="G130" s="438" t="s">
        <v>804</v>
      </c>
      <c r="H130" s="438" t="s">
        <v>971</v>
      </c>
      <c r="I130" s="439" t="s">
        <v>883</v>
      </c>
      <c r="J130" s="112" t="s">
        <v>63</v>
      </c>
      <c r="K130" s="440" t="str">
        <f>HYPERLINK("https://okcountyrecords.com/detail/roger+mills/1988-000762","OKCountyRecords: 1988-000762")</f>
        <v>OKCountyRecords: 1988-000762</v>
      </c>
      <c r="L130" s="133" t="s">
        <v>412</v>
      </c>
      <c r="M130" s="133" t="s">
        <v>405</v>
      </c>
      <c r="N130" s="133"/>
      <c r="O130" s="133" t="s">
        <v>422</v>
      </c>
      <c r="P130" s="114" t="s">
        <v>8934</v>
      </c>
      <c r="Q130" s="114" t="s">
        <v>118</v>
      </c>
      <c r="R130" s="114" t="s">
        <v>89</v>
      </c>
      <c r="S130" s="114" t="s">
        <v>118</v>
      </c>
      <c r="T130" s="114" t="s">
        <v>89</v>
      </c>
      <c r="U130" s="114" t="s">
        <v>8986</v>
      </c>
      <c r="V130" s="114" t="s">
        <v>3072</v>
      </c>
      <c r="W130" s="114" t="s">
        <v>8906</v>
      </c>
      <c r="X130" s="114" t="s">
        <v>8856</v>
      </c>
      <c r="Y130" s="114" t="s">
        <v>8857</v>
      </c>
      <c r="Z130" s="114" t="s">
        <v>8858</v>
      </c>
      <c r="AA130" s="114" t="s">
        <v>9052</v>
      </c>
    </row>
    <row r="131" spans="1:28" ht="60" x14ac:dyDescent="0.2">
      <c r="A131" s="435" t="s">
        <v>972</v>
      </c>
      <c r="B131" s="435"/>
      <c r="C131" s="435" t="s">
        <v>973</v>
      </c>
      <c r="D131" s="435" t="s">
        <v>974</v>
      </c>
      <c r="E131" s="436">
        <v>32216</v>
      </c>
      <c r="F131" s="437">
        <v>32329</v>
      </c>
      <c r="G131" s="438" t="s">
        <v>975</v>
      </c>
      <c r="H131" s="438" t="s">
        <v>976</v>
      </c>
      <c r="I131" s="439" t="s">
        <v>776</v>
      </c>
      <c r="J131" s="112" t="s">
        <v>977</v>
      </c>
      <c r="K131" s="440" t="str">
        <f>HYPERLINK("https://okcountyrecords.com/detail/roger+mills/1988-004185","OKCountyRecords: 1988-004185")</f>
        <v>OKCountyRecords: 1988-004185</v>
      </c>
      <c r="L131" s="133" t="s">
        <v>412</v>
      </c>
      <c r="M131" s="133" t="s">
        <v>405</v>
      </c>
      <c r="N131" s="133"/>
      <c r="O131" s="133" t="s">
        <v>422</v>
      </c>
      <c r="P131" s="114" t="s">
        <v>8934</v>
      </c>
      <c r="Q131" s="114" t="s">
        <v>118</v>
      </c>
      <c r="R131" s="114" t="s">
        <v>89</v>
      </c>
      <c r="S131" s="114" t="s">
        <v>118</v>
      </c>
      <c r="T131" s="114" t="s">
        <v>89</v>
      </c>
      <c r="U131" s="114" t="s">
        <v>8983</v>
      </c>
      <c r="V131" s="114" t="s">
        <v>3072</v>
      </c>
      <c r="W131" s="114" t="s">
        <v>8864</v>
      </c>
      <c r="X131" s="114" t="s">
        <v>8882</v>
      </c>
      <c r="Y131" s="114" t="s">
        <v>8945</v>
      </c>
      <c r="Z131" s="114" t="s">
        <v>8858</v>
      </c>
      <c r="AA131" s="114" t="s">
        <v>9053</v>
      </c>
      <c r="AB131" s="114" t="s">
        <v>8867</v>
      </c>
    </row>
    <row r="132" spans="1:28" ht="48" x14ac:dyDescent="0.2">
      <c r="A132" s="435" t="s">
        <v>978</v>
      </c>
      <c r="B132" s="435"/>
      <c r="C132" s="435" t="s">
        <v>619</v>
      </c>
      <c r="D132" s="435" t="s">
        <v>979</v>
      </c>
      <c r="E132" s="436">
        <v>32344</v>
      </c>
      <c r="F132" s="437">
        <v>32344</v>
      </c>
      <c r="G132" s="438" t="s">
        <v>234</v>
      </c>
      <c r="H132" s="438" t="s">
        <v>980</v>
      </c>
      <c r="I132" s="439" t="s">
        <v>831</v>
      </c>
      <c r="J132" s="112" t="s">
        <v>876</v>
      </c>
      <c r="K132" s="440" t="str">
        <f>HYPERLINK("https://okcountyrecords.com/detail/roger+mills/1988-004480","OKCountyRecords: 1988-004480")</f>
        <v>OKCountyRecords: 1988-004480</v>
      </c>
      <c r="L132" s="133" t="s">
        <v>412</v>
      </c>
      <c r="M132" s="133" t="s">
        <v>405</v>
      </c>
      <c r="N132" s="133"/>
      <c r="O132" s="133" t="s">
        <v>422</v>
      </c>
      <c r="P132" s="114" t="s">
        <v>8934</v>
      </c>
      <c r="Q132" s="114" t="s">
        <v>118</v>
      </c>
      <c r="R132" s="114" t="s">
        <v>89</v>
      </c>
      <c r="S132" s="114" t="s">
        <v>118</v>
      </c>
      <c r="T132" s="114" t="s">
        <v>89</v>
      </c>
      <c r="U132" s="114" t="s">
        <v>8862</v>
      </c>
      <c r="V132" s="114" t="s">
        <v>3072</v>
      </c>
      <c r="W132" s="114" t="s">
        <v>8906</v>
      </c>
      <c r="X132" s="114" t="s">
        <v>8865</v>
      </c>
      <c r="Y132" s="114" t="s">
        <v>9017</v>
      </c>
      <c r="Z132" s="114" t="s">
        <v>8858</v>
      </c>
      <c r="AA132" s="114" t="s">
        <v>9054</v>
      </c>
    </row>
    <row r="133" spans="1:28" ht="48" x14ac:dyDescent="0.2">
      <c r="A133" s="435" t="s">
        <v>981</v>
      </c>
      <c r="B133" s="435"/>
      <c r="C133" s="435" t="s">
        <v>619</v>
      </c>
      <c r="D133" s="435" t="s">
        <v>982</v>
      </c>
      <c r="E133" s="436">
        <v>32344</v>
      </c>
      <c r="F133" s="437">
        <v>32344</v>
      </c>
      <c r="G133" s="438" t="s">
        <v>234</v>
      </c>
      <c r="H133" s="438" t="s">
        <v>983</v>
      </c>
      <c r="I133" s="439" t="s">
        <v>831</v>
      </c>
      <c r="J133" s="112" t="s">
        <v>876</v>
      </c>
      <c r="K133" s="440" t="str">
        <f>HYPERLINK("https://okcountyrecords.com/detail/roger+mills/1988-004481","OKCountyRecords: 1988-004481")</f>
        <v>OKCountyRecords: 1988-004481</v>
      </c>
      <c r="L133" s="133" t="s">
        <v>412</v>
      </c>
      <c r="M133" s="133" t="s">
        <v>405</v>
      </c>
      <c r="N133" s="133"/>
      <c r="O133" s="133" t="s">
        <v>422</v>
      </c>
      <c r="P133" s="114" t="s">
        <v>8934</v>
      </c>
      <c r="Q133" s="114" t="s">
        <v>118</v>
      </c>
      <c r="R133" s="114" t="s">
        <v>89</v>
      </c>
      <c r="S133" s="114" t="s">
        <v>118</v>
      </c>
      <c r="T133" s="114" t="s">
        <v>89</v>
      </c>
      <c r="U133" s="114" t="s">
        <v>8862</v>
      </c>
      <c r="V133" s="114" t="s">
        <v>3072</v>
      </c>
      <c r="W133" s="114" t="s">
        <v>8906</v>
      </c>
      <c r="X133" s="114" t="s">
        <v>8865</v>
      </c>
      <c r="Y133" s="114" t="s">
        <v>9017</v>
      </c>
      <c r="Z133" s="114" t="s">
        <v>8858</v>
      </c>
      <c r="AA133" s="114" t="s">
        <v>9055</v>
      </c>
    </row>
    <row r="134" spans="1:28" ht="48" x14ac:dyDescent="0.2">
      <c r="A134" s="435" t="s">
        <v>984</v>
      </c>
      <c r="B134" s="435"/>
      <c r="C134" s="435" t="s">
        <v>619</v>
      </c>
      <c r="D134" s="435" t="s">
        <v>985</v>
      </c>
      <c r="E134" s="436">
        <v>32344</v>
      </c>
      <c r="F134" s="437">
        <v>32344</v>
      </c>
      <c r="G134" s="438" t="s">
        <v>234</v>
      </c>
      <c r="H134" s="438" t="s">
        <v>986</v>
      </c>
      <c r="I134" s="439" t="s">
        <v>831</v>
      </c>
      <c r="J134" s="112" t="s">
        <v>876</v>
      </c>
      <c r="K134" s="440" t="str">
        <f>HYPERLINK("https://okcountyrecords.com/detail/roger+mills/1988-004482","OKCountyRecords: 1988-004482")</f>
        <v>OKCountyRecords: 1988-004482</v>
      </c>
      <c r="L134" s="133" t="s">
        <v>412</v>
      </c>
      <c r="M134" s="133" t="s">
        <v>405</v>
      </c>
      <c r="N134" s="133"/>
      <c r="O134" s="133" t="s">
        <v>422</v>
      </c>
      <c r="P134" s="114" t="s">
        <v>8934</v>
      </c>
      <c r="Q134" s="114" t="s">
        <v>118</v>
      </c>
      <c r="R134" s="114" t="s">
        <v>89</v>
      </c>
      <c r="S134" s="114" t="s">
        <v>118</v>
      </c>
      <c r="T134" s="114" t="s">
        <v>89</v>
      </c>
      <c r="U134" s="114" t="s">
        <v>8862</v>
      </c>
      <c r="V134" s="114" t="s">
        <v>3072</v>
      </c>
      <c r="W134" s="114" t="s">
        <v>8906</v>
      </c>
      <c r="X134" s="114" t="s">
        <v>8865</v>
      </c>
      <c r="Y134" s="114" t="s">
        <v>9017</v>
      </c>
      <c r="Z134" s="114" t="s">
        <v>8858</v>
      </c>
      <c r="AA134" s="114" t="s">
        <v>9056</v>
      </c>
    </row>
    <row r="135" spans="1:28" ht="48" x14ac:dyDescent="0.2">
      <c r="A135" s="435" t="s">
        <v>987</v>
      </c>
      <c r="B135" s="435"/>
      <c r="C135" s="435" t="s">
        <v>619</v>
      </c>
      <c r="D135" s="435" t="s">
        <v>988</v>
      </c>
      <c r="E135" s="436">
        <v>32344</v>
      </c>
      <c r="F135" s="437">
        <v>32344</v>
      </c>
      <c r="G135" s="438" t="s">
        <v>234</v>
      </c>
      <c r="H135" s="438" t="s">
        <v>989</v>
      </c>
      <c r="I135" s="439" t="s">
        <v>831</v>
      </c>
      <c r="J135" s="112" t="s">
        <v>876</v>
      </c>
      <c r="K135" s="440" t="str">
        <f>HYPERLINK("https://okcountyrecords.com/detail/roger+mills/1988-004483","OKCountyRecords: 1988-004483")</f>
        <v>OKCountyRecords: 1988-004483</v>
      </c>
      <c r="L135" s="133" t="s">
        <v>412</v>
      </c>
      <c r="M135" s="133"/>
      <c r="N135" s="133"/>
      <c r="O135" s="133" t="s">
        <v>422</v>
      </c>
      <c r="P135" s="114" t="s">
        <v>8934</v>
      </c>
      <c r="Q135" s="114" t="s">
        <v>118</v>
      </c>
      <c r="R135" s="114" t="s">
        <v>89</v>
      </c>
      <c r="S135" s="114" t="s">
        <v>118</v>
      </c>
      <c r="T135" s="114" t="s">
        <v>89</v>
      </c>
      <c r="U135" s="114" t="s">
        <v>8862</v>
      </c>
      <c r="V135" s="114" t="s">
        <v>3072</v>
      </c>
      <c r="W135" s="114" t="s">
        <v>8906</v>
      </c>
      <c r="X135" s="114" t="s">
        <v>8865</v>
      </c>
      <c r="Y135" s="114" t="s">
        <v>9017</v>
      </c>
      <c r="Z135" s="114" t="s">
        <v>8858</v>
      </c>
      <c r="AA135" s="114" t="s">
        <v>9057</v>
      </c>
    </row>
    <row r="136" spans="1:28" ht="48" x14ac:dyDescent="0.2">
      <c r="A136" s="435" t="s">
        <v>990</v>
      </c>
      <c r="B136" s="435"/>
      <c r="C136" s="435" t="s">
        <v>550</v>
      </c>
      <c r="D136" s="435" t="s">
        <v>991</v>
      </c>
      <c r="E136" s="436">
        <v>32350</v>
      </c>
      <c r="F136" s="437">
        <v>32350</v>
      </c>
      <c r="G136" s="438" t="s">
        <v>992</v>
      </c>
      <c r="H136" s="438" t="s">
        <v>993</v>
      </c>
      <c r="I136" s="439" t="s">
        <v>579</v>
      </c>
      <c r="J136" s="112" t="s">
        <v>994</v>
      </c>
      <c r="K136" s="440" t="str">
        <f>HYPERLINK("https://okcountyrecords.com/detail/roger+mills/1988-004635","OKCountyRecords: 1988-004635")</f>
        <v>OKCountyRecords: 1988-004635</v>
      </c>
      <c r="L136" s="133" t="s">
        <v>412</v>
      </c>
      <c r="M136" s="133" t="s">
        <v>405</v>
      </c>
      <c r="N136" s="133"/>
      <c r="O136" s="133" t="s">
        <v>422</v>
      </c>
      <c r="P136" s="114" t="s">
        <v>8886</v>
      </c>
      <c r="Q136" s="114" t="s">
        <v>118</v>
      </c>
      <c r="R136" s="114" t="s">
        <v>89</v>
      </c>
      <c r="S136" s="114" t="s">
        <v>118</v>
      </c>
      <c r="T136" s="114" t="s">
        <v>89</v>
      </c>
      <c r="U136" s="114" t="s">
        <v>8901</v>
      </c>
      <c r="V136" s="114" t="s">
        <v>3072</v>
      </c>
      <c r="W136" s="114" t="s">
        <v>8864</v>
      </c>
      <c r="X136" s="114" t="s">
        <v>2701</v>
      </c>
      <c r="Y136" s="114" t="s">
        <v>8857</v>
      </c>
      <c r="Z136" s="114" t="s">
        <v>8858</v>
      </c>
      <c r="AA136" s="114" t="s">
        <v>9058</v>
      </c>
      <c r="AB136" s="114" t="s">
        <v>8867</v>
      </c>
    </row>
    <row r="137" spans="1:28" ht="60" x14ac:dyDescent="0.2">
      <c r="A137" s="435" t="s">
        <v>995</v>
      </c>
      <c r="B137" s="435"/>
      <c r="C137" s="435" t="s">
        <v>619</v>
      </c>
      <c r="D137" s="435" t="s">
        <v>996</v>
      </c>
      <c r="E137" s="436">
        <v>32405</v>
      </c>
      <c r="F137" s="437">
        <v>32405</v>
      </c>
      <c r="G137" s="438" t="s">
        <v>997</v>
      </c>
      <c r="H137" s="438" t="s">
        <v>998</v>
      </c>
      <c r="I137" s="439" t="s">
        <v>902</v>
      </c>
      <c r="J137" s="112" t="s">
        <v>8589</v>
      </c>
      <c r="K137" s="440" t="str">
        <f>HYPERLINK("https://okcountyrecords.com/detail/roger+mills/1988-005620","OKCountyRecords: 1988-005620")</f>
        <v>OKCountyRecords: 1988-005620</v>
      </c>
      <c r="L137" s="133" t="s">
        <v>412</v>
      </c>
      <c r="M137" s="133" t="s">
        <v>405</v>
      </c>
      <c r="N137" s="133"/>
      <c r="O137" s="133" t="s">
        <v>422</v>
      </c>
      <c r="P137" s="114" t="s">
        <v>8934</v>
      </c>
      <c r="Q137" s="114" t="s">
        <v>118</v>
      </c>
      <c r="R137" s="114" t="s">
        <v>89</v>
      </c>
      <c r="S137" s="114" t="s">
        <v>118</v>
      </c>
      <c r="T137" s="114" t="s">
        <v>89</v>
      </c>
      <c r="U137" s="114" t="s">
        <v>8935</v>
      </c>
      <c r="V137" s="114" t="s">
        <v>2701</v>
      </c>
      <c r="W137" s="114" t="s">
        <v>8864</v>
      </c>
      <c r="X137" s="114" t="s">
        <v>8869</v>
      </c>
      <c r="Y137" s="114" t="s">
        <v>8857</v>
      </c>
      <c r="Z137" s="114" t="s">
        <v>8858</v>
      </c>
      <c r="AA137" s="114" t="s">
        <v>9059</v>
      </c>
      <c r="AB137" s="114" t="s">
        <v>8877</v>
      </c>
    </row>
    <row r="138" spans="1:28" ht="48" x14ac:dyDescent="0.2">
      <c r="A138" s="435" t="s">
        <v>999</v>
      </c>
      <c r="B138" s="435"/>
      <c r="C138" s="435" t="s">
        <v>619</v>
      </c>
      <c r="D138" s="435" t="s">
        <v>1000</v>
      </c>
      <c r="E138" s="436">
        <v>32449</v>
      </c>
      <c r="F138" s="437">
        <v>32449</v>
      </c>
      <c r="G138" s="438" t="s">
        <v>731</v>
      </c>
      <c r="H138" s="438" t="s">
        <v>1001</v>
      </c>
      <c r="I138" s="439" t="s">
        <v>722</v>
      </c>
      <c r="J138" s="112" t="s">
        <v>1002</v>
      </c>
      <c r="K138" s="440" t="str">
        <f>HYPERLINK("https://okcountyrecords.com/detail/roger+mills/1988-006565","OKCountyRecords: 1988-006565")</f>
        <v>OKCountyRecords: 1988-006565</v>
      </c>
      <c r="L138" s="133" t="s">
        <v>412</v>
      </c>
      <c r="M138" s="133" t="s">
        <v>641</v>
      </c>
      <c r="N138" s="133" t="s">
        <v>1003</v>
      </c>
      <c r="O138" s="133" t="s">
        <v>422</v>
      </c>
      <c r="P138" s="114" t="s">
        <v>8934</v>
      </c>
      <c r="Q138" s="114" t="s">
        <v>118</v>
      </c>
      <c r="R138" s="114" t="s">
        <v>89</v>
      </c>
      <c r="S138" s="114" t="s">
        <v>118</v>
      </c>
      <c r="T138" s="114" t="s">
        <v>89</v>
      </c>
      <c r="U138" s="114" t="s">
        <v>8862</v>
      </c>
      <c r="V138" s="114" t="s">
        <v>3072</v>
      </c>
      <c r="W138" s="114" t="s">
        <v>8906</v>
      </c>
      <c r="X138" s="114" t="s">
        <v>8865</v>
      </c>
      <c r="Y138" s="114" t="s">
        <v>9060</v>
      </c>
      <c r="Z138" s="114" t="s">
        <v>8858</v>
      </c>
      <c r="AA138" s="114" t="s">
        <v>9061</v>
      </c>
    </row>
    <row r="139" spans="1:28" ht="60" x14ac:dyDescent="0.2">
      <c r="A139" s="435" t="s">
        <v>1004</v>
      </c>
      <c r="B139" s="435"/>
      <c r="C139" s="435" t="s">
        <v>756</v>
      </c>
      <c r="D139" s="435" t="s">
        <v>1005</v>
      </c>
      <c r="E139" s="436">
        <v>32531</v>
      </c>
      <c r="F139" s="437">
        <v>32531</v>
      </c>
      <c r="G139" s="438" t="s">
        <v>1006</v>
      </c>
      <c r="H139" s="438" t="s">
        <v>102</v>
      </c>
      <c r="I139" s="439" t="s">
        <v>530</v>
      </c>
      <c r="J139" s="112" t="s">
        <v>760</v>
      </c>
      <c r="K139" s="440" t="str">
        <f>HYPERLINK("https://okcountyrecords.com/detail/roger+mills/1989-000424","OKCountyRecords: 1989-000424")</f>
        <v>OKCountyRecords: 1989-000424</v>
      </c>
      <c r="L139" s="133" t="s">
        <v>503</v>
      </c>
      <c r="M139" s="133" t="s">
        <v>467</v>
      </c>
      <c r="N139" s="133" t="s">
        <v>504</v>
      </c>
      <c r="O139" s="133" t="s">
        <v>422</v>
      </c>
      <c r="P139" s="114" t="s">
        <v>8903</v>
      </c>
      <c r="Q139" s="114" t="s">
        <v>2701</v>
      </c>
      <c r="R139" s="114" t="s">
        <v>2701</v>
      </c>
      <c r="S139" s="114" t="s">
        <v>2701</v>
      </c>
      <c r="T139" s="114" t="s">
        <v>2701</v>
      </c>
      <c r="U139" s="114" t="s">
        <v>8896</v>
      </c>
      <c r="V139" s="114" t="s">
        <v>3386</v>
      </c>
      <c r="W139" s="114" t="s">
        <v>8864</v>
      </c>
      <c r="X139" s="114" t="s">
        <v>2701</v>
      </c>
      <c r="Y139" s="114" t="s">
        <v>8851</v>
      </c>
      <c r="Z139" s="114" t="s">
        <v>2701</v>
      </c>
      <c r="AA139" s="114" t="s">
        <v>9062</v>
      </c>
      <c r="AB139" s="114" t="s">
        <v>8905</v>
      </c>
    </row>
    <row r="140" spans="1:28" ht="60" x14ac:dyDescent="0.2">
      <c r="A140" s="435" t="s">
        <v>1007</v>
      </c>
      <c r="B140" s="452"/>
      <c r="C140" s="435" t="s">
        <v>461</v>
      </c>
      <c r="D140" s="435" t="s">
        <v>1008</v>
      </c>
      <c r="E140" s="436">
        <v>32531</v>
      </c>
      <c r="F140" s="437">
        <v>32601</v>
      </c>
      <c r="G140" s="438" t="s">
        <v>1009</v>
      </c>
      <c r="H140" s="438" t="s">
        <v>102</v>
      </c>
      <c r="I140" s="439" t="s">
        <v>569</v>
      </c>
      <c r="J140" s="112" t="s">
        <v>1010</v>
      </c>
      <c r="K140" s="440" t="str">
        <f>HYPERLINK("https://okcountyrecords.com/detail/roger+mills/1989-002065","OKCountyRecords: 1989-002065")</f>
        <v>OKCountyRecords: 1989-002065</v>
      </c>
      <c r="L140" s="133" t="s">
        <v>503</v>
      </c>
      <c r="M140" s="133" t="s">
        <v>467</v>
      </c>
      <c r="N140" s="133" t="s">
        <v>504</v>
      </c>
      <c r="O140" s="133" t="s">
        <v>422</v>
      </c>
      <c r="P140" s="114" t="s">
        <v>8886</v>
      </c>
      <c r="Q140" s="114" t="s">
        <v>118</v>
      </c>
      <c r="R140" s="114" t="s">
        <v>89</v>
      </c>
      <c r="S140" s="114" t="s">
        <v>118</v>
      </c>
      <c r="T140" s="114" t="s">
        <v>89</v>
      </c>
      <c r="U140" s="114" t="s">
        <v>8896</v>
      </c>
      <c r="V140" s="114" t="s">
        <v>3386</v>
      </c>
      <c r="W140" s="114" t="s">
        <v>8864</v>
      </c>
      <c r="X140" s="114" t="s">
        <v>2701</v>
      </c>
      <c r="Y140" s="114" t="s">
        <v>8851</v>
      </c>
      <c r="Z140" s="114" t="s">
        <v>2701</v>
      </c>
      <c r="AA140" s="114" t="s">
        <v>9063</v>
      </c>
      <c r="AB140" s="114" t="s">
        <v>8888</v>
      </c>
    </row>
    <row r="141" spans="1:28" ht="48" x14ac:dyDescent="0.2">
      <c r="A141" s="435" t="s">
        <v>1011</v>
      </c>
      <c r="B141" s="435"/>
      <c r="C141" s="435" t="s">
        <v>619</v>
      </c>
      <c r="D141" s="435" t="s">
        <v>1012</v>
      </c>
      <c r="E141" s="436">
        <v>32566</v>
      </c>
      <c r="F141" s="437">
        <v>32566</v>
      </c>
      <c r="G141" s="438" t="s">
        <v>1013</v>
      </c>
      <c r="H141" s="438" t="s">
        <v>1014</v>
      </c>
      <c r="I141" s="443" t="s">
        <v>579</v>
      </c>
      <c r="J141" s="112" t="s">
        <v>8590</v>
      </c>
      <c r="K141" s="440" t="str">
        <f>HYPERLINK("https://okcountyrecords.com/detail/roger+mills/1989-001220","OKCountyRecords: 1989-001220")</f>
        <v>OKCountyRecords: 1989-001220</v>
      </c>
      <c r="L141" s="133" t="s">
        <v>412</v>
      </c>
      <c r="M141" s="133" t="s">
        <v>405</v>
      </c>
      <c r="N141" s="133" t="s">
        <v>1016</v>
      </c>
      <c r="O141" s="133" t="s">
        <v>422</v>
      </c>
      <c r="P141" s="114" t="s">
        <v>8934</v>
      </c>
      <c r="Q141" s="114" t="s">
        <v>118</v>
      </c>
      <c r="R141" s="114" t="s">
        <v>89</v>
      </c>
      <c r="S141" s="114" t="s">
        <v>118</v>
      </c>
      <c r="T141" s="114" t="s">
        <v>89</v>
      </c>
      <c r="U141" s="114" t="s">
        <v>8901</v>
      </c>
      <c r="V141" s="114" t="s">
        <v>3072</v>
      </c>
      <c r="W141" s="114" t="s">
        <v>8864</v>
      </c>
      <c r="X141" s="114" t="s">
        <v>8873</v>
      </c>
      <c r="Y141" s="114" t="s">
        <v>9064</v>
      </c>
      <c r="Z141" s="114" t="s">
        <v>8858</v>
      </c>
      <c r="AA141" s="114" t="s">
        <v>9065</v>
      </c>
      <c r="AB141" s="114" t="s">
        <v>8867</v>
      </c>
    </row>
    <row r="142" spans="1:28" ht="72" x14ac:dyDescent="0.2">
      <c r="A142" s="435" t="s">
        <v>1017</v>
      </c>
      <c r="B142" s="435"/>
      <c r="C142" s="435" t="s">
        <v>585</v>
      </c>
      <c r="D142" s="435" t="s">
        <v>1018</v>
      </c>
      <c r="E142" s="436">
        <v>32579</v>
      </c>
      <c r="F142" s="437">
        <v>32579</v>
      </c>
      <c r="G142" s="438" t="s">
        <v>1019</v>
      </c>
      <c r="H142" s="438" t="s">
        <v>1020</v>
      </c>
      <c r="I142" s="439" t="s">
        <v>579</v>
      </c>
      <c r="J142" s="112" t="s">
        <v>994</v>
      </c>
      <c r="K142" s="440" t="str">
        <f>HYPERLINK("https://okcountyrecords.com/detail/roger+mills/1989-001559","OKCountyRecords: 1989-001559")</f>
        <v>OKCountyRecords: 1989-001559</v>
      </c>
      <c r="L142" s="133" t="s">
        <v>8711</v>
      </c>
      <c r="M142" s="133" t="s">
        <v>641</v>
      </c>
      <c r="N142" s="133" t="s">
        <v>8712</v>
      </c>
      <c r="O142" s="133" t="s">
        <v>422</v>
      </c>
      <c r="P142" s="114" t="s">
        <v>8886</v>
      </c>
      <c r="Q142" s="114" t="s">
        <v>118</v>
      </c>
      <c r="R142" s="114" t="s">
        <v>89</v>
      </c>
      <c r="S142" s="114" t="s">
        <v>118</v>
      </c>
      <c r="T142" s="114" t="s">
        <v>89</v>
      </c>
      <c r="U142" s="114" t="s">
        <v>8901</v>
      </c>
      <c r="V142" s="114" t="s">
        <v>3072</v>
      </c>
      <c r="W142" s="114" t="s">
        <v>8864</v>
      </c>
      <c r="X142" s="114" t="s">
        <v>8873</v>
      </c>
      <c r="Y142" s="114" t="s">
        <v>8857</v>
      </c>
      <c r="Z142" s="114" t="s">
        <v>8858</v>
      </c>
      <c r="AA142" s="114" t="s">
        <v>9066</v>
      </c>
      <c r="AB142" s="114" t="s">
        <v>8867</v>
      </c>
    </row>
    <row r="143" spans="1:28" ht="48" x14ac:dyDescent="0.2">
      <c r="A143" s="435" t="s">
        <v>1022</v>
      </c>
      <c r="B143" s="435"/>
      <c r="C143" s="435" t="s">
        <v>619</v>
      </c>
      <c r="D143" s="435" t="s">
        <v>1023</v>
      </c>
      <c r="E143" s="436">
        <v>32612</v>
      </c>
      <c r="F143" s="437">
        <v>32612</v>
      </c>
      <c r="G143" s="438" t="s">
        <v>234</v>
      </c>
      <c r="H143" s="438" t="s">
        <v>980</v>
      </c>
      <c r="I143" s="439" t="s">
        <v>831</v>
      </c>
      <c r="J143" s="112" t="s">
        <v>851</v>
      </c>
      <c r="K143" s="440" t="str">
        <f>HYPERLINK("https://okcountyrecords.com/detail/roger+mills/1989-002320","OKCountyRecords: 1989-002320")</f>
        <v>OKCountyRecords: 1989-002320</v>
      </c>
      <c r="L143" s="133" t="s">
        <v>412</v>
      </c>
      <c r="M143" s="133" t="s">
        <v>405</v>
      </c>
      <c r="N143" s="133"/>
      <c r="O143" s="133" t="s">
        <v>422</v>
      </c>
      <c r="P143" s="114" t="s">
        <v>8934</v>
      </c>
      <c r="Q143" s="114" t="s">
        <v>118</v>
      </c>
      <c r="R143" s="114" t="s">
        <v>89</v>
      </c>
      <c r="S143" s="114" t="s">
        <v>118</v>
      </c>
      <c r="T143" s="114" t="s">
        <v>89</v>
      </c>
      <c r="U143" s="114" t="s">
        <v>8862</v>
      </c>
      <c r="V143" s="114" t="s">
        <v>3072</v>
      </c>
      <c r="W143" s="114" t="s">
        <v>8906</v>
      </c>
      <c r="X143" s="114" t="s">
        <v>8865</v>
      </c>
      <c r="Y143" s="114" t="s">
        <v>9009</v>
      </c>
      <c r="Z143" s="114" t="s">
        <v>8858</v>
      </c>
      <c r="AA143" s="114" t="s">
        <v>9067</v>
      </c>
    </row>
    <row r="144" spans="1:28" ht="48" x14ac:dyDescent="0.2">
      <c r="A144" s="435" t="s">
        <v>1024</v>
      </c>
      <c r="B144" s="435"/>
      <c r="C144" s="435" t="s">
        <v>619</v>
      </c>
      <c r="D144" s="435" t="s">
        <v>1025</v>
      </c>
      <c r="E144" s="436">
        <v>32612</v>
      </c>
      <c r="F144" s="437">
        <v>32612</v>
      </c>
      <c r="G144" s="438" t="s">
        <v>234</v>
      </c>
      <c r="H144" s="438" t="s">
        <v>986</v>
      </c>
      <c r="I144" s="439" t="s">
        <v>831</v>
      </c>
      <c r="J144" s="112" t="s">
        <v>851</v>
      </c>
      <c r="K144" s="440" t="str">
        <f>HYPERLINK("https://okcountyrecords.com/detail/roger+mills/1989-002321","OKCountyRecords: 1989-002321")</f>
        <v>OKCountyRecords: 1989-002321</v>
      </c>
      <c r="L144" s="133" t="s">
        <v>412</v>
      </c>
      <c r="M144" s="133" t="s">
        <v>405</v>
      </c>
      <c r="N144" s="133"/>
      <c r="O144" s="133" t="s">
        <v>422</v>
      </c>
      <c r="P144" s="114" t="s">
        <v>8934</v>
      </c>
      <c r="Q144" s="114" t="s">
        <v>118</v>
      </c>
      <c r="R144" s="114" t="s">
        <v>89</v>
      </c>
      <c r="S144" s="114" t="s">
        <v>118</v>
      </c>
      <c r="T144" s="114" t="s">
        <v>89</v>
      </c>
      <c r="U144" s="114" t="s">
        <v>8862</v>
      </c>
      <c r="V144" s="114" t="s">
        <v>3072</v>
      </c>
      <c r="W144" s="114" t="s">
        <v>8906</v>
      </c>
      <c r="X144" s="114" t="s">
        <v>8865</v>
      </c>
      <c r="Y144" s="114" t="s">
        <v>9009</v>
      </c>
      <c r="Z144" s="114" t="s">
        <v>8858</v>
      </c>
      <c r="AA144" s="114" t="s">
        <v>9068</v>
      </c>
    </row>
    <row r="145" spans="1:28" ht="48" x14ac:dyDescent="0.2">
      <c r="A145" s="435" t="s">
        <v>1026</v>
      </c>
      <c r="B145" s="435"/>
      <c r="C145" s="435" t="s">
        <v>619</v>
      </c>
      <c r="D145" s="435" t="s">
        <v>1027</v>
      </c>
      <c r="E145" s="436">
        <v>32612</v>
      </c>
      <c r="F145" s="437">
        <v>32612</v>
      </c>
      <c r="G145" s="438" t="s">
        <v>234</v>
      </c>
      <c r="H145" s="438" t="s">
        <v>983</v>
      </c>
      <c r="I145" s="439" t="s">
        <v>831</v>
      </c>
      <c r="J145" s="112" t="s">
        <v>851</v>
      </c>
      <c r="K145" s="440" t="str">
        <f>HYPERLINK("https://okcountyrecords.com/detail/roger+mills/1989-002322","OKCountyRecords: 1989-002322")</f>
        <v>OKCountyRecords: 1989-002322</v>
      </c>
      <c r="L145" s="133" t="s">
        <v>412</v>
      </c>
      <c r="M145" s="133" t="s">
        <v>405</v>
      </c>
      <c r="N145" s="133"/>
      <c r="O145" s="133" t="s">
        <v>422</v>
      </c>
      <c r="P145" s="114" t="s">
        <v>8934</v>
      </c>
      <c r="Q145" s="114" t="s">
        <v>118</v>
      </c>
      <c r="R145" s="114" t="s">
        <v>89</v>
      </c>
      <c r="S145" s="114" t="s">
        <v>118</v>
      </c>
      <c r="T145" s="114" t="s">
        <v>89</v>
      </c>
      <c r="U145" s="114" t="s">
        <v>8862</v>
      </c>
      <c r="V145" s="114" t="s">
        <v>3072</v>
      </c>
      <c r="W145" s="114" t="s">
        <v>8906</v>
      </c>
      <c r="X145" s="114" t="s">
        <v>8865</v>
      </c>
      <c r="Y145" s="114" t="s">
        <v>9009</v>
      </c>
      <c r="Z145" s="114" t="s">
        <v>8858</v>
      </c>
      <c r="AA145" s="114" t="s">
        <v>9069</v>
      </c>
    </row>
    <row r="146" spans="1:28" ht="48" x14ac:dyDescent="0.2">
      <c r="A146" s="453" t="s">
        <v>1028</v>
      </c>
      <c r="B146" s="453"/>
      <c r="C146" s="453" t="s">
        <v>619</v>
      </c>
      <c r="D146" s="435" t="s">
        <v>1029</v>
      </c>
      <c r="E146" s="436">
        <v>32612</v>
      </c>
      <c r="F146" s="437">
        <v>32612</v>
      </c>
      <c r="G146" s="438" t="s">
        <v>234</v>
      </c>
      <c r="H146" s="438" t="s">
        <v>989</v>
      </c>
      <c r="I146" s="439" t="s">
        <v>831</v>
      </c>
      <c r="J146" s="112" t="s">
        <v>851</v>
      </c>
      <c r="K146" s="440" t="str">
        <f>HYPERLINK("https://okcountyrecords.com/detail/roger+mills/1989-002323","OKCountyRecords: 1989-002323")</f>
        <v>OKCountyRecords: 1989-002323</v>
      </c>
      <c r="L146" s="133" t="s">
        <v>412</v>
      </c>
      <c r="M146" s="133"/>
      <c r="N146" s="133"/>
      <c r="O146" s="133" t="s">
        <v>422</v>
      </c>
      <c r="P146" s="114" t="s">
        <v>8934</v>
      </c>
      <c r="Q146" s="114" t="s">
        <v>118</v>
      </c>
      <c r="R146" s="114" t="s">
        <v>89</v>
      </c>
      <c r="S146" s="114" t="s">
        <v>118</v>
      </c>
      <c r="T146" s="114" t="s">
        <v>89</v>
      </c>
      <c r="U146" s="114" t="s">
        <v>8862</v>
      </c>
      <c r="V146" s="114" t="s">
        <v>3072</v>
      </c>
      <c r="W146" s="114" t="s">
        <v>8906</v>
      </c>
      <c r="X146" s="114" t="s">
        <v>8865</v>
      </c>
      <c r="Y146" s="114" t="s">
        <v>9009</v>
      </c>
      <c r="Z146" s="114" t="s">
        <v>8858</v>
      </c>
      <c r="AA146" s="114" t="s">
        <v>9070</v>
      </c>
    </row>
    <row r="147" spans="1:28" ht="48" x14ac:dyDescent="0.2">
      <c r="A147" s="133" t="s">
        <v>1030</v>
      </c>
      <c r="B147" s="130"/>
      <c r="C147" s="130" t="s">
        <v>619</v>
      </c>
      <c r="D147" s="130" t="s">
        <v>1031</v>
      </c>
      <c r="E147" s="131">
        <v>32706</v>
      </c>
      <c r="F147" s="131">
        <v>32706</v>
      </c>
      <c r="G147" s="132" t="s">
        <v>1032</v>
      </c>
      <c r="H147" s="132" t="s">
        <v>940</v>
      </c>
      <c r="I147" s="132" t="s">
        <v>722</v>
      </c>
      <c r="J147" s="132" t="s">
        <v>1033</v>
      </c>
      <c r="K147" s="440" t="str">
        <f>HYPERLINK("https://okcountyrecords.com/detail/roger+mills/1989-004248","OKCountyRecords: 1989-004248")</f>
        <v>OKCountyRecords: 1989-004248</v>
      </c>
      <c r="L147" s="133" t="s">
        <v>412</v>
      </c>
      <c r="M147" s="133" t="s">
        <v>405</v>
      </c>
      <c r="N147" s="133"/>
      <c r="O147" s="133" t="s">
        <v>422</v>
      </c>
      <c r="P147" s="114" t="s">
        <v>8934</v>
      </c>
      <c r="Q147" s="114" t="s">
        <v>118</v>
      </c>
      <c r="R147" s="114" t="s">
        <v>89</v>
      </c>
      <c r="S147" s="114" t="s">
        <v>118</v>
      </c>
      <c r="T147" s="114" t="s">
        <v>89</v>
      </c>
      <c r="U147" s="114" t="s">
        <v>8862</v>
      </c>
      <c r="V147" s="114" t="s">
        <v>3072</v>
      </c>
      <c r="W147" s="114" t="s">
        <v>9626</v>
      </c>
      <c r="X147" s="114" t="s">
        <v>2701</v>
      </c>
      <c r="Y147" s="114" t="s">
        <v>9071</v>
      </c>
      <c r="Z147" s="114" t="s">
        <v>8858</v>
      </c>
      <c r="AA147" s="114" t="s">
        <v>9072</v>
      </c>
      <c r="AB147" s="114" t="s">
        <v>8867</v>
      </c>
    </row>
    <row r="148" spans="1:28" ht="48" x14ac:dyDescent="0.2">
      <c r="A148" s="133" t="s">
        <v>1034</v>
      </c>
      <c r="B148" s="130"/>
      <c r="C148" s="130" t="s">
        <v>619</v>
      </c>
      <c r="D148" s="130" t="s">
        <v>1035</v>
      </c>
      <c r="E148" s="131">
        <v>32706</v>
      </c>
      <c r="F148" s="131">
        <v>32706</v>
      </c>
      <c r="G148" s="132" t="s">
        <v>1032</v>
      </c>
      <c r="H148" s="132" t="s">
        <v>1036</v>
      </c>
      <c r="I148" s="132" t="s">
        <v>722</v>
      </c>
      <c r="J148" s="132" t="s">
        <v>1033</v>
      </c>
      <c r="K148" s="440" t="str">
        <f>HYPERLINK("https://okcountyrecords.com/detail/roger+mills/1989-004249","OKCountyRecords: 1989-004249")</f>
        <v>OKCountyRecords: 1989-004249</v>
      </c>
      <c r="L148" s="133" t="s">
        <v>412</v>
      </c>
      <c r="M148" s="133"/>
      <c r="N148" s="133"/>
      <c r="O148" s="133" t="s">
        <v>422</v>
      </c>
      <c r="P148" s="114" t="s">
        <v>8934</v>
      </c>
      <c r="Q148" s="114" t="s">
        <v>118</v>
      </c>
      <c r="R148" s="114" t="s">
        <v>89</v>
      </c>
      <c r="S148" s="114" t="s">
        <v>118</v>
      </c>
      <c r="T148" s="114" t="s">
        <v>89</v>
      </c>
      <c r="U148" s="114" t="s">
        <v>8862</v>
      </c>
      <c r="V148" s="114" t="s">
        <v>3072</v>
      </c>
      <c r="W148" s="114" t="s">
        <v>9626</v>
      </c>
      <c r="X148" s="114" t="s">
        <v>8865</v>
      </c>
      <c r="Y148" s="114" t="s">
        <v>9071</v>
      </c>
      <c r="Z148" s="114" t="s">
        <v>8858</v>
      </c>
      <c r="AA148" s="114" t="s">
        <v>9073</v>
      </c>
      <c r="AB148" s="114" t="s">
        <v>8867</v>
      </c>
    </row>
    <row r="149" spans="1:28" ht="48" x14ac:dyDescent="0.2">
      <c r="A149" s="133" t="s">
        <v>1037</v>
      </c>
      <c r="B149" s="130"/>
      <c r="C149" s="130" t="s">
        <v>619</v>
      </c>
      <c r="D149" s="130" t="s">
        <v>1038</v>
      </c>
      <c r="E149" s="131">
        <v>32706</v>
      </c>
      <c r="F149" s="131">
        <v>32706</v>
      </c>
      <c r="G149" s="132" t="s">
        <v>1032</v>
      </c>
      <c r="H149" s="132" t="s">
        <v>1039</v>
      </c>
      <c r="I149" s="132" t="s">
        <v>722</v>
      </c>
      <c r="J149" s="132" t="s">
        <v>1033</v>
      </c>
      <c r="K149" s="440" t="str">
        <f>HYPERLINK("https://okcountyrecords.com/detail/roger+mills/1989-004250","OKCountyRecords: 1989-004250")</f>
        <v>OKCountyRecords: 1989-004250</v>
      </c>
      <c r="L149" s="133" t="s">
        <v>412</v>
      </c>
      <c r="M149" s="133" t="s">
        <v>405</v>
      </c>
      <c r="N149" s="133"/>
      <c r="O149" s="133" t="s">
        <v>422</v>
      </c>
      <c r="P149" s="114" t="s">
        <v>8934</v>
      </c>
      <c r="Q149" s="114" t="s">
        <v>118</v>
      </c>
      <c r="R149" s="114" t="s">
        <v>89</v>
      </c>
      <c r="S149" s="114" t="s">
        <v>118</v>
      </c>
      <c r="T149" s="114" t="s">
        <v>89</v>
      </c>
      <c r="U149" s="114" t="s">
        <v>8862</v>
      </c>
      <c r="V149" s="114" t="s">
        <v>3072</v>
      </c>
      <c r="W149" s="114" t="s">
        <v>9626</v>
      </c>
      <c r="X149" s="114" t="s">
        <v>8865</v>
      </c>
      <c r="Y149" s="114" t="s">
        <v>9071</v>
      </c>
      <c r="Z149" s="114" t="s">
        <v>8858</v>
      </c>
      <c r="AA149" s="114" t="s">
        <v>9074</v>
      </c>
      <c r="AB149" s="114" t="s">
        <v>8867</v>
      </c>
    </row>
    <row r="150" spans="1:28" ht="48" x14ac:dyDescent="0.2">
      <c r="A150" s="133" t="s">
        <v>1040</v>
      </c>
      <c r="B150" s="130"/>
      <c r="C150" s="130" t="s">
        <v>619</v>
      </c>
      <c r="D150" s="130" t="s">
        <v>1041</v>
      </c>
      <c r="E150" s="131">
        <v>32706</v>
      </c>
      <c r="F150" s="131">
        <v>32706</v>
      </c>
      <c r="G150" s="132" t="s">
        <v>1032</v>
      </c>
      <c r="H150" s="132" t="s">
        <v>1042</v>
      </c>
      <c r="I150" s="132" t="s">
        <v>722</v>
      </c>
      <c r="J150" s="132" t="s">
        <v>1033</v>
      </c>
      <c r="K150" s="440" t="str">
        <f>HYPERLINK("https://okcountyrecords.com/detail/roger+mills/1989-004251","OKCountyRecords: 1989-004251")</f>
        <v>OKCountyRecords: 1989-004251</v>
      </c>
      <c r="L150" s="133" t="s">
        <v>412</v>
      </c>
      <c r="M150" s="133" t="s">
        <v>405</v>
      </c>
      <c r="N150" s="133"/>
      <c r="O150" s="133" t="s">
        <v>422</v>
      </c>
      <c r="P150" s="114" t="s">
        <v>8934</v>
      </c>
      <c r="Q150" s="114" t="s">
        <v>118</v>
      </c>
      <c r="R150" s="114" t="s">
        <v>89</v>
      </c>
      <c r="S150" s="114" t="s">
        <v>118</v>
      </c>
      <c r="T150" s="114" t="s">
        <v>89</v>
      </c>
      <c r="U150" s="114" t="s">
        <v>8862</v>
      </c>
      <c r="V150" s="114" t="s">
        <v>3072</v>
      </c>
      <c r="W150" s="114" t="s">
        <v>9626</v>
      </c>
      <c r="X150" s="114" t="s">
        <v>2701</v>
      </c>
      <c r="Y150" s="114" t="s">
        <v>9071</v>
      </c>
      <c r="Z150" s="114" t="s">
        <v>8858</v>
      </c>
      <c r="AA150" s="114" t="s">
        <v>9075</v>
      </c>
      <c r="AB150" s="114" t="s">
        <v>8867</v>
      </c>
    </row>
    <row r="151" spans="1:28" ht="48" x14ac:dyDescent="0.2">
      <c r="A151" s="133" t="s">
        <v>1043</v>
      </c>
      <c r="B151" s="130"/>
      <c r="C151" s="130" t="s">
        <v>619</v>
      </c>
      <c r="D151" s="130" t="s">
        <v>1044</v>
      </c>
      <c r="E151" s="131">
        <v>32706</v>
      </c>
      <c r="F151" s="131">
        <v>32706</v>
      </c>
      <c r="G151" s="132" t="s">
        <v>1032</v>
      </c>
      <c r="H151" s="132" t="s">
        <v>1045</v>
      </c>
      <c r="I151" s="132" t="s">
        <v>722</v>
      </c>
      <c r="J151" s="132" t="s">
        <v>1033</v>
      </c>
      <c r="K151" s="440" t="str">
        <f>HYPERLINK("https://okcountyrecords.com/detail/roger+mills/1989-004252","OKCountyRecords: 1989-004252")</f>
        <v>OKCountyRecords: 1989-004252</v>
      </c>
      <c r="L151" s="133" t="s">
        <v>412</v>
      </c>
      <c r="M151" s="133" t="s">
        <v>405</v>
      </c>
      <c r="N151" s="133"/>
      <c r="O151" s="133" t="s">
        <v>422</v>
      </c>
      <c r="P151" s="114" t="s">
        <v>8934</v>
      </c>
      <c r="Q151" s="114" t="s">
        <v>118</v>
      </c>
      <c r="R151" s="114" t="s">
        <v>89</v>
      </c>
      <c r="S151" s="114" t="s">
        <v>118</v>
      </c>
      <c r="T151" s="114" t="s">
        <v>89</v>
      </c>
      <c r="U151" s="114" t="s">
        <v>8862</v>
      </c>
      <c r="V151" s="114" t="s">
        <v>3072</v>
      </c>
      <c r="W151" s="114" t="s">
        <v>9631</v>
      </c>
      <c r="X151" s="114" t="s">
        <v>2701</v>
      </c>
      <c r="Y151" s="114" t="s">
        <v>9071</v>
      </c>
      <c r="Z151" s="114" t="s">
        <v>8858</v>
      </c>
      <c r="AA151" s="114" t="s">
        <v>9076</v>
      </c>
      <c r="AB151" s="114" t="s">
        <v>8867</v>
      </c>
    </row>
    <row r="152" spans="1:28" ht="48" x14ac:dyDescent="0.2">
      <c r="A152" s="133" t="s">
        <v>1046</v>
      </c>
      <c r="B152" s="130"/>
      <c r="C152" s="130" t="s">
        <v>619</v>
      </c>
      <c r="D152" s="130" t="s">
        <v>1047</v>
      </c>
      <c r="E152" s="131">
        <v>32706</v>
      </c>
      <c r="F152" s="131">
        <v>32706</v>
      </c>
      <c r="G152" s="132" t="s">
        <v>1032</v>
      </c>
      <c r="H152" s="132" t="s">
        <v>1048</v>
      </c>
      <c r="I152" s="132" t="s">
        <v>722</v>
      </c>
      <c r="J152" s="132" t="s">
        <v>1033</v>
      </c>
      <c r="K152" s="440" t="str">
        <f>HYPERLINK("https://okcountyrecords.com/detail/roger+mills/1989-004253","OKCountyRecords: 1989-004253")</f>
        <v>OKCountyRecords: 1989-004253</v>
      </c>
      <c r="L152" s="133" t="s">
        <v>412</v>
      </c>
      <c r="M152" s="133" t="s">
        <v>405</v>
      </c>
      <c r="N152" s="133"/>
      <c r="O152" s="133" t="s">
        <v>422</v>
      </c>
      <c r="P152" s="114" t="s">
        <v>8934</v>
      </c>
      <c r="Q152" s="114" t="s">
        <v>118</v>
      </c>
      <c r="R152" s="114" t="s">
        <v>89</v>
      </c>
      <c r="S152" s="114" t="s">
        <v>118</v>
      </c>
      <c r="T152" s="114" t="s">
        <v>89</v>
      </c>
      <c r="U152" s="114" t="s">
        <v>8862</v>
      </c>
      <c r="V152" s="114" t="s">
        <v>3072</v>
      </c>
      <c r="W152" s="114" t="s">
        <v>9631</v>
      </c>
      <c r="X152" s="114" t="s">
        <v>2701</v>
      </c>
      <c r="Y152" s="114" t="s">
        <v>9071</v>
      </c>
      <c r="Z152" s="114" t="s">
        <v>8858</v>
      </c>
      <c r="AA152" s="114" t="s">
        <v>9077</v>
      </c>
      <c r="AB152" s="114" t="s">
        <v>8867</v>
      </c>
    </row>
    <row r="153" spans="1:28" ht="48" x14ac:dyDescent="0.2">
      <c r="A153" s="133" t="s">
        <v>1049</v>
      </c>
      <c r="B153" s="130"/>
      <c r="C153" s="130" t="s">
        <v>619</v>
      </c>
      <c r="D153" s="130" t="s">
        <v>1050</v>
      </c>
      <c r="E153" s="131">
        <v>32706</v>
      </c>
      <c r="F153" s="131">
        <v>32706</v>
      </c>
      <c r="G153" s="132" t="s">
        <v>1032</v>
      </c>
      <c r="H153" s="132" t="s">
        <v>1051</v>
      </c>
      <c r="I153" s="132" t="s">
        <v>722</v>
      </c>
      <c r="J153" s="132" t="s">
        <v>1033</v>
      </c>
      <c r="K153" s="440" t="str">
        <f>HYPERLINK("https://okcountyrecords.com/detail/roger+mills/1989-004254","OKCountyRecords: 1989-004254")</f>
        <v>OKCountyRecords: 1989-004254</v>
      </c>
      <c r="L153" s="133" t="s">
        <v>412</v>
      </c>
      <c r="M153" s="133" t="s">
        <v>405</v>
      </c>
      <c r="N153" s="133"/>
      <c r="O153" s="133" t="s">
        <v>422</v>
      </c>
      <c r="P153" s="114" t="s">
        <v>8934</v>
      </c>
      <c r="Q153" s="114" t="s">
        <v>118</v>
      </c>
      <c r="R153" s="114" t="s">
        <v>89</v>
      </c>
      <c r="S153" s="114" t="s">
        <v>118</v>
      </c>
      <c r="T153" s="114" t="s">
        <v>89</v>
      </c>
      <c r="U153" s="114" t="s">
        <v>8862</v>
      </c>
      <c r="V153" s="114" t="s">
        <v>3072</v>
      </c>
      <c r="W153" s="114" t="s">
        <v>9631</v>
      </c>
      <c r="X153" s="114" t="s">
        <v>2701</v>
      </c>
      <c r="Y153" s="114" t="s">
        <v>9071</v>
      </c>
      <c r="Z153" s="114" t="s">
        <v>8858</v>
      </c>
      <c r="AA153" s="114" t="s">
        <v>9078</v>
      </c>
      <c r="AB153" s="114" t="s">
        <v>8867</v>
      </c>
    </row>
    <row r="154" spans="1:28" ht="48" x14ac:dyDescent="0.2">
      <c r="A154" s="133" t="s">
        <v>1052</v>
      </c>
      <c r="B154" s="130"/>
      <c r="C154" s="130" t="s">
        <v>619</v>
      </c>
      <c r="D154" s="130" t="s">
        <v>1053</v>
      </c>
      <c r="E154" s="131">
        <v>32706</v>
      </c>
      <c r="F154" s="131">
        <v>32706</v>
      </c>
      <c r="G154" s="132" t="s">
        <v>1032</v>
      </c>
      <c r="H154" s="132" t="s">
        <v>1054</v>
      </c>
      <c r="I154" s="132" t="s">
        <v>722</v>
      </c>
      <c r="J154" s="132" t="s">
        <v>1033</v>
      </c>
      <c r="K154" s="440" t="str">
        <f>HYPERLINK("https://okcountyrecords.com/detail/roger+mills/1989-004255","OKCountyRecords: 1989-004255")</f>
        <v>OKCountyRecords: 1989-004255</v>
      </c>
      <c r="L154" s="133" t="s">
        <v>412</v>
      </c>
      <c r="M154" s="133" t="s">
        <v>405</v>
      </c>
      <c r="N154" s="133"/>
      <c r="O154" s="133" t="s">
        <v>422</v>
      </c>
      <c r="P154" s="114" t="s">
        <v>8934</v>
      </c>
      <c r="Q154" s="114" t="s">
        <v>118</v>
      </c>
      <c r="R154" s="114" t="s">
        <v>89</v>
      </c>
      <c r="S154" s="114" t="s">
        <v>118</v>
      </c>
      <c r="T154" s="114" t="s">
        <v>89</v>
      </c>
      <c r="U154" s="114" t="s">
        <v>8862</v>
      </c>
      <c r="V154" s="114" t="s">
        <v>3072</v>
      </c>
      <c r="W154" s="114" t="s">
        <v>9631</v>
      </c>
      <c r="X154" s="114" t="s">
        <v>2701</v>
      </c>
      <c r="Y154" s="114" t="s">
        <v>9071</v>
      </c>
      <c r="Z154" s="114" t="s">
        <v>8858</v>
      </c>
      <c r="AA154" s="114" t="s">
        <v>9079</v>
      </c>
      <c r="AB154" s="114" t="s">
        <v>8867</v>
      </c>
    </row>
    <row r="155" spans="1:28" ht="48" x14ac:dyDescent="0.2">
      <c r="A155" s="133" t="s">
        <v>1055</v>
      </c>
      <c r="B155" s="130"/>
      <c r="C155" s="130" t="s">
        <v>619</v>
      </c>
      <c r="D155" s="130" t="s">
        <v>1056</v>
      </c>
      <c r="E155" s="131">
        <v>32706</v>
      </c>
      <c r="F155" s="131">
        <v>32706</v>
      </c>
      <c r="G155" s="132" t="s">
        <v>1032</v>
      </c>
      <c r="H155" s="132" t="s">
        <v>1057</v>
      </c>
      <c r="I155" s="132" t="s">
        <v>722</v>
      </c>
      <c r="J155" s="132" t="s">
        <v>1033</v>
      </c>
      <c r="K155" s="440" t="str">
        <f>HYPERLINK("https://okcountyrecords.com/detail/roger+mills/1989-004256","OKCountyRecords: 1989-004256")</f>
        <v>OKCountyRecords: 1989-004256</v>
      </c>
      <c r="L155" s="133" t="s">
        <v>412</v>
      </c>
      <c r="M155" s="133" t="s">
        <v>405</v>
      </c>
      <c r="N155" s="133"/>
      <c r="O155" s="133" t="s">
        <v>422</v>
      </c>
      <c r="P155" s="114" t="s">
        <v>8934</v>
      </c>
      <c r="Q155" s="114" t="s">
        <v>118</v>
      </c>
      <c r="R155" s="114" t="s">
        <v>89</v>
      </c>
      <c r="S155" s="114" t="s">
        <v>118</v>
      </c>
      <c r="T155" s="114" t="s">
        <v>89</v>
      </c>
      <c r="U155" s="114" t="s">
        <v>8862</v>
      </c>
      <c r="V155" s="114" t="s">
        <v>3072</v>
      </c>
      <c r="W155" s="114" t="s">
        <v>9631</v>
      </c>
      <c r="X155" s="114" t="s">
        <v>8865</v>
      </c>
      <c r="Y155" s="114" t="s">
        <v>9071</v>
      </c>
      <c r="Z155" s="114" t="s">
        <v>8858</v>
      </c>
      <c r="AA155" s="114" t="s">
        <v>9080</v>
      </c>
      <c r="AB155" s="114" t="s">
        <v>8867</v>
      </c>
    </row>
    <row r="156" spans="1:28" ht="48" x14ac:dyDescent="0.2">
      <c r="A156" s="133" t="s">
        <v>1058</v>
      </c>
      <c r="B156" s="130"/>
      <c r="C156" s="130" t="s">
        <v>585</v>
      </c>
      <c r="D156" s="130" t="s">
        <v>1059</v>
      </c>
      <c r="E156" s="131">
        <v>32794</v>
      </c>
      <c r="F156" s="131">
        <v>32794</v>
      </c>
      <c r="G156" s="132" t="s">
        <v>1060</v>
      </c>
      <c r="H156" s="132" t="s">
        <v>940</v>
      </c>
      <c r="I156" s="132" t="s">
        <v>722</v>
      </c>
      <c r="J156" s="132" t="s">
        <v>63</v>
      </c>
      <c r="K156" s="440" t="str">
        <f>HYPERLINK("https://okcountyrecords.com/detail/roger+mills/1989-005656","OKCountyRecords: 1989-005656")</f>
        <v>OKCountyRecords: 1989-005656</v>
      </c>
      <c r="L156" s="133" t="s">
        <v>412</v>
      </c>
      <c r="M156" s="133" t="s">
        <v>405</v>
      </c>
      <c r="N156" s="133"/>
      <c r="O156" s="133" t="s">
        <v>422</v>
      </c>
      <c r="P156" s="114" t="s">
        <v>8886</v>
      </c>
      <c r="Q156" s="114" t="s">
        <v>118</v>
      </c>
      <c r="R156" s="114" t="s">
        <v>89</v>
      </c>
      <c r="S156" s="114" t="s">
        <v>118</v>
      </c>
      <c r="T156" s="114" t="s">
        <v>89</v>
      </c>
      <c r="U156" s="114" t="s">
        <v>8862</v>
      </c>
      <c r="V156" s="114" t="s">
        <v>3072</v>
      </c>
      <c r="W156" s="114" t="s">
        <v>8864</v>
      </c>
      <c r="X156" s="114" t="s">
        <v>2701</v>
      </c>
      <c r="Y156" s="114" t="s">
        <v>8857</v>
      </c>
      <c r="Z156" s="114" t="s">
        <v>8858</v>
      </c>
      <c r="AA156" s="114" t="s">
        <v>9081</v>
      </c>
      <c r="AB156" s="114" t="s">
        <v>8867</v>
      </c>
    </row>
    <row r="157" spans="1:28" ht="60" x14ac:dyDescent="0.2">
      <c r="A157" s="133" t="s">
        <v>1061</v>
      </c>
      <c r="B157" s="130"/>
      <c r="C157" s="130" t="s">
        <v>1062</v>
      </c>
      <c r="D157" s="130" t="s">
        <v>1063</v>
      </c>
      <c r="E157" s="131">
        <v>32806</v>
      </c>
      <c r="F157" s="131">
        <v>32806</v>
      </c>
      <c r="G157" s="132" t="s">
        <v>327</v>
      </c>
      <c r="H157" s="132" t="s">
        <v>102</v>
      </c>
      <c r="I157" s="132" t="s">
        <v>530</v>
      </c>
      <c r="J157" s="132" t="s">
        <v>760</v>
      </c>
      <c r="K157" s="440" t="str">
        <f>HYPERLINK("https://okcountyrecords.com/detail/roger+mills/1989-005860","OKCountyRecords: 1989-005860")</f>
        <v>OKCountyRecords: 1989-005860</v>
      </c>
      <c r="L157" s="133" t="s">
        <v>503</v>
      </c>
      <c r="M157" s="133" t="s">
        <v>467</v>
      </c>
      <c r="N157" s="133" t="s">
        <v>504</v>
      </c>
      <c r="O157" s="133" t="s">
        <v>422</v>
      </c>
      <c r="P157" s="114" t="s">
        <v>9082</v>
      </c>
      <c r="Q157" s="114" t="s">
        <v>89</v>
      </c>
      <c r="R157" s="114" t="s">
        <v>89</v>
      </c>
      <c r="S157" s="114" t="s">
        <v>89</v>
      </c>
      <c r="T157" s="114" t="s">
        <v>89</v>
      </c>
      <c r="U157" s="114" t="s">
        <v>8896</v>
      </c>
      <c r="V157" s="114" t="s">
        <v>3386</v>
      </c>
      <c r="W157" s="114" t="s">
        <v>8864</v>
      </c>
      <c r="X157" s="114" t="s">
        <v>2701</v>
      </c>
      <c r="Y157" s="114" t="s">
        <v>8851</v>
      </c>
      <c r="Z157" s="114" t="s">
        <v>2701</v>
      </c>
      <c r="AA157" s="114" t="s">
        <v>9083</v>
      </c>
      <c r="AB157" s="114" t="s">
        <v>8867</v>
      </c>
    </row>
    <row r="158" spans="1:28" ht="60" x14ac:dyDescent="0.2">
      <c r="A158" s="133" t="s">
        <v>1064</v>
      </c>
      <c r="B158" s="130"/>
      <c r="C158" s="130" t="s">
        <v>619</v>
      </c>
      <c r="D158" s="130" t="s">
        <v>1065</v>
      </c>
      <c r="E158" s="131">
        <v>32847</v>
      </c>
      <c r="F158" s="131">
        <v>32847</v>
      </c>
      <c r="G158" s="132" t="s">
        <v>928</v>
      </c>
      <c r="H158" s="132" t="s">
        <v>1066</v>
      </c>
      <c r="I158" s="132" t="s">
        <v>623</v>
      </c>
      <c r="J158" s="132" t="s">
        <v>703</v>
      </c>
      <c r="K158" s="440" t="str">
        <f>HYPERLINK("https://okcountyrecords.com/detail/roger+mills/1989-006590","OKCountyRecords: 1989-006590")</f>
        <v>OKCountyRecords: 1989-006590</v>
      </c>
      <c r="L158" s="133" t="s">
        <v>412</v>
      </c>
      <c r="M158" s="133"/>
      <c r="N158" s="133"/>
      <c r="O158" s="133" t="s">
        <v>422</v>
      </c>
      <c r="P158" s="114" t="s">
        <v>8934</v>
      </c>
      <c r="Q158" s="114" t="s">
        <v>118</v>
      </c>
      <c r="R158" s="114" t="s">
        <v>89</v>
      </c>
      <c r="S158" s="114" t="s">
        <v>118</v>
      </c>
      <c r="T158" s="114" t="s">
        <v>89</v>
      </c>
      <c r="U158" s="114" t="s">
        <v>8935</v>
      </c>
      <c r="V158" s="114" t="s">
        <v>2701</v>
      </c>
      <c r="W158" s="114" t="s">
        <v>8906</v>
      </c>
      <c r="X158" s="114" t="s">
        <v>8869</v>
      </c>
      <c r="Y158" s="114" t="s">
        <v>8959</v>
      </c>
      <c r="Z158" s="114" t="s">
        <v>8858</v>
      </c>
      <c r="AA158" s="114" t="s">
        <v>9084</v>
      </c>
      <c r="AB158" s="114" t="s">
        <v>8879</v>
      </c>
    </row>
    <row r="159" spans="1:28" ht="48" x14ac:dyDescent="0.2">
      <c r="A159" s="133" t="s">
        <v>1067</v>
      </c>
      <c r="B159" s="130"/>
      <c r="C159" s="130" t="s">
        <v>619</v>
      </c>
      <c r="D159" s="130" t="s">
        <v>1068</v>
      </c>
      <c r="E159" s="131">
        <v>32869</v>
      </c>
      <c r="F159" s="131">
        <v>32869</v>
      </c>
      <c r="G159" s="132" t="s">
        <v>1069</v>
      </c>
      <c r="H159" s="132" t="s">
        <v>348</v>
      </c>
      <c r="I159" s="132" t="s">
        <v>722</v>
      </c>
      <c r="J159" s="132" t="s">
        <v>1070</v>
      </c>
      <c r="K159" s="440" t="str">
        <f>HYPERLINK("https://okcountyrecords.com/detail/roger+mills/1989-007000","OKCountyRecords: 1989-007000")</f>
        <v>OKCountyRecords: 1989-007000</v>
      </c>
      <c r="L159" s="133" t="s">
        <v>412</v>
      </c>
      <c r="M159" s="133" t="s">
        <v>405</v>
      </c>
      <c r="N159" s="133"/>
      <c r="O159" s="133" t="s">
        <v>422</v>
      </c>
      <c r="P159" s="114" t="s">
        <v>8934</v>
      </c>
      <c r="Q159" s="114" t="s">
        <v>118</v>
      </c>
      <c r="R159" s="114" t="s">
        <v>89</v>
      </c>
      <c r="S159" s="114" t="s">
        <v>118</v>
      </c>
      <c r="T159" s="114" t="s">
        <v>89</v>
      </c>
      <c r="U159" s="114" t="s">
        <v>8862</v>
      </c>
      <c r="V159" s="114" t="s">
        <v>3072</v>
      </c>
      <c r="W159" s="114" t="s">
        <v>9632</v>
      </c>
      <c r="X159" s="114" t="s">
        <v>8865</v>
      </c>
      <c r="Y159" s="114" t="s">
        <v>9085</v>
      </c>
      <c r="Z159" s="114" t="s">
        <v>8858</v>
      </c>
      <c r="AA159" s="114" t="s">
        <v>9086</v>
      </c>
      <c r="AB159" s="114" t="s">
        <v>8867</v>
      </c>
    </row>
    <row r="160" spans="1:28" ht="48" x14ac:dyDescent="0.2">
      <c r="A160" s="133" t="s">
        <v>1071</v>
      </c>
      <c r="B160" s="130"/>
      <c r="C160" s="130" t="s">
        <v>619</v>
      </c>
      <c r="D160" s="130" t="s">
        <v>1072</v>
      </c>
      <c r="E160" s="131">
        <v>32869</v>
      </c>
      <c r="F160" s="131">
        <v>32869</v>
      </c>
      <c r="G160" s="132" t="s">
        <v>1069</v>
      </c>
      <c r="H160" s="132" t="s">
        <v>351</v>
      </c>
      <c r="I160" s="132" t="s">
        <v>722</v>
      </c>
      <c r="J160" s="132" t="s">
        <v>1070</v>
      </c>
      <c r="K160" s="440" t="str">
        <f>HYPERLINK("https://okcountyrecords.com/detail/roger+mills/1989-007001","OKCountyRecords: 1989-007001")</f>
        <v>OKCountyRecords: 1989-007001</v>
      </c>
      <c r="L160" s="133" t="s">
        <v>412</v>
      </c>
      <c r="M160" s="133" t="s">
        <v>405</v>
      </c>
      <c r="N160" s="133"/>
      <c r="O160" s="133" t="s">
        <v>422</v>
      </c>
      <c r="P160" s="114" t="s">
        <v>8934</v>
      </c>
      <c r="Q160" s="114" t="s">
        <v>118</v>
      </c>
      <c r="R160" s="114" t="s">
        <v>89</v>
      </c>
      <c r="S160" s="114" t="s">
        <v>118</v>
      </c>
      <c r="T160" s="114" t="s">
        <v>89</v>
      </c>
      <c r="U160" s="114" t="s">
        <v>8862</v>
      </c>
      <c r="V160" s="114" t="s">
        <v>3072</v>
      </c>
      <c r="W160" s="114" t="s">
        <v>9632</v>
      </c>
      <c r="X160" s="114" t="s">
        <v>8865</v>
      </c>
      <c r="Y160" s="114" t="s">
        <v>9085</v>
      </c>
      <c r="Z160" s="114" t="s">
        <v>8858</v>
      </c>
      <c r="AA160" s="114" t="s">
        <v>9087</v>
      </c>
      <c r="AB160" s="114" t="s">
        <v>8867</v>
      </c>
    </row>
    <row r="161" spans="1:28" ht="48" x14ac:dyDescent="0.2">
      <c r="A161" s="133" t="s">
        <v>1073</v>
      </c>
      <c r="B161" s="130"/>
      <c r="C161" s="130" t="s">
        <v>1074</v>
      </c>
      <c r="D161" s="130" t="s">
        <v>1075</v>
      </c>
      <c r="E161" s="131">
        <v>32920</v>
      </c>
      <c r="F161" s="131">
        <v>32920</v>
      </c>
      <c r="G161" s="132" t="s">
        <v>1076</v>
      </c>
      <c r="H161" s="132" t="s">
        <v>353</v>
      </c>
      <c r="I161" s="132" t="s">
        <v>722</v>
      </c>
      <c r="J161" s="132" t="s">
        <v>1077</v>
      </c>
      <c r="K161" s="440" t="str">
        <f>HYPERLINK("https://okcountyrecords.com/detail/roger+mills/1990-000905","OKCountyRecords: 1990-000905")</f>
        <v>OKCountyRecords: 1990-000905</v>
      </c>
      <c r="L161" s="133" t="s">
        <v>412</v>
      </c>
      <c r="M161" s="133" t="s">
        <v>405</v>
      </c>
      <c r="N161" s="133"/>
      <c r="O161" s="133" t="s">
        <v>422</v>
      </c>
      <c r="P161" s="114" t="s">
        <v>8934</v>
      </c>
      <c r="Q161" s="114" t="s">
        <v>118</v>
      </c>
      <c r="R161" s="114" t="s">
        <v>89</v>
      </c>
      <c r="S161" s="114" t="s">
        <v>118</v>
      </c>
      <c r="T161" s="114" t="s">
        <v>89</v>
      </c>
      <c r="U161" s="114" t="s">
        <v>8862</v>
      </c>
      <c r="V161" s="114" t="s">
        <v>3072</v>
      </c>
      <c r="W161" s="114" t="s">
        <v>9633</v>
      </c>
      <c r="X161" s="114" t="s">
        <v>8865</v>
      </c>
      <c r="Y161" s="114" t="s">
        <v>9088</v>
      </c>
      <c r="Z161" s="114" t="s">
        <v>8858</v>
      </c>
      <c r="AA161" s="114" t="s">
        <v>9089</v>
      </c>
      <c r="AB161" s="114" t="s">
        <v>8867</v>
      </c>
    </row>
    <row r="162" spans="1:28" ht="48" x14ac:dyDescent="0.2">
      <c r="A162" s="133" t="s">
        <v>1078</v>
      </c>
      <c r="B162" s="130"/>
      <c r="C162" s="130" t="s">
        <v>1074</v>
      </c>
      <c r="D162" s="130" t="s">
        <v>1079</v>
      </c>
      <c r="E162" s="131">
        <v>32920</v>
      </c>
      <c r="F162" s="131">
        <v>32920</v>
      </c>
      <c r="G162" s="132" t="s">
        <v>1076</v>
      </c>
      <c r="H162" s="132" t="s">
        <v>1080</v>
      </c>
      <c r="I162" s="132" t="s">
        <v>722</v>
      </c>
      <c r="J162" s="132" t="s">
        <v>1077</v>
      </c>
      <c r="K162" s="440" t="str">
        <f>HYPERLINK("https://okcountyrecords.com/detail/roger+mills/1990-000906","OKCountyRecords: 1990-000906")</f>
        <v>OKCountyRecords: 1990-000906</v>
      </c>
      <c r="L162" s="133" t="s">
        <v>412</v>
      </c>
      <c r="M162" s="133" t="s">
        <v>405</v>
      </c>
      <c r="N162" s="133"/>
      <c r="O162" s="133" t="s">
        <v>422</v>
      </c>
      <c r="P162" s="114" t="s">
        <v>8934</v>
      </c>
      <c r="Q162" s="114" t="s">
        <v>118</v>
      </c>
      <c r="R162" s="114" t="s">
        <v>89</v>
      </c>
      <c r="S162" s="114" t="s">
        <v>118</v>
      </c>
      <c r="T162" s="114" t="s">
        <v>89</v>
      </c>
      <c r="U162" s="114" t="s">
        <v>8862</v>
      </c>
      <c r="V162" s="114" t="s">
        <v>3072</v>
      </c>
      <c r="W162" s="114" t="s">
        <v>9633</v>
      </c>
      <c r="X162" s="114" t="s">
        <v>2701</v>
      </c>
      <c r="Y162" s="114" t="s">
        <v>9088</v>
      </c>
      <c r="Z162" s="114" t="s">
        <v>8858</v>
      </c>
      <c r="AA162" s="114" t="s">
        <v>9090</v>
      </c>
      <c r="AB162" s="114" t="s">
        <v>8867</v>
      </c>
    </row>
    <row r="163" spans="1:28" ht="48" x14ac:dyDescent="0.2">
      <c r="A163" s="133" t="s">
        <v>1081</v>
      </c>
      <c r="B163" s="130"/>
      <c r="C163" s="130" t="s">
        <v>1074</v>
      </c>
      <c r="D163" s="130" t="s">
        <v>1082</v>
      </c>
      <c r="E163" s="131">
        <v>32920</v>
      </c>
      <c r="F163" s="131">
        <v>32920</v>
      </c>
      <c r="G163" s="132" t="s">
        <v>1076</v>
      </c>
      <c r="H163" s="132" t="s">
        <v>726</v>
      </c>
      <c r="I163" s="132" t="s">
        <v>722</v>
      </c>
      <c r="J163" s="132" t="s">
        <v>1077</v>
      </c>
      <c r="K163" s="440" t="str">
        <f>HYPERLINK("https://okcountyrecords.com/detail/roger+mills/1990-000907","OKCountyRecords: 1990-000907")</f>
        <v>OKCountyRecords: 1990-000907</v>
      </c>
      <c r="L163" s="133" t="s">
        <v>412</v>
      </c>
      <c r="M163" s="133" t="s">
        <v>405</v>
      </c>
      <c r="N163" s="133"/>
      <c r="O163" s="133" t="s">
        <v>422</v>
      </c>
      <c r="P163" s="114" t="s">
        <v>8934</v>
      </c>
      <c r="Q163" s="114" t="s">
        <v>118</v>
      </c>
      <c r="R163" s="114" t="s">
        <v>89</v>
      </c>
      <c r="S163" s="114" t="s">
        <v>118</v>
      </c>
      <c r="T163" s="114" t="s">
        <v>89</v>
      </c>
      <c r="U163" s="114" t="s">
        <v>8862</v>
      </c>
      <c r="V163" s="114" t="s">
        <v>3072</v>
      </c>
      <c r="W163" s="114" t="s">
        <v>9633</v>
      </c>
      <c r="X163" s="114" t="s">
        <v>8865</v>
      </c>
      <c r="Y163" s="114" t="s">
        <v>9088</v>
      </c>
      <c r="Z163" s="114" t="s">
        <v>8858</v>
      </c>
      <c r="AA163" s="114" t="s">
        <v>9091</v>
      </c>
      <c r="AB163" s="114" t="s">
        <v>8867</v>
      </c>
    </row>
    <row r="164" spans="1:28" ht="48" x14ac:dyDescent="0.2">
      <c r="A164" s="133" t="s">
        <v>1083</v>
      </c>
      <c r="B164" s="130"/>
      <c r="C164" s="130" t="s">
        <v>1074</v>
      </c>
      <c r="D164" s="130" t="s">
        <v>1084</v>
      </c>
      <c r="E164" s="131">
        <v>32920</v>
      </c>
      <c r="F164" s="131">
        <v>32920</v>
      </c>
      <c r="G164" s="132" t="s">
        <v>1076</v>
      </c>
      <c r="H164" s="132" t="s">
        <v>214</v>
      </c>
      <c r="I164" s="132" t="s">
        <v>722</v>
      </c>
      <c r="J164" s="132" t="s">
        <v>1077</v>
      </c>
      <c r="K164" s="440" t="str">
        <f>HYPERLINK("https://okcountyrecords.com/detail/roger+mills/1990-000908","OKCountyRecords: 1990-000908")</f>
        <v>OKCountyRecords: 1990-000908</v>
      </c>
      <c r="L164" s="133" t="s">
        <v>412</v>
      </c>
      <c r="M164" s="133" t="s">
        <v>405</v>
      </c>
      <c r="N164" s="133"/>
      <c r="O164" s="133" t="s">
        <v>422</v>
      </c>
      <c r="P164" s="114" t="s">
        <v>8934</v>
      </c>
      <c r="Q164" s="114" t="s">
        <v>118</v>
      </c>
      <c r="R164" s="114" t="s">
        <v>89</v>
      </c>
      <c r="S164" s="114" t="s">
        <v>118</v>
      </c>
      <c r="T164" s="114" t="s">
        <v>89</v>
      </c>
      <c r="U164" s="114" t="s">
        <v>8862</v>
      </c>
      <c r="V164" s="114" t="s">
        <v>3072</v>
      </c>
      <c r="W164" s="114" t="s">
        <v>9633</v>
      </c>
      <c r="X164" s="114" t="s">
        <v>8865</v>
      </c>
      <c r="Y164" s="114" t="s">
        <v>9088</v>
      </c>
      <c r="Z164" s="114" t="s">
        <v>8858</v>
      </c>
      <c r="AA164" s="114" t="s">
        <v>9092</v>
      </c>
      <c r="AB164" s="114" t="s">
        <v>8867</v>
      </c>
    </row>
    <row r="165" spans="1:28" ht="48" x14ac:dyDescent="0.2">
      <c r="A165" s="133" t="s">
        <v>1085</v>
      </c>
      <c r="B165" s="130"/>
      <c r="C165" s="130" t="s">
        <v>1074</v>
      </c>
      <c r="D165" s="130" t="s">
        <v>1086</v>
      </c>
      <c r="E165" s="131">
        <v>32920</v>
      </c>
      <c r="F165" s="131">
        <v>32920</v>
      </c>
      <c r="G165" s="132" t="s">
        <v>1076</v>
      </c>
      <c r="H165" s="132" t="s">
        <v>721</v>
      </c>
      <c r="I165" s="132" t="s">
        <v>722</v>
      </c>
      <c r="J165" s="132" t="s">
        <v>1077</v>
      </c>
      <c r="K165" s="440" t="str">
        <f>HYPERLINK("https://okcountyrecords.com/detail/roger+mills/1990-000909","OKCountyRecords: 1990-000909")</f>
        <v>OKCountyRecords: 1990-000909</v>
      </c>
      <c r="L165" s="133" t="s">
        <v>412</v>
      </c>
      <c r="M165" s="133" t="s">
        <v>405</v>
      </c>
      <c r="N165" s="133"/>
      <c r="O165" s="133" t="s">
        <v>422</v>
      </c>
      <c r="P165" s="114" t="s">
        <v>8934</v>
      </c>
      <c r="Q165" s="114" t="s">
        <v>118</v>
      </c>
      <c r="R165" s="114" t="s">
        <v>89</v>
      </c>
      <c r="S165" s="114" t="s">
        <v>118</v>
      </c>
      <c r="T165" s="114" t="s">
        <v>89</v>
      </c>
      <c r="U165" s="114" t="s">
        <v>8862</v>
      </c>
      <c r="V165" s="114" t="s">
        <v>3072</v>
      </c>
      <c r="W165" s="114" t="s">
        <v>9633</v>
      </c>
      <c r="X165" s="114" t="s">
        <v>8865</v>
      </c>
      <c r="Y165" s="114" t="s">
        <v>9088</v>
      </c>
      <c r="Z165" s="114" t="s">
        <v>8858</v>
      </c>
      <c r="AA165" s="114" t="s">
        <v>9093</v>
      </c>
      <c r="AB165" s="114" t="s">
        <v>8867</v>
      </c>
    </row>
    <row r="166" spans="1:28" ht="48" x14ac:dyDescent="0.2">
      <c r="A166" s="133" t="s">
        <v>1087</v>
      </c>
      <c r="B166" s="130"/>
      <c r="C166" s="130" t="s">
        <v>1074</v>
      </c>
      <c r="D166" s="130" t="s">
        <v>1088</v>
      </c>
      <c r="E166" s="131">
        <v>32920</v>
      </c>
      <c r="F166" s="131">
        <v>32920</v>
      </c>
      <c r="G166" s="132" t="s">
        <v>1076</v>
      </c>
      <c r="H166" s="132" t="s">
        <v>731</v>
      </c>
      <c r="I166" s="132" t="s">
        <v>722</v>
      </c>
      <c r="J166" s="132" t="s">
        <v>1077</v>
      </c>
      <c r="K166" s="440" t="str">
        <f>HYPERLINK("https://okcountyrecords.com/detail/roger+mills/1990-000910","OKCountyRecords: 1990-000910")</f>
        <v>OKCountyRecords: 1990-000910</v>
      </c>
      <c r="L166" s="133" t="s">
        <v>412</v>
      </c>
      <c r="M166" s="133"/>
      <c r="N166" s="133"/>
      <c r="O166" s="133" t="s">
        <v>422</v>
      </c>
      <c r="P166" s="114" t="s">
        <v>8934</v>
      </c>
      <c r="Q166" s="114" t="s">
        <v>118</v>
      </c>
      <c r="R166" s="114" t="s">
        <v>89</v>
      </c>
      <c r="S166" s="114" t="s">
        <v>118</v>
      </c>
      <c r="T166" s="114" t="s">
        <v>89</v>
      </c>
      <c r="U166" s="114" t="s">
        <v>8862</v>
      </c>
      <c r="V166" s="114" t="s">
        <v>3072</v>
      </c>
      <c r="W166" s="114" t="s">
        <v>9633</v>
      </c>
      <c r="X166" s="114" t="s">
        <v>8865</v>
      </c>
      <c r="Y166" s="114" t="s">
        <v>9088</v>
      </c>
      <c r="Z166" s="114" t="s">
        <v>8858</v>
      </c>
      <c r="AA166" s="114" t="s">
        <v>9094</v>
      </c>
      <c r="AB166" s="114" t="s">
        <v>8867</v>
      </c>
    </row>
    <row r="167" spans="1:28" ht="48" x14ac:dyDescent="0.2">
      <c r="A167" s="133" t="s">
        <v>1089</v>
      </c>
      <c r="B167" s="130"/>
      <c r="C167" s="130" t="s">
        <v>1074</v>
      </c>
      <c r="D167" s="130" t="s">
        <v>1090</v>
      </c>
      <c r="E167" s="131">
        <v>32920</v>
      </c>
      <c r="F167" s="131">
        <v>32920</v>
      </c>
      <c r="G167" s="132" t="s">
        <v>1076</v>
      </c>
      <c r="H167" s="132" t="s">
        <v>739</v>
      </c>
      <c r="I167" s="132" t="s">
        <v>722</v>
      </c>
      <c r="J167" s="132" t="s">
        <v>1077</v>
      </c>
      <c r="K167" s="440" t="str">
        <f>HYPERLINK("https://okcountyrecords.com/detail/roger+mills/1990-000911","OKCountyRecords: 1990-000911")</f>
        <v>OKCountyRecords: 1990-000911</v>
      </c>
      <c r="L167" s="133" t="s">
        <v>412</v>
      </c>
      <c r="M167" s="133" t="s">
        <v>405</v>
      </c>
      <c r="N167" s="133"/>
      <c r="O167" s="133" t="s">
        <v>422</v>
      </c>
      <c r="P167" s="114" t="s">
        <v>8934</v>
      </c>
      <c r="Q167" s="114" t="s">
        <v>118</v>
      </c>
      <c r="R167" s="114" t="s">
        <v>89</v>
      </c>
      <c r="S167" s="114" t="s">
        <v>118</v>
      </c>
      <c r="T167" s="114" t="s">
        <v>89</v>
      </c>
      <c r="U167" s="114" t="s">
        <v>8862</v>
      </c>
      <c r="V167" s="114" t="s">
        <v>3072</v>
      </c>
      <c r="W167" s="114" t="s">
        <v>9633</v>
      </c>
      <c r="X167" s="114" t="s">
        <v>2701</v>
      </c>
      <c r="Y167" s="114" t="s">
        <v>9088</v>
      </c>
      <c r="Z167" s="114" t="s">
        <v>8858</v>
      </c>
      <c r="AA167" s="114" t="s">
        <v>9095</v>
      </c>
      <c r="AB167" s="114" t="s">
        <v>8867</v>
      </c>
    </row>
    <row r="168" spans="1:28" ht="48" x14ac:dyDescent="0.2">
      <c r="A168" s="133" t="s">
        <v>1091</v>
      </c>
      <c r="B168" s="130"/>
      <c r="C168" s="130" t="s">
        <v>1074</v>
      </c>
      <c r="D168" s="130" t="s">
        <v>1092</v>
      </c>
      <c r="E168" s="131">
        <v>32920</v>
      </c>
      <c r="F168" s="131">
        <v>32920</v>
      </c>
      <c r="G168" s="132" t="s">
        <v>1076</v>
      </c>
      <c r="H168" s="132" t="s">
        <v>234</v>
      </c>
      <c r="I168" s="132" t="s">
        <v>722</v>
      </c>
      <c r="J168" s="132" t="s">
        <v>1077</v>
      </c>
      <c r="K168" s="440" t="str">
        <f>HYPERLINK("https://okcountyrecords.com/detail/roger+mills/1990-000912","OKCountyRecords: 1990-000912")</f>
        <v>OKCountyRecords: 1990-000912</v>
      </c>
      <c r="L168" s="133" t="s">
        <v>412</v>
      </c>
      <c r="M168" s="133"/>
      <c r="N168" s="133"/>
      <c r="O168" s="133" t="s">
        <v>422</v>
      </c>
      <c r="P168" s="114" t="s">
        <v>8934</v>
      </c>
      <c r="Q168" s="114" t="s">
        <v>118</v>
      </c>
      <c r="R168" s="114" t="s">
        <v>89</v>
      </c>
      <c r="S168" s="114" t="s">
        <v>118</v>
      </c>
      <c r="T168" s="114" t="s">
        <v>89</v>
      </c>
      <c r="U168" s="114" t="s">
        <v>8862</v>
      </c>
      <c r="V168" s="114" t="s">
        <v>3072</v>
      </c>
      <c r="W168" s="114" t="s">
        <v>9633</v>
      </c>
      <c r="X168" s="114" t="s">
        <v>8865</v>
      </c>
      <c r="Y168" s="114" t="s">
        <v>9088</v>
      </c>
      <c r="Z168" s="114" t="s">
        <v>8858</v>
      </c>
      <c r="AA168" s="114" t="s">
        <v>9096</v>
      </c>
      <c r="AB168" s="114" t="s">
        <v>8867</v>
      </c>
    </row>
    <row r="169" spans="1:28" ht="48" x14ac:dyDescent="0.2">
      <c r="A169" s="133" t="s">
        <v>1093</v>
      </c>
      <c r="B169" s="130"/>
      <c r="C169" s="130" t="s">
        <v>1074</v>
      </c>
      <c r="D169" s="130" t="s">
        <v>1094</v>
      </c>
      <c r="E169" s="131">
        <v>32920</v>
      </c>
      <c r="F169" s="131">
        <v>32920</v>
      </c>
      <c r="G169" s="132" t="s">
        <v>1076</v>
      </c>
      <c r="H169" s="132" t="s">
        <v>355</v>
      </c>
      <c r="I169" s="132" t="s">
        <v>722</v>
      </c>
      <c r="J169" s="132" t="s">
        <v>1077</v>
      </c>
      <c r="K169" s="440" t="str">
        <f>HYPERLINK("https://okcountyrecords.com/detail/roger+mills/1990-000913","OKCountyRecords: 1990-000913")</f>
        <v>OKCountyRecords: 1990-000913</v>
      </c>
      <c r="L169" s="133" t="s">
        <v>412</v>
      </c>
      <c r="M169" s="133" t="s">
        <v>405</v>
      </c>
      <c r="N169" s="133"/>
      <c r="O169" s="133" t="s">
        <v>422</v>
      </c>
      <c r="P169" s="114" t="s">
        <v>8934</v>
      </c>
      <c r="Q169" s="114" t="s">
        <v>118</v>
      </c>
      <c r="R169" s="114" t="s">
        <v>89</v>
      </c>
      <c r="S169" s="114" t="s">
        <v>118</v>
      </c>
      <c r="T169" s="114" t="s">
        <v>89</v>
      </c>
      <c r="U169" s="114" t="s">
        <v>8862</v>
      </c>
      <c r="V169" s="114" t="s">
        <v>3072</v>
      </c>
      <c r="W169" s="114" t="s">
        <v>9633</v>
      </c>
      <c r="X169" s="114" t="s">
        <v>8865</v>
      </c>
      <c r="Y169" s="114" t="s">
        <v>9088</v>
      </c>
      <c r="Z169" s="114" t="s">
        <v>8858</v>
      </c>
      <c r="AA169" s="114" t="s">
        <v>9097</v>
      </c>
      <c r="AB169" s="114" t="s">
        <v>8867</v>
      </c>
    </row>
    <row r="170" spans="1:28" ht="60" x14ac:dyDescent="0.2">
      <c r="A170" s="133" t="s">
        <v>1095</v>
      </c>
      <c r="B170" s="130"/>
      <c r="C170" s="130" t="s">
        <v>550</v>
      </c>
      <c r="D170" s="130" t="s">
        <v>1096</v>
      </c>
      <c r="E170" s="131">
        <v>32952</v>
      </c>
      <c r="F170" s="131">
        <v>32952</v>
      </c>
      <c r="G170" s="132" t="s">
        <v>1097</v>
      </c>
      <c r="H170" s="132" t="s">
        <v>1098</v>
      </c>
      <c r="I170" s="132" t="s">
        <v>722</v>
      </c>
      <c r="J170" s="132" t="s">
        <v>63</v>
      </c>
      <c r="K170" s="440" t="str">
        <f>HYPERLINK("https://okcountyrecords.com/detail/roger+mills/1990-001592","OKCountyRecords: 1990-001592")</f>
        <v>OKCountyRecords: 1990-001592</v>
      </c>
      <c r="L170" s="133" t="s">
        <v>412</v>
      </c>
      <c r="M170" s="133" t="s">
        <v>405</v>
      </c>
      <c r="N170" s="133"/>
      <c r="O170" s="133" t="s">
        <v>422</v>
      </c>
      <c r="P170" s="114" t="s">
        <v>8886</v>
      </c>
      <c r="Q170" s="114" t="s">
        <v>118</v>
      </c>
      <c r="R170" s="114" t="s">
        <v>89</v>
      </c>
      <c r="S170" s="114" t="s">
        <v>118</v>
      </c>
      <c r="T170" s="114" t="s">
        <v>89</v>
      </c>
      <c r="U170" s="114" t="s">
        <v>8862</v>
      </c>
      <c r="V170" s="114" t="s">
        <v>3072</v>
      </c>
      <c r="W170" s="114" t="s">
        <v>8864</v>
      </c>
      <c r="X170" s="114" t="s">
        <v>2701</v>
      </c>
      <c r="Y170" s="114" t="s">
        <v>8857</v>
      </c>
      <c r="Z170" s="114" t="s">
        <v>8858</v>
      </c>
      <c r="AA170" s="114" t="s">
        <v>9098</v>
      </c>
      <c r="AB170" s="114" t="s">
        <v>8867</v>
      </c>
    </row>
    <row r="171" spans="1:28" ht="48" x14ac:dyDescent="0.2">
      <c r="A171" s="133" t="s">
        <v>1099</v>
      </c>
      <c r="B171" s="130"/>
      <c r="C171" s="130" t="s">
        <v>619</v>
      </c>
      <c r="D171" s="130" t="s">
        <v>1100</v>
      </c>
      <c r="E171" s="131">
        <v>32957</v>
      </c>
      <c r="F171" s="131">
        <v>32957</v>
      </c>
      <c r="G171" s="132" t="s">
        <v>1069</v>
      </c>
      <c r="H171" s="132" t="s">
        <v>351</v>
      </c>
      <c r="I171" s="132" t="s">
        <v>722</v>
      </c>
      <c r="J171" s="132" t="s">
        <v>1070</v>
      </c>
      <c r="K171" s="440" t="str">
        <f>HYPERLINK("https://okcountyrecords.com/detail/roger+mills/1990-001689","OKCountyRecords: 1990-001689")</f>
        <v>OKCountyRecords: 1990-001689</v>
      </c>
      <c r="L171" s="133" t="s">
        <v>412</v>
      </c>
      <c r="M171" s="133" t="s">
        <v>405</v>
      </c>
      <c r="N171" s="133"/>
      <c r="O171" s="133" t="s">
        <v>422</v>
      </c>
      <c r="P171" s="114" t="s">
        <v>8934</v>
      </c>
      <c r="Q171" s="114" t="s">
        <v>118</v>
      </c>
      <c r="R171" s="114" t="s">
        <v>89</v>
      </c>
      <c r="S171" s="114" t="s">
        <v>118</v>
      </c>
      <c r="T171" s="114" t="s">
        <v>89</v>
      </c>
      <c r="U171" s="114" t="s">
        <v>8862</v>
      </c>
      <c r="V171" s="114" t="s">
        <v>3072</v>
      </c>
      <c r="W171" s="114" t="s">
        <v>9634</v>
      </c>
      <c r="X171" s="114" t="s">
        <v>8865</v>
      </c>
      <c r="Y171" s="114" t="s">
        <v>9085</v>
      </c>
      <c r="Z171" s="114" t="s">
        <v>8858</v>
      </c>
      <c r="AA171" s="114" t="s">
        <v>9099</v>
      </c>
      <c r="AB171" s="114" t="s">
        <v>8867</v>
      </c>
    </row>
    <row r="172" spans="1:28" ht="48" x14ac:dyDescent="0.2">
      <c r="A172" s="133" t="s">
        <v>1101</v>
      </c>
      <c r="B172" s="130"/>
      <c r="C172" s="130" t="s">
        <v>619</v>
      </c>
      <c r="D172" s="130" t="s">
        <v>1102</v>
      </c>
      <c r="E172" s="131">
        <v>32957</v>
      </c>
      <c r="F172" s="131">
        <v>32957</v>
      </c>
      <c r="G172" s="132" t="s">
        <v>1069</v>
      </c>
      <c r="H172" s="132" t="s">
        <v>348</v>
      </c>
      <c r="I172" s="132" t="s">
        <v>722</v>
      </c>
      <c r="J172" s="132" t="s">
        <v>1070</v>
      </c>
      <c r="K172" s="440" t="str">
        <f>HYPERLINK("https://okcountyrecords.com/detail/roger+mills/1990-001690","OKCountyRecords: 1990-001690")</f>
        <v>OKCountyRecords: 1990-001690</v>
      </c>
      <c r="L172" s="133" t="s">
        <v>412</v>
      </c>
      <c r="M172" s="133" t="s">
        <v>405</v>
      </c>
      <c r="N172" s="133"/>
      <c r="O172" s="133" t="s">
        <v>422</v>
      </c>
      <c r="P172" s="114" t="s">
        <v>8934</v>
      </c>
      <c r="Q172" s="114" t="s">
        <v>118</v>
      </c>
      <c r="R172" s="114" t="s">
        <v>89</v>
      </c>
      <c r="S172" s="114" t="s">
        <v>118</v>
      </c>
      <c r="T172" s="114" t="s">
        <v>89</v>
      </c>
      <c r="U172" s="114" t="s">
        <v>8862</v>
      </c>
      <c r="V172" s="114" t="s">
        <v>3072</v>
      </c>
      <c r="W172" s="114" t="s">
        <v>9634</v>
      </c>
      <c r="X172" s="114" t="s">
        <v>8865</v>
      </c>
      <c r="Y172" s="114" t="s">
        <v>9085</v>
      </c>
      <c r="Z172" s="114" t="s">
        <v>8858</v>
      </c>
      <c r="AA172" s="114" t="s">
        <v>9100</v>
      </c>
      <c r="AB172" s="114" t="s">
        <v>8867</v>
      </c>
    </row>
    <row r="173" spans="1:28" ht="36" x14ac:dyDescent="0.2">
      <c r="A173" s="133" t="s">
        <v>1103</v>
      </c>
      <c r="B173" s="130"/>
      <c r="C173" s="130" t="s">
        <v>619</v>
      </c>
      <c r="D173" s="130" t="s">
        <v>1104</v>
      </c>
      <c r="E173" s="131">
        <v>32960</v>
      </c>
      <c r="F173" s="131">
        <v>32960</v>
      </c>
      <c r="G173" s="132" t="s">
        <v>1048</v>
      </c>
      <c r="H173" s="132" t="s">
        <v>1105</v>
      </c>
      <c r="I173" s="132" t="s">
        <v>722</v>
      </c>
      <c r="J173" s="132" t="s">
        <v>63</v>
      </c>
      <c r="K173" s="440" t="str">
        <f>HYPERLINK("https://okcountyrecords.com/detail/roger+mills/1990-001750","OKCountyRecords: 1990-001750")</f>
        <v>OKCountyRecords: 1990-001750</v>
      </c>
      <c r="L173" s="133" t="s">
        <v>412</v>
      </c>
      <c r="M173" s="133" t="s">
        <v>405</v>
      </c>
      <c r="N173" s="133"/>
      <c r="O173" s="133" t="s">
        <v>422</v>
      </c>
      <c r="P173" s="114" t="s">
        <v>8934</v>
      </c>
      <c r="Q173" s="114" t="s">
        <v>118</v>
      </c>
      <c r="R173" s="114" t="s">
        <v>89</v>
      </c>
      <c r="S173" s="114" t="s">
        <v>118</v>
      </c>
      <c r="T173" s="114" t="s">
        <v>89</v>
      </c>
      <c r="U173" s="114" t="s">
        <v>8862</v>
      </c>
      <c r="V173" s="114" t="s">
        <v>3072</v>
      </c>
      <c r="W173" s="114" t="s">
        <v>8906</v>
      </c>
      <c r="X173" s="114" t="s">
        <v>8865</v>
      </c>
      <c r="Y173" s="114" t="s">
        <v>8857</v>
      </c>
      <c r="Z173" s="114" t="s">
        <v>8858</v>
      </c>
      <c r="AA173" s="114" t="s">
        <v>9101</v>
      </c>
    </row>
    <row r="174" spans="1:28" ht="48" x14ac:dyDescent="0.2">
      <c r="A174" s="133" t="s">
        <v>1106</v>
      </c>
      <c r="B174" s="130"/>
      <c r="C174" s="130" t="s">
        <v>1107</v>
      </c>
      <c r="D174" s="130" t="s">
        <v>1108</v>
      </c>
      <c r="E174" s="131">
        <v>32969</v>
      </c>
      <c r="F174" s="131">
        <v>32969</v>
      </c>
      <c r="G174" s="132" t="s">
        <v>992</v>
      </c>
      <c r="H174" s="132" t="s">
        <v>1109</v>
      </c>
      <c r="I174" s="132" t="s">
        <v>579</v>
      </c>
      <c r="J174" s="132" t="s">
        <v>1110</v>
      </c>
      <c r="K174" s="440" t="str">
        <f>HYPERLINK("https://okcountyrecords.com/detail/roger+mills/1990-001992","OKCountyRecords: 1990-001992")</f>
        <v>OKCountyRecords: 1990-001992</v>
      </c>
      <c r="L174" s="133" t="s">
        <v>8708</v>
      </c>
      <c r="M174" s="133" t="s">
        <v>405</v>
      </c>
      <c r="N174" s="133"/>
      <c r="O174" s="133" t="s">
        <v>422</v>
      </c>
      <c r="P174" s="114" t="s">
        <v>8886</v>
      </c>
      <c r="Q174" s="114" t="s">
        <v>118</v>
      </c>
      <c r="R174" s="114" t="s">
        <v>89</v>
      </c>
      <c r="S174" s="114" t="s">
        <v>118</v>
      </c>
      <c r="T174" s="114" t="s">
        <v>89</v>
      </c>
      <c r="U174" s="114" t="s">
        <v>8901</v>
      </c>
      <c r="V174" s="114" t="s">
        <v>3072</v>
      </c>
      <c r="W174" s="114" t="s">
        <v>8864</v>
      </c>
      <c r="X174" s="114" t="s">
        <v>8873</v>
      </c>
      <c r="Y174" s="114" t="s">
        <v>8851</v>
      </c>
      <c r="Z174" s="114" t="s">
        <v>2701</v>
      </c>
      <c r="AA174" s="114" t="s">
        <v>9102</v>
      </c>
      <c r="AB174" s="114" t="s">
        <v>8888</v>
      </c>
    </row>
    <row r="175" spans="1:28" ht="48" x14ac:dyDescent="0.2">
      <c r="A175" s="133" t="s">
        <v>1111</v>
      </c>
      <c r="B175" s="130"/>
      <c r="C175" s="130" t="s">
        <v>1112</v>
      </c>
      <c r="D175" s="130" t="s">
        <v>1113</v>
      </c>
      <c r="E175" s="131">
        <v>32969</v>
      </c>
      <c r="F175" s="131">
        <v>32969</v>
      </c>
      <c r="G175" s="132" t="s">
        <v>992</v>
      </c>
      <c r="H175" s="132" t="s">
        <v>1114</v>
      </c>
      <c r="I175" s="132" t="s">
        <v>579</v>
      </c>
      <c r="J175" s="132" t="s">
        <v>1110</v>
      </c>
      <c r="K175" s="440" t="str">
        <f>HYPERLINK("https://okcountyrecords.com/detail/roger+mills/1990-001987","OKCountyRecords: 1990-001987")</f>
        <v>OKCountyRecords: 1990-001987</v>
      </c>
      <c r="L175" s="133" t="s">
        <v>8708</v>
      </c>
      <c r="M175" s="133" t="s">
        <v>405</v>
      </c>
      <c r="N175" s="133"/>
      <c r="O175" s="133" t="s">
        <v>422</v>
      </c>
      <c r="P175" s="114" t="s">
        <v>8886</v>
      </c>
      <c r="Q175" s="114" t="s">
        <v>118</v>
      </c>
      <c r="R175" s="114" t="s">
        <v>89</v>
      </c>
      <c r="S175" s="114" t="s">
        <v>118</v>
      </c>
      <c r="T175" s="114" t="s">
        <v>89</v>
      </c>
      <c r="U175" s="114" t="s">
        <v>8901</v>
      </c>
      <c r="V175" s="114" t="s">
        <v>3072</v>
      </c>
      <c r="W175" s="114" t="s">
        <v>8864</v>
      </c>
      <c r="X175" s="114" t="s">
        <v>2701</v>
      </c>
      <c r="Y175" s="114" t="s">
        <v>8851</v>
      </c>
      <c r="Z175" s="114" t="s">
        <v>2701</v>
      </c>
      <c r="AA175" s="114" t="s">
        <v>9103</v>
      </c>
      <c r="AB175" s="114" t="s">
        <v>8888</v>
      </c>
    </row>
    <row r="176" spans="1:28" ht="48" x14ac:dyDescent="0.2">
      <c r="A176" s="133" t="s">
        <v>1115</v>
      </c>
      <c r="B176" s="130"/>
      <c r="C176" s="130" t="s">
        <v>585</v>
      </c>
      <c r="D176" s="130" t="s">
        <v>1116</v>
      </c>
      <c r="E176" s="131">
        <v>32969</v>
      </c>
      <c r="F176" s="131">
        <v>32969</v>
      </c>
      <c r="G176" s="132" t="s">
        <v>992</v>
      </c>
      <c r="H176" s="132" t="s">
        <v>993</v>
      </c>
      <c r="I176" s="132" t="s">
        <v>579</v>
      </c>
      <c r="J176" s="132" t="s">
        <v>1110</v>
      </c>
      <c r="K176" s="440" t="str">
        <f>HYPERLINK("https://okcountyrecords.com/detail/roger+mills/1990-001996","OKCountyRecords: 1990-001996")</f>
        <v>OKCountyRecords: 1990-001996</v>
      </c>
      <c r="L176" s="133" t="s">
        <v>412</v>
      </c>
      <c r="M176" s="133" t="s">
        <v>405</v>
      </c>
      <c r="N176" s="133"/>
      <c r="O176" s="133" t="s">
        <v>422</v>
      </c>
      <c r="P176" s="114" t="s">
        <v>8886</v>
      </c>
      <c r="Q176" s="114" t="s">
        <v>118</v>
      </c>
      <c r="R176" s="114" t="s">
        <v>89</v>
      </c>
      <c r="S176" s="114" t="s">
        <v>118</v>
      </c>
      <c r="T176" s="114" t="s">
        <v>89</v>
      </c>
      <c r="U176" s="114" t="s">
        <v>8901</v>
      </c>
      <c r="V176" s="114" t="s">
        <v>3072</v>
      </c>
      <c r="W176" s="114" t="s">
        <v>8864</v>
      </c>
      <c r="X176" s="114" t="s">
        <v>2701</v>
      </c>
      <c r="Y176" s="114" t="s">
        <v>9104</v>
      </c>
      <c r="Z176" s="114" t="s">
        <v>8858</v>
      </c>
      <c r="AA176" s="114" t="s">
        <v>9105</v>
      </c>
      <c r="AB176" s="114" t="s">
        <v>8867</v>
      </c>
    </row>
    <row r="177" spans="1:28" ht="48" x14ac:dyDescent="0.2">
      <c r="A177" s="133" t="s">
        <v>1117</v>
      </c>
      <c r="B177" s="130"/>
      <c r="C177" s="130" t="s">
        <v>1118</v>
      </c>
      <c r="D177" s="130" t="s">
        <v>1119</v>
      </c>
      <c r="E177" s="131">
        <v>32969</v>
      </c>
      <c r="F177" s="131">
        <v>32969</v>
      </c>
      <c r="G177" s="132" t="s">
        <v>992</v>
      </c>
      <c r="H177" s="132" t="s">
        <v>102</v>
      </c>
      <c r="I177" s="132" t="s">
        <v>579</v>
      </c>
      <c r="J177" s="132" t="s">
        <v>1110</v>
      </c>
      <c r="K177" s="440" t="str">
        <f>HYPERLINK("https://okcountyrecords.com/detail/roger+mills/1990-001986","OKCountyRecords: 1990-001986")</f>
        <v>OKCountyRecords: 1990-001986</v>
      </c>
      <c r="L177" s="133" t="s">
        <v>412</v>
      </c>
      <c r="M177" s="133" t="s">
        <v>467</v>
      </c>
      <c r="N177" s="133" t="s">
        <v>1120</v>
      </c>
      <c r="O177" s="133" t="s">
        <v>422</v>
      </c>
      <c r="P177" s="114" t="s">
        <v>8886</v>
      </c>
      <c r="Q177" s="114" t="s">
        <v>118</v>
      </c>
      <c r="R177" s="114" t="s">
        <v>89</v>
      </c>
      <c r="S177" s="114" t="s">
        <v>118</v>
      </c>
      <c r="T177" s="114" t="s">
        <v>89</v>
      </c>
      <c r="U177" s="114" t="s">
        <v>8901</v>
      </c>
      <c r="V177" s="114" t="s">
        <v>3072</v>
      </c>
      <c r="W177" s="114" t="s">
        <v>8864</v>
      </c>
      <c r="X177" s="114" t="s">
        <v>8873</v>
      </c>
      <c r="Y177" s="114" t="s">
        <v>8851</v>
      </c>
      <c r="Z177" s="114" t="s">
        <v>2701</v>
      </c>
      <c r="AA177" s="114" t="s">
        <v>9106</v>
      </c>
      <c r="AB177" s="114" t="s">
        <v>8888</v>
      </c>
    </row>
    <row r="178" spans="1:28" ht="60" x14ac:dyDescent="0.2">
      <c r="A178" s="133" t="s">
        <v>1121</v>
      </c>
      <c r="B178" s="130"/>
      <c r="C178" s="130" t="s">
        <v>1122</v>
      </c>
      <c r="D178" s="130" t="s">
        <v>1123</v>
      </c>
      <c r="E178" s="131">
        <v>32969</v>
      </c>
      <c r="F178" s="131">
        <v>32969</v>
      </c>
      <c r="G178" s="132" t="s">
        <v>992</v>
      </c>
      <c r="H178" s="132" t="s">
        <v>1109</v>
      </c>
      <c r="I178" s="132" t="s">
        <v>579</v>
      </c>
      <c r="J178" s="132" t="s">
        <v>1110</v>
      </c>
      <c r="K178" s="440" t="str">
        <f>HYPERLINK("https://okcountyrecords.com/detail/roger+mills/1990-001993","OKCountyRecords: 1990-001993")</f>
        <v>OKCountyRecords: 1990-001993</v>
      </c>
      <c r="L178" s="133" t="s">
        <v>8708</v>
      </c>
      <c r="M178" s="133" t="s">
        <v>405</v>
      </c>
      <c r="N178" s="133"/>
      <c r="O178" s="133" t="s">
        <v>422</v>
      </c>
      <c r="P178" s="114" t="s">
        <v>8886</v>
      </c>
      <c r="Q178" s="114" t="s">
        <v>118</v>
      </c>
      <c r="R178" s="114" t="s">
        <v>89</v>
      </c>
      <c r="S178" s="114" t="s">
        <v>118</v>
      </c>
      <c r="T178" s="114" t="s">
        <v>89</v>
      </c>
      <c r="U178" s="114" t="s">
        <v>8901</v>
      </c>
      <c r="V178" s="114" t="s">
        <v>3072</v>
      </c>
      <c r="W178" s="114" t="s">
        <v>8864</v>
      </c>
      <c r="X178" s="114" t="s">
        <v>8873</v>
      </c>
      <c r="Y178" s="114" t="s">
        <v>8851</v>
      </c>
      <c r="Z178" s="114" t="s">
        <v>2701</v>
      </c>
      <c r="AA178" s="114" t="s">
        <v>9107</v>
      </c>
      <c r="AB178" s="114" t="s">
        <v>8888</v>
      </c>
    </row>
    <row r="179" spans="1:28" ht="48" x14ac:dyDescent="0.2">
      <c r="A179" s="133" t="s">
        <v>1124</v>
      </c>
      <c r="B179" s="130"/>
      <c r="C179" s="130" t="s">
        <v>1125</v>
      </c>
      <c r="D179" s="130" t="s">
        <v>1126</v>
      </c>
      <c r="E179" s="131">
        <v>32969</v>
      </c>
      <c r="F179" s="131">
        <v>32969</v>
      </c>
      <c r="G179" s="132" t="s">
        <v>992</v>
      </c>
      <c r="H179" s="132" t="s">
        <v>1109</v>
      </c>
      <c r="I179" s="132" t="s">
        <v>579</v>
      </c>
      <c r="J179" s="132" t="s">
        <v>1110</v>
      </c>
      <c r="K179" s="440" t="str">
        <f>HYPERLINK("https://okcountyrecords.com/detail/roger+mills/1990-001991","OKCountyRecords: 1990-001991")</f>
        <v>OKCountyRecords: 1990-001991</v>
      </c>
      <c r="L179" s="133" t="s">
        <v>8708</v>
      </c>
      <c r="M179" s="133" t="s">
        <v>405</v>
      </c>
      <c r="N179" s="133"/>
      <c r="O179" s="133" t="s">
        <v>422</v>
      </c>
      <c r="P179" s="114" t="s">
        <v>8886</v>
      </c>
      <c r="Q179" s="114" t="s">
        <v>118</v>
      </c>
      <c r="R179" s="114" t="s">
        <v>89</v>
      </c>
      <c r="S179" s="114" t="s">
        <v>118</v>
      </c>
      <c r="T179" s="114" t="s">
        <v>89</v>
      </c>
      <c r="U179" s="114" t="s">
        <v>8901</v>
      </c>
      <c r="V179" s="114" t="s">
        <v>3072</v>
      </c>
      <c r="W179" s="114" t="s">
        <v>8864</v>
      </c>
      <c r="X179" s="114" t="s">
        <v>8873</v>
      </c>
      <c r="Y179" s="114" t="s">
        <v>8851</v>
      </c>
      <c r="Z179" s="114" t="s">
        <v>2701</v>
      </c>
      <c r="AA179" s="114" t="s">
        <v>9108</v>
      </c>
      <c r="AB179" s="114" t="s">
        <v>8888</v>
      </c>
    </row>
    <row r="180" spans="1:28" ht="60" x14ac:dyDescent="0.2">
      <c r="A180" s="133" t="s">
        <v>1127</v>
      </c>
      <c r="B180" s="130"/>
      <c r="C180" s="130" t="s">
        <v>1128</v>
      </c>
      <c r="D180" s="130" t="s">
        <v>1129</v>
      </c>
      <c r="E180" s="131">
        <v>32969</v>
      </c>
      <c r="F180" s="131">
        <v>32969</v>
      </c>
      <c r="G180" s="132" t="s">
        <v>1130</v>
      </c>
      <c r="H180" s="132" t="s">
        <v>1131</v>
      </c>
      <c r="I180" s="132" t="s">
        <v>1132</v>
      </c>
      <c r="J180" s="132" t="s">
        <v>8681</v>
      </c>
      <c r="K180" s="440" t="str">
        <f>HYPERLINK("https://okcountyrecords.com/detail/roger+mills/1990-001925","OKCountyRecords: 1990-001925")</f>
        <v>OKCountyRecords: 1990-001925</v>
      </c>
      <c r="L180" s="133" t="s">
        <v>412</v>
      </c>
      <c r="M180" s="133"/>
      <c r="N180" s="133"/>
      <c r="O180" s="133" t="s">
        <v>413</v>
      </c>
      <c r="P180" s="114" t="s">
        <v>8934</v>
      </c>
      <c r="Q180" s="114" t="s">
        <v>118</v>
      </c>
      <c r="R180" s="114" t="s">
        <v>89</v>
      </c>
      <c r="S180" s="114" t="s">
        <v>118</v>
      </c>
      <c r="T180" s="114" t="s">
        <v>89</v>
      </c>
      <c r="U180" s="114" t="s">
        <v>8935</v>
      </c>
      <c r="V180" s="114" t="s">
        <v>2701</v>
      </c>
      <c r="W180" s="114" t="s">
        <v>8855</v>
      </c>
      <c r="X180" s="114" t="s">
        <v>8869</v>
      </c>
      <c r="Y180" s="114" t="s">
        <v>8857</v>
      </c>
      <c r="Z180" s="114" t="s">
        <v>8858</v>
      </c>
      <c r="AA180" s="114" t="s">
        <v>9109</v>
      </c>
      <c r="AB180" s="114" t="s">
        <v>8922</v>
      </c>
    </row>
    <row r="181" spans="1:28" ht="60" x14ac:dyDescent="0.2">
      <c r="A181" s="133" t="s">
        <v>1133</v>
      </c>
      <c r="B181" s="130"/>
      <c r="C181" s="130" t="s">
        <v>1134</v>
      </c>
      <c r="D181" s="130" t="s">
        <v>1135</v>
      </c>
      <c r="E181" s="131">
        <v>32975</v>
      </c>
      <c r="F181" s="131">
        <v>32975</v>
      </c>
      <c r="G181" s="132" t="s">
        <v>1136</v>
      </c>
      <c r="H181" s="132" t="s">
        <v>114</v>
      </c>
      <c r="I181" s="132" t="s">
        <v>1132</v>
      </c>
      <c r="J181" s="132" t="s">
        <v>63</v>
      </c>
      <c r="K181" s="440" t="str">
        <f>HYPERLINK("https://okcountyrecords.com/detail/roger+mills/1990-002146","OKCountyRecords: 1990-002146")</f>
        <v>OKCountyRecords: 1990-002146</v>
      </c>
      <c r="L181" s="133" t="s">
        <v>412</v>
      </c>
      <c r="M181" s="133" t="s">
        <v>405</v>
      </c>
      <c r="N181" s="133"/>
      <c r="O181" s="133" t="s">
        <v>428</v>
      </c>
      <c r="P181" s="114" t="s">
        <v>8934</v>
      </c>
      <c r="Q181" s="114" t="s">
        <v>118</v>
      </c>
      <c r="R181" s="114" t="s">
        <v>89</v>
      </c>
      <c r="S181" s="114" t="s">
        <v>118</v>
      </c>
      <c r="T181" s="114" t="s">
        <v>89</v>
      </c>
      <c r="U181" s="114" t="s">
        <v>8935</v>
      </c>
      <c r="V181" s="114" t="s">
        <v>2701</v>
      </c>
      <c r="W181" s="114" t="s">
        <v>9635</v>
      </c>
      <c r="X181" s="114" t="s">
        <v>8869</v>
      </c>
      <c r="Y181" s="114" t="s">
        <v>8857</v>
      </c>
      <c r="Z181" s="114" t="s">
        <v>8858</v>
      </c>
      <c r="AA181" s="114" t="s">
        <v>9110</v>
      </c>
      <c r="AB181" s="114" t="s">
        <v>8877</v>
      </c>
    </row>
    <row r="182" spans="1:28" ht="60" x14ac:dyDescent="0.2">
      <c r="A182" s="133" t="s">
        <v>1137</v>
      </c>
      <c r="B182" s="130"/>
      <c r="C182" s="130" t="s">
        <v>1134</v>
      </c>
      <c r="D182" s="130" t="s">
        <v>1138</v>
      </c>
      <c r="E182" s="131">
        <v>32993</v>
      </c>
      <c r="F182" s="131">
        <v>32993</v>
      </c>
      <c r="G182" s="132" t="s">
        <v>114</v>
      </c>
      <c r="H182" s="132" t="s">
        <v>1139</v>
      </c>
      <c r="I182" s="132" t="s">
        <v>1132</v>
      </c>
      <c r="J182" s="132" t="s">
        <v>63</v>
      </c>
      <c r="K182" s="440" t="str">
        <f>HYPERLINK("https://okcountyrecords.com/detail/roger+mills/1990-002451","OKCountyRecords: 1990-002451")</f>
        <v>OKCountyRecords: 1990-002451</v>
      </c>
      <c r="L182" s="133" t="s">
        <v>412</v>
      </c>
      <c r="M182" s="133" t="s">
        <v>405</v>
      </c>
      <c r="N182" s="133"/>
      <c r="O182" s="133" t="s">
        <v>428</v>
      </c>
      <c r="P182" s="114" t="s">
        <v>8934</v>
      </c>
      <c r="Q182" s="114" t="s">
        <v>118</v>
      </c>
      <c r="R182" s="114" t="s">
        <v>89</v>
      </c>
      <c r="S182" s="114" t="s">
        <v>118</v>
      </c>
      <c r="T182" s="114" t="s">
        <v>89</v>
      </c>
      <c r="U182" s="114" t="s">
        <v>8935</v>
      </c>
      <c r="V182" s="114" t="s">
        <v>2701</v>
      </c>
      <c r="W182" s="114" t="s">
        <v>8906</v>
      </c>
      <c r="X182" s="114" t="s">
        <v>8869</v>
      </c>
      <c r="Y182" s="114" t="s">
        <v>8857</v>
      </c>
      <c r="Z182" s="114" t="s">
        <v>8858</v>
      </c>
      <c r="AA182" s="114" t="s">
        <v>9111</v>
      </c>
      <c r="AB182" s="114" t="s">
        <v>8879</v>
      </c>
    </row>
    <row r="183" spans="1:28" ht="48" x14ac:dyDescent="0.2">
      <c r="A183" s="133" t="s">
        <v>1140</v>
      </c>
      <c r="B183" s="130"/>
      <c r="C183" s="130" t="s">
        <v>619</v>
      </c>
      <c r="D183" s="130" t="s">
        <v>1141</v>
      </c>
      <c r="E183" s="131">
        <v>33000</v>
      </c>
      <c r="F183" s="131">
        <v>33000</v>
      </c>
      <c r="G183" s="132" t="s">
        <v>1142</v>
      </c>
      <c r="H183" s="132" t="s">
        <v>1109</v>
      </c>
      <c r="I183" s="132" t="s">
        <v>579</v>
      </c>
      <c r="J183" s="132" t="s">
        <v>1143</v>
      </c>
      <c r="K183" s="440" t="str">
        <f>HYPERLINK("https://okcountyrecords.com/detail/roger+mills/1990-002606","OKCountyRecords: 1990-002606")</f>
        <v>OKCountyRecords: 1990-002606</v>
      </c>
      <c r="L183" s="133" t="s">
        <v>412</v>
      </c>
      <c r="M183" s="133" t="s">
        <v>405</v>
      </c>
      <c r="N183" s="133"/>
      <c r="O183" s="133" t="s">
        <v>422</v>
      </c>
      <c r="P183" s="114" t="s">
        <v>8934</v>
      </c>
      <c r="Q183" s="114" t="s">
        <v>118</v>
      </c>
      <c r="R183" s="114" t="s">
        <v>89</v>
      </c>
      <c r="S183" s="114" t="s">
        <v>118</v>
      </c>
      <c r="T183" s="114" t="s">
        <v>89</v>
      </c>
      <c r="U183" s="114" t="s">
        <v>8901</v>
      </c>
      <c r="V183" s="114" t="s">
        <v>3072</v>
      </c>
      <c r="W183" s="114" t="s">
        <v>8864</v>
      </c>
      <c r="X183" s="114" t="s">
        <v>8873</v>
      </c>
      <c r="Y183" s="114" t="s">
        <v>9112</v>
      </c>
      <c r="Z183" s="114" t="s">
        <v>8858</v>
      </c>
      <c r="AA183" s="114" t="s">
        <v>9113</v>
      </c>
      <c r="AB183" s="114" t="s">
        <v>8867</v>
      </c>
    </row>
    <row r="184" spans="1:28" ht="60" x14ac:dyDescent="0.2">
      <c r="A184" s="133" t="s">
        <v>1144</v>
      </c>
      <c r="B184" s="130"/>
      <c r="C184" s="130" t="s">
        <v>1134</v>
      </c>
      <c r="D184" s="130" t="s">
        <v>1145</v>
      </c>
      <c r="E184" s="131">
        <v>33025</v>
      </c>
      <c r="F184" s="131">
        <v>33025</v>
      </c>
      <c r="G184" s="132" t="s">
        <v>1131</v>
      </c>
      <c r="H184" s="132" t="s">
        <v>114</v>
      </c>
      <c r="I184" s="132" t="s">
        <v>1132</v>
      </c>
      <c r="J184" s="132" t="s">
        <v>63</v>
      </c>
      <c r="K184" s="440" t="str">
        <f>HYPERLINK("https://okcountyrecords.com/detail/roger+mills/1990-003160","OKCountyRecords: 1990-003160")</f>
        <v>OKCountyRecords: 1990-003160</v>
      </c>
      <c r="L184" s="133" t="s">
        <v>412</v>
      </c>
      <c r="M184" s="133" t="s">
        <v>405</v>
      </c>
      <c r="N184" s="133"/>
      <c r="O184" s="133" t="s">
        <v>428</v>
      </c>
      <c r="P184" s="114" t="s">
        <v>8934</v>
      </c>
      <c r="Q184" s="114" t="s">
        <v>118</v>
      </c>
      <c r="R184" s="114" t="s">
        <v>89</v>
      </c>
      <c r="S184" s="114" t="s">
        <v>118</v>
      </c>
      <c r="T184" s="114" t="s">
        <v>89</v>
      </c>
      <c r="U184" s="114" t="s">
        <v>8935</v>
      </c>
      <c r="V184" s="114" t="s">
        <v>2701</v>
      </c>
      <c r="W184" s="114" t="s">
        <v>8906</v>
      </c>
      <c r="X184" s="114" t="s">
        <v>8869</v>
      </c>
      <c r="Y184" s="114" t="s">
        <v>8857</v>
      </c>
      <c r="Z184" s="114" t="s">
        <v>8858</v>
      </c>
      <c r="AA184" s="114" t="s">
        <v>9114</v>
      </c>
      <c r="AB184" s="114" t="s">
        <v>8879</v>
      </c>
    </row>
    <row r="185" spans="1:28" ht="60" x14ac:dyDescent="0.2">
      <c r="A185" s="133" t="s">
        <v>1146</v>
      </c>
      <c r="B185" s="130"/>
      <c r="C185" s="130" t="s">
        <v>1134</v>
      </c>
      <c r="D185" s="130" t="s">
        <v>1147</v>
      </c>
      <c r="E185" s="131">
        <v>33059</v>
      </c>
      <c r="F185" s="131">
        <v>33059</v>
      </c>
      <c r="G185" s="132" t="s">
        <v>114</v>
      </c>
      <c r="H185" s="132" t="s">
        <v>1148</v>
      </c>
      <c r="I185" s="132" t="s">
        <v>1132</v>
      </c>
      <c r="J185" s="132" t="s">
        <v>63</v>
      </c>
      <c r="K185" s="440" t="str">
        <f>HYPERLINK("https://okcountyrecords.com/detail/roger+mills/1990-003924","OKCountyRecords: 1990-003924")</f>
        <v>OKCountyRecords: 1990-003924</v>
      </c>
      <c r="L185" s="133" t="s">
        <v>412</v>
      </c>
      <c r="M185" s="133" t="s">
        <v>405</v>
      </c>
      <c r="N185" s="133"/>
      <c r="O185" s="133" t="s">
        <v>428</v>
      </c>
      <c r="P185" s="114" t="s">
        <v>8934</v>
      </c>
      <c r="Q185" s="114" t="s">
        <v>118</v>
      </c>
      <c r="R185" s="114" t="s">
        <v>89</v>
      </c>
      <c r="S185" s="114" t="s">
        <v>118</v>
      </c>
      <c r="T185" s="114" t="s">
        <v>89</v>
      </c>
      <c r="U185" s="114" t="s">
        <v>8935</v>
      </c>
      <c r="V185" s="114" t="s">
        <v>2701</v>
      </c>
      <c r="W185" s="114" t="s">
        <v>8906</v>
      </c>
      <c r="X185" s="114" t="s">
        <v>8869</v>
      </c>
      <c r="Y185" s="114" t="s">
        <v>8857</v>
      </c>
      <c r="Z185" s="114" t="s">
        <v>8858</v>
      </c>
      <c r="AA185" s="114" t="s">
        <v>9115</v>
      </c>
      <c r="AB185" s="114" t="s">
        <v>8879</v>
      </c>
    </row>
    <row r="186" spans="1:28" ht="48" x14ac:dyDescent="0.2">
      <c r="A186" s="133" t="s">
        <v>1149</v>
      </c>
      <c r="B186" s="130"/>
      <c r="C186" s="130" t="s">
        <v>533</v>
      </c>
      <c r="D186" s="130" t="s">
        <v>1150</v>
      </c>
      <c r="E186" s="131">
        <v>33073</v>
      </c>
      <c r="F186" s="131">
        <v>33073</v>
      </c>
      <c r="G186" s="132" t="s">
        <v>1151</v>
      </c>
      <c r="H186" s="132" t="s">
        <v>1152</v>
      </c>
      <c r="I186" s="132" t="s">
        <v>1153</v>
      </c>
      <c r="J186" s="132" t="s">
        <v>63</v>
      </c>
      <c r="K186" s="440" t="str">
        <f>HYPERLINK("https://okcountyrecords.com/detail/roger+mills/1990-004213","OKCountyRecords: 1990-004213")</f>
        <v>OKCountyRecords: 1990-004213</v>
      </c>
      <c r="L186" s="133" t="s">
        <v>412</v>
      </c>
      <c r="M186" s="133" t="s">
        <v>405</v>
      </c>
      <c r="N186" s="133"/>
      <c r="O186" s="133" t="s">
        <v>422</v>
      </c>
      <c r="P186" s="114" t="s">
        <v>8854</v>
      </c>
      <c r="Q186" s="114" t="s">
        <v>118</v>
      </c>
      <c r="R186" s="114" t="s">
        <v>89</v>
      </c>
      <c r="S186" s="114" t="s">
        <v>2701</v>
      </c>
      <c r="T186" s="114" t="s">
        <v>89</v>
      </c>
      <c r="U186" s="114" t="s">
        <v>9116</v>
      </c>
      <c r="V186" s="114" t="s">
        <v>2701</v>
      </c>
      <c r="W186" s="114" t="s">
        <v>8864</v>
      </c>
      <c r="X186" s="114" t="s">
        <v>8869</v>
      </c>
      <c r="Y186" s="114" t="s">
        <v>8857</v>
      </c>
      <c r="Z186" s="114" t="s">
        <v>8858</v>
      </c>
      <c r="AA186" s="114" t="s">
        <v>9117</v>
      </c>
      <c r="AB186" s="114" t="s">
        <v>8877</v>
      </c>
    </row>
    <row r="187" spans="1:28" ht="48" x14ac:dyDescent="0.2">
      <c r="A187" s="133" t="s">
        <v>1154</v>
      </c>
      <c r="B187" s="130"/>
      <c r="C187" s="130" t="s">
        <v>619</v>
      </c>
      <c r="D187" s="130" t="s">
        <v>1155</v>
      </c>
      <c r="E187" s="131">
        <v>33114</v>
      </c>
      <c r="F187" s="131">
        <v>33114</v>
      </c>
      <c r="G187" s="132" t="s">
        <v>998</v>
      </c>
      <c r="H187" s="132" t="s">
        <v>1156</v>
      </c>
      <c r="I187" s="132" t="s">
        <v>902</v>
      </c>
      <c r="J187" s="132" t="s">
        <v>796</v>
      </c>
      <c r="K187" s="440" t="str">
        <f>HYPERLINK("https://okcountyrecords.com/detail/roger+mills/1990-005042","OKCountyRecords: 1990-005042")</f>
        <v>OKCountyRecords: 1990-005042</v>
      </c>
      <c r="L187" s="133" t="s">
        <v>412</v>
      </c>
      <c r="M187" s="133" t="s">
        <v>405</v>
      </c>
      <c r="N187" s="133"/>
      <c r="O187" s="133" t="s">
        <v>422</v>
      </c>
      <c r="P187" s="114" t="s">
        <v>8934</v>
      </c>
      <c r="Q187" s="114" t="s">
        <v>118</v>
      </c>
      <c r="R187" s="114" t="s">
        <v>89</v>
      </c>
      <c r="S187" s="114" t="s">
        <v>118</v>
      </c>
      <c r="T187" s="114" t="s">
        <v>89</v>
      </c>
      <c r="U187" s="114" t="s">
        <v>8935</v>
      </c>
      <c r="V187" s="114" t="s">
        <v>2701</v>
      </c>
      <c r="W187" s="114" t="s">
        <v>8906</v>
      </c>
      <c r="X187" s="114" t="s">
        <v>8869</v>
      </c>
      <c r="Y187" s="114" t="s">
        <v>8990</v>
      </c>
      <c r="Z187" s="114" t="s">
        <v>8858</v>
      </c>
      <c r="AA187" s="114" t="s">
        <v>9118</v>
      </c>
      <c r="AB187" s="114" t="s">
        <v>8879</v>
      </c>
    </row>
    <row r="188" spans="1:28" ht="48" x14ac:dyDescent="0.2">
      <c r="A188" s="133" t="s">
        <v>1157</v>
      </c>
      <c r="B188" s="130"/>
      <c r="C188" s="130" t="s">
        <v>533</v>
      </c>
      <c r="D188" s="130" t="s">
        <v>1158</v>
      </c>
      <c r="E188" s="131">
        <v>33114</v>
      </c>
      <c r="F188" s="131">
        <v>33114</v>
      </c>
      <c r="G188" s="132" t="s">
        <v>372</v>
      </c>
      <c r="H188" s="132" t="s">
        <v>1156</v>
      </c>
      <c r="I188" s="132" t="s">
        <v>902</v>
      </c>
      <c r="J188" s="132" t="s">
        <v>63</v>
      </c>
      <c r="K188" s="440" t="str">
        <f>HYPERLINK("https://okcountyrecords.com/detail/roger+mills/1990-005043","OKCountyRecords: 1990-005043")</f>
        <v>OKCountyRecords: 1990-005043</v>
      </c>
      <c r="L188" s="133" t="s">
        <v>412</v>
      </c>
      <c r="M188" s="133" t="s">
        <v>405</v>
      </c>
      <c r="N188" s="133"/>
      <c r="O188" s="133" t="s">
        <v>422</v>
      </c>
      <c r="P188" s="114" t="s">
        <v>8854</v>
      </c>
      <c r="Q188" s="114" t="s">
        <v>118</v>
      </c>
      <c r="R188" s="114" t="s">
        <v>89</v>
      </c>
      <c r="S188" s="114" t="s">
        <v>2701</v>
      </c>
      <c r="T188" s="114" t="s">
        <v>89</v>
      </c>
      <c r="U188" s="114" t="s">
        <v>8935</v>
      </c>
      <c r="V188" s="114" t="s">
        <v>2701</v>
      </c>
      <c r="W188" s="114" t="s">
        <v>8864</v>
      </c>
      <c r="X188" s="114" t="s">
        <v>8869</v>
      </c>
      <c r="Y188" s="114" t="s">
        <v>8857</v>
      </c>
      <c r="Z188" s="114" t="s">
        <v>8858</v>
      </c>
      <c r="AA188" s="114" t="s">
        <v>9119</v>
      </c>
      <c r="AB188" s="114" t="s">
        <v>8877</v>
      </c>
    </row>
    <row r="189" spans="1:28" ht="48" x14ac:dyDescent="0.2">
      <c r="A189" s="133" t="s">
        <v>1159</v>
      </c>
      <c r="B189" s="130"/>
      <c r="C189" s="130" t="s">
        <v>1160</v>
      </c>
      <c r="D189" s="130" t="s">
        <v>1161</v>
      </c>
      <c r="E189" s="131">
        <v>33158</v>
      </c>
      <c r="F189" s="131">
        <v>33158</v>
      </c>
      <c r="G189" s="132" t="s">
        <v>1162</v>
      </c>
      <c r="H189" s="132" t="s">
        <v>1163</v>
      </c>
      <c r="I189" s="132" t="s">
        <v>722</v>
      </c>
      <c r="J189" s="132" t="s">
        <v>63</v>
      </c>
      <c r="K189" s="440" t="str">
        <f>HYPERLINK("https://okcountyrecords.com/detail/roger+mills/1990-005848","OKCountyRecords: 1990-005848")</f>
        <v>OKCountyRecords: 1990-005848</v>
      </c>
      <c r="L189" s="133" t="s">
        <v>412</v>
      </c>
      <c r="M189" s="133" t="s">
        <v>405</v>
      </c>
      <c r="N189" s="133"/>
      <c r="O189" s="133" t="s">
        <v>422</v>
      </c>
      <c r="P189" s="114" t="s">
        <v>8934</v>
      </c>
      <c r="Q189" s="114" t="s">
        <v>118</v>
      </c>
      <c r="R189" s="114" t="s">
        <v>89</v>
      </c>
      <c r="S189" s="114" t="s">
        <v>118</v>
      </c>
      <c r="T189" s="114" t="s">
        <v>89</v>
      </c>
      <c r="U189" s="114" t="s">
        <v>8862</v>
      </c>
      <c r="V189" s="114" t="s">
        <v>3072</v>
      </c>
      <c r="W189" s="114" t="s">
        <v>8864</v>
      </c>
      <c r="X189" s="114" t="s">
        <v>8865</v>
      </c>
      <c r="Y189" s="114" t="s">
        <v>8857</v>
      </c>
      <c r="Z189" s="114" t="s">
        <v>8858</v>
      </c>
      <c r="AA189" s="114" t="s">
        <v>9120</v>
      </c>
      <c r="AB189" s="114" t="s">
        <v>8867</v>
      </c>
    </row>
    <row r="190" spans="1:28" ht="72" x14ac:dyDescent="0.2">
      <c r="A190" s="133" t="s">
        <v>1164</v>
      </c>
      <c r="B190" s="130"/>
      <c r="C190" s="130" t="s">
        <v>550</v>
      </c>
      <c r="D190" s="130" t="s">
        <v>1165</v>
      </c>
      <c r="E190" s="131">
        <v>33205</v>
      </c>
      <c r="F190" s="131">
        <v>33205</v>
      </c>
      <c r="G190" s="132" t="s">
        <v>1166</v>
      </c>
      <c r="H190" s="132" t="s">
        <v>1167</v>
      </c>
      <c r="I190" s="132" t="s">
        <v>1132</v>
      </c>
      <c r="J190" s="132" t="s">
        <v>9567</v>
      </c>
      <c r="K190" s="440" t="str">
        <f>HYPERLINK("https://okcountyrecords.com/detail/roger+mills/1990-006747","OKCountyRecords: 1990-006747")</f>
        <v>OKCountyRecords: 1990-006747</v>
      </c>
      <c r="L190" s="133" t="s">
        <v>412</v>
      </c>
      <c r="M190" s="133" t="s">
        <v>405</v>
      </c>
      <c r="N190" s="133"/>
      <c r="O190" s="133" t="s">
        <v>422</v>
      </c>
      <c r="P190" s="114" t="s">
        <v>8886</v>
      </c>
      <c r="Q190" s="114" t="s">
        <v>118</v>
      </c>
      <c r="R190" s="114" t="s">
        <v>89</v>
      </c>
      <c r="S190" s="114" t="s">
        <v>118</v>
      </c>
      <c r="T190" s="114" t="s">
        <v>89</v>
      </c>
      <c r="U190" s="114" t="s">
        <v>8935</v>
      </c>
      <c r="V190" s="114" t="s">
        <v>2701</v>
      </c>
      <c r="W190" s="114" t="s">
        <v>8864</v>
      </c>
      <c r="X190" s="114" t="s">
        <v>2701</v>
      </c>
      <c r="Y190" s="114" t="s">
        <v>8857</v>
      </c>
      <c r="Z190" s="114" t="s">
        <v>8858</v>
      </c>
      <c r="AA190" s="114" t="s">
        <v>9121</v>
      </c>
      <c r="AB190" s="114" t="s">
        <v>8877</v>
      </c>
    </row>
    <row r="191" spans="1:28" ht="48" x14ac:dyDescent="0.2">
      <c r="A191" s="133" t="s">
        <v>1168</v>
      </c>
      <c r="B191" s="130"/>
      <c r="C191" s="130" t="s">
        <v>619</v>
      </c>
      <c r="D191" s="130" t="s">
        <v>1169</v>
      </c>
      <c r="E191" s="131">
        <v>33277</v>
      </c>
      <c r="F191" s="131">
        <v>33277</v>
      </c>
      <c r="G191" s="132" t="s">
        <v>1170</v>
      </c>
      <c r="H191" s="132" t="s">
        <v>1171</v>
      </c>
      <c r="I191" s="132" t="s">
        <v>722</v>
      </c>
      <c r="J191" s="132" t="s">
        <v>63</v>
      </c>
      <c r="K191" s="440" t="str">
        <f>HYPERLINK("https://okcountyrecords.com/detail/roger+mills/1991-000858","OKCountyRecords: 1991-000858")</f>
        <v>OKCountyRecords: 1991-000858</v>
      </c>
      <c r="L191" s="133" t="s">
        <v>412</v>
      </c>
      <c r="M191" s="133" t="s">
        <v>405</v>
      </c>
      <c r="N191" s="133"/>
      <c r="O191" s="133" t="s">
        <v>422</v>
      </c>
      <c r="P191" s="114" t="s">
        <v>8934</v>
      </c>
      <c r="Q191" s="114" t="s">
        <v>118</v>
      </c>
      <c r="R191" s="114" t="s">
        <v>89</v>
      </c>
      <c r="S191" s="114" t="s">
        <v>118</v>
      </c>
      <c r="T191" s="114" t="s">
        <v>89</v>
      </c>
      <c r="U191" s="114" t="s">
        <v>8862</v>
      </c>
      <c r="V191" s="114" t="s">
        <v>3072</v>
      </c>
      <c r="W191" s="114" t="s">
        <v>8864</v>
      </c>
      <c r="X191" s="114" t="s">
        <v>2701</v>
      </c>
      <c r="Y191" s="114" t="s">
        <v>8857</v>
      </c>
      <c r="Z191" s="114" t="s">
        <v>8858</v>
      </c>
      <c r="AA191" s="114" t="s">
        <v>9122</v>
      </c>
      <c r="AB191" s="114" t="s">
        <v>8867</v>
      </c>
    </row>
    <row r="192" spans="1:28" ht="60" x14ac:dyDescent="0.2">
      <c r="A192" s="133" t="s">
        <v>1172</v>
      </c>
      <c r="B192" s="130"/>
      <c r="C192" s="130" t="s">
        <v>461</v>
      </c>
      <c r="D192" s="130" t="s">
        <v>1173</v>
      </c>
      <c r="E192" s="131">
        <v>33399</v>
      </c>
      <c r="F192" s="131">
        <v>33399</v>
      </c>
      <c r="G192" s="132" t="s">
        <v>1174</v>
      </c>
      <c r="H192" s="132" t="s">
        <v>102</v>
      </c>
      <c r="I192" s="132" t="s">
        <v>569</v>
      </c>
      <c r="J192" s="132" t="s">
        <v>8641</v>
      </c>
      <c r="K192" s="440" t="str">
        <f>HYPERLINK("https://okcountyrecords.com/detail/roger+mills/1991-002734","OKCountyRecords: 1991-002734")</f>
        <v>OKCountyRecords: 1991-002734</v>
      </c>
      <c r="L192" s="133" t="s">
        <v>503</v>
      </c>
      <c r="M192" s="133" t="s">
        <v>467</v>
      </c>
      <c r="N192" s="133" t="s">
        <v>504</v>
      </c>
      <c r="O192" s="133" t="s">
        <v>422</v>
      </c>
      <c r="P192" s="114" t="s">
        <v>8886</v>
      </c>
      <c r="Q192" s="114" t="s">
        <v>118</v>
      </c>
      <c r="R192" s="114" t="s">
        <v>89</v>
      </c>
      <c r="S192" s="114" t="s">
        <v>118</v>
      </c>
      <c r="T192" s="114" t="s">
        <v>89</v>
      </c>
      <c r="U192" s="114" t="s">
        <v>8896</v>
      </c>
      <c r="V192" s="114" t="s">
        <v>3386</v>
      </c>
      <c r="W192" s="114" t="s">
        <v>8864</v>
      </c>
      <c r="X192" s="114" t="s">
        <v>2701</v>
      </c>
      <c r="Y192" s="114" t="s">
        <v>8851</v>
      </c>
      <c r="Z192" s="114" t="s">
        <v>2701</v>
      </c>
      <c r="AA192" s="114" t="s">
        <v>9123</v>
      </c>
      <c r="AB192" s="114" t="s">
        <v>8888</v>
      </c>
    </row>
    <row r="193" spans="1:28" ht="60" x14ac:dyDescent="0.2">
      <c r="A193" s="133" t="s">
        <v>1175</v>
      </c>
      <c r="B193" s="130"/>
      <c r="C193" s="130" t="s">
        <v>545</v>
      </c>
      <c r="D193" s="130" t="s">
        <v>1176</v>
      </c>
      <c r="E193" s="131">
        <v>33456</v>
      </c>
      <c r="F193" s="131">
        <v>33456</v>
      </c>
      <c r="G193" s="132" t="s">
        <v>1177</v>
      </c>
      <c r="H193" s="132" t="s">
        <v>1178</v>
      </c>
      <c r="I193" s="132" t="s">
        <v>579</v>
      </c>
      <c r="J193" s="132" t="s">
        <v>1179</v>
      </c>
      <c r="K193" s="440" t="str">
        <f>HYPERLINK("https://okcountyrecords.com/detail/roger+mills/1991-003518","OKCountyRecords: 1991-003518")</f>
        <v>OKCountyRecords: 1991-003518</v>
      </c>
      <c r="L193" s="133" t="s">
        <v>412</v>
      </c>
      <c r="M193" s="133" t="s">
        <v>405</v>
      </c>
      <c r="N193" s="133"/>
      <c r="O193" s="133" t="s">
        <v>422</v>
      </c>
      <c r="P193" s="114" t="s">
        <v>8854</v>
      </c>
      <c r="Q193" s="114" t="s">
        <v>118</v>
      </c>
      <c r="R193" s="114" t="s">
        <v>89</v>
      </c>
      <c r="S193" s="114" t="s">
        <v>2701</v>
      </c>
      <c r="T193" s="114" t="s">
        <v>89</v>
      </c>
      <c r="U193" s="114" t="s">
        <v>8901</v>
      </c>
      <c r="V193" s="114" t="s">
        <v>3072</v>
      </c>
      <c r="W193" s="114" t="s">
        <v>8864</v>
      </c>
      <c r="X193" s="114" t="s">
        <v>8873</v>
      </c>
      <c r="Y193" s="114" t="s">
        <v>9104</v>
      </c>
      <c r="Z193" s="114" t="s">
        <v>8858</v>
      </c>
      <c r="AA193" s="114" t="s">
        <v>9124</v>
      </c>
      <c r="AB193" s="114" t="s">
        <v>8867</v>
      </c>
    </row>
    <row r="194" spans="1:28" ht="48" x14ac:dyDescent="0.2">
      <c r="A194" s="133" t="s">
        <v>1180</v>
      </c>
      <c r="B194" s="130"/>
      <c r="C194" s="130" t="s">
        <v>1181</v>
      </c>
      <c r="D194" s="130" t="s">
        <v>1182</v>
      </c>
      <c r="E194" s="131">
        <v>33522</v>
      </c>
      <c r="F194" s="131">
        <v>33522</v>
      </c>
      <c r="G194" s="132" t="s">
        <v>1183</v>
      </c>
      <c r="H194" s="132" t="s">
        <v>1184</v>
      </c>
      <c r="I194" s="132" t="s">
        <v>569</v>
      </c>
      <c r="J194" s="132" t="s">
        <v>63</v>
      </c>
      <c r="K194" s="440" t="str">
        <f>HYPERLINK("https://okcountyrecords.com/detail/roger+mills/1991-004456","OKCountyRecords: 1991-004456")</f>
        <v>OKCountyRecords: 1991-004456</v>
      </c>
      <c r="L194" s="133" t="s">
        <v>653</v>
      </c>
      <c r="M194" s="133" t="s">
        <v>405</v>
      </c>
      <c r="N194" s="133"/>
      <c r="O194" s="133" t="s">
        <v>422</v>
      </c>
      <c r="P194" s="114" t="s">
        <v>8854</v>
      </c>
      <c r="Q194" s="114" t="s">
        <v>118</v>
      </c>
      <c r="R194" s="114" t="s">
        <v>89</v>
      </c>
      <c r="S194" s="114" t="s">
        <v>2701</v>
      </c>
      <c r="T194" s="114" t="s">
        <v>89</v>
      </c>
      <c r="U194" s="114" t="s">
        <v>8896</v>
      </c>
      <c r="V194" s="114" t="s">
        <v>3386</v>
      </c>
      <c r="W194" s="114" t="s">
        <v>8864</v>
      </c>
      <c r="X194" s="114" t="s">
        <v>2701</v>
      </c>
      <c r="Y194" s="114" t="s">
        <v>8857</v>
      </c>
      <c r="Z194" s="114" t="s">
        <v>8858</v>
      </c>
      <c r="AA194" s="114" t="s">
        <v>9125</v>
      </c>
      <c r="AB194" s="114" t="s">
        <v>8867</v>
      </c>
    </row>
    <row r="195" spans="1:28" ht="60" x14ac:dyDescent="0.2">
      <c r="A195" s="133" t="s">
        <v>1185</v>
      </c>
      <c r="B195" s="130"/>
      <c r="C195" s="130" t="s">
        <v>1186</v>
      </c>
      <c r="D195" s="130" t="s">
        <v>1187</v>
      </c>
      <c r="E195" s="131">
        <v>33574</v>
      </c>
      <c r="F195" s="131">
        <v>33574</v>
      </c>
      <c r="G195" s="132" t="s">
        <v>1170</v>
      </c>
      <c r="H195" s="132" t="s">
        <v>1188</v>
      </c>
      <c r="I195" s="132" t="s">
        <v>722</v>
      </c>
      <c r="J195" s="132" t="s">
        <v>63</v>
      </c>
      <c r="K195" s="440" t="str">
        <f>HYPERLINK("https://okcountyrecords.com/detail/roger+mills/1991-005340","OKCountyRecords: 1991-005340")</f>
        <v>OKCountyRecords: 1991-005340</v>
      </c>
      <c r="L195" s="133" t="s">
        <v>412</v>
      </c>
      <c r="M195" s="133" t="s">
        <v>405</v>
      </c>
      <c r="N195" s="133"/>
      <c r="O195" s="133" t="s">
        <v>422</v>
      </c>
      <c r="P195" s="114" t="s">
        <v>8934</v>
      </c>
      <c r="Q195" s="114" t="s">
        <v>118</v>
      </c>
      <c r="R195" s="114" t="s">
        <v>89</v>
      </c>
      <c r="S195" s="114" t="s">
        <v>118</v>
      </c>
      <c r="T195" s="114" t="s">
        <v>89</v>
      </c>
      <c r="U195" s="114" t="s">
        <v>8862</v>
      </c>
      <c r="V195" s="114" t="s">
        <v>3072</v>
      </c>
      <c r="W195" s="114" t="s">
        <v>8864</v>
      </c>
      <c r="X195" s="114" t="s">
        <v>8865</v>
      </c>
      <c r="Y195" s="114" t="s">
        <v>8857</v>
      </c>
      <c r="Z195" s="114" t="s">
        <v>8858</v>
      </c>
      <c r="AA195" s="114" t="s">
        <v>9126</v>
      </c>
      <c r="AB195" s="114" t="s">
        <v>8867</v>
      </c>
    </row>
    <row r="196" spans="1:28" ht="48" x14ac:dyDescent="0.2">
      <c r="A196" s="133" t="s">
        <v>1189</v>
      </c>
      <c r="B196" s="130"/>
      <c r="C196" s="130" t="s">
        <v>1190</v>
      </c>
      <c r="D196" s="130" t="s">
        <v>1191</v>
      </c>
      <c r="E196" s="131">
        <v>33682</v>
      </c>
      <c r="F196" s="131">
        <v>33682</v>
      </c>
      <c r="G196" s="132" t="s">
        <v>1139</v>
      </c>
      <c r="H196" s="132" t="s">
        <v>102</v>
      </c>
      <c r="I196" s="132" t="s">
        <v>1132</v>
      </c>
      <c r="J196" s="132" t="s">
        <v>760</v>
      </c>
      <c r="K196" s="440" t="str">
        <f>HYPERLINK("https://okcountyrecords.com/detail/roger+mills/1992-000943","OKCountyRecords: 1992-000943")</f>
        <v>OKCountyRecords: 1992-000943</v>
      </c>
      <c r="L196" s="133" t="s">
        <v>466</v>
      </c>
      <c r="M196" s="133" t="s">
        <v>467</v>
      </c>
      <c r="N196" s="133" t="s">
        <v>504</v>
      </c>
      <c r="O196" s="133" t="s">
        <v>505</v>
      </c>
      <c r="P196" s="114" t="s">
        <v>9082</v>
      </c>
      <c r="Q196" s="114" t="s">
        <v>89</v>
      </c>
      <c r="R196" s="114" t="s">
        <v>89</v>
      </c>
      <c r="S196" s="114" t="s">
        <v>89</v>
      </c>
      <c r="T196" s="114" t="s">
        <v>89</v>
      </c>
      <c r="U196" s="114" t="s">
        <v>8935</v>
      </c>
      <c r="V196" s="114" t="s">
        <v>2701</v>
      </c>
      <c r="W196" s="114" t="s">
        <v>8906</v>
      </c>
      <c r="X196" s="114" t="s">
        <v>8869</v>
      </c>
      <c r="Y196" s="114" t="s">
        <v>8851</v>
      </c>
      <c r="Z196" s="114" t="s">
        <v>2701</v>
      </c>
      <c r="AA196" s="114" t="s">
        <v>9127</v>
      </c>
      <c r="AB196" s="114" t="s">
        <v>8879</v>
      </c>
    </row>
    <row r="197" spans="1:28" ht="48" x14ac:dyDescent="0.2">
      <c r="A197" s="133" t="s">
        <v>1192</v>
      </c>
      <c r="B197" s="130"/>
      <c r="C197" s="130" t="s">
        <v>1193</v>
      </c>
      <c r="D197" s="130" t="s">
        <v>1194</v>
      </c>
      <c r="E197" s="131">
        <v>33693</v>
      </c>
      <c r="F197" s="131">
        <v>33693</v>
      </c>
      <c r="G197" s="132" t="s">
        <v>1195</v>
      </c>
      <c r="H197" s="132" t="s">
        <v>1196</v>
      </c>
      <c r="I197" s="132" t="s">
        <v>1132</v>
      </c>
      <c r="J197" s="132" t="s">
        <v>63</v>
      </c>
      <c r="K197" s="440" t="str">
        <f>HYPERLINK("https://okcountyrecords.com/detail/roger+mills/1992-001067","OKCountyRecords: 1992-001067")</f>
        <v>OKCountyRecords: 1992-001067</v>
      </c>
      <c r="L197" s="133" t="s">
        <v>412</v>
      </c>
      <c r="M197" s="133" t="s">
        <v>405</v>
      </c>
      <c r="N197" s="133"/>
      <c r="O197" s="133" t="s">
        <v>428</v>
      </c>
      <c r="P197" s="114" t="s">
        <v>8934</v>
      </c>
      <c r="Q197" s="114" t="s">
        <v>118</v>
      </c>
      <c r="R197" s="114" t="s">
        <v>89</v>
      </c>
      <c r="S197" s="114" t="s">
        <v>118</v>
      </c>
      <c r="T197" s="114" t="s">
        <v>89</v>
      </c>
      <c r="U197" s="114" t="s">
        <v>8935</v>
      </c>
      <c r="V197" s="114" t="s">
        <v>2701</v>
      </c>
      <c r="W197" s="114" t="s">
        <v>8864</v>
      </c>
      <c r="X197" s="114" t="s">
        <v>8869</v>
      </c>
      <c r="Y197" s="114" t="s">
        <v>8857</v>
      </c>
      <c r="Z197" s="114" t="s">
        <v>8858</v>
      </c>
      <c r="AA197" s="114" t="s">
        <v>9128</v>
      </c>
      <c r="AB197" s="114" t="s">
        <v>8877</v>
      </c>
    </row>
    <row r="198" spans="1:28" ht="48" x14ac:dyDescent="0.2">
      <c r="A198" s="133" t="s">
        <v>1197</v>
      </c>
      <c r="B198" s="130"/>
      <c r="C198" s="130" t="s">
        <v>619</v>
      </c>
      <c r="D198" s="130" t="s">
        <v>1198</v>
      </c>
      <c r="E198" s="131">
        <v>33737</v>
      </c>
      <c r="F198" s="131">
        <v>33737</v>
      </c>
      <c r="G198" s="132" t="s">
        <v>1156</v>
      </c>
      <c r="H198" s="132" t="s">
        <v>1199</v>
      </c>
      <c r="I198" s="132" t="s">
        <v>902</v>
      </c>
      <c r="J198" s="132" t="s">
        <v>1200</v>
      </c>
      <c r="K198" s="440" t="str">
        <f>HYPERLINK("https://okcountyrecords.com/detail/roger+mills/1992-001682","OKCountyRecords: 1992-001682")</f>
        <v>OKCountyRecords: 1992-001682</v>
      </c>
      <c r="L198" s="133" t="s">
        <v>412</v>
      </c>
      <c r="M198" s="133"/>
      <c r="N198" s="133" t="s">
        <v>1201</v>
      </c>
      <c r="O198" s="133" t="s">
        <v>422</v>
      </c>
      <c r="P198" s="114" t="s">
        <v>8934</v>
      </c>
      <c r="Q198" s="114" t="s">
        <v>118</v>
      </c>
      <c r="R198" s="114" t="s">
        <v>89</v>
      </c>
      <c r="S198" s="114" t="s">
        <v>118</v>
      </c>
      <c r="T198" s="114" t="s">
        <v>89</v>
      </c>
      <c r="U198" s="114" t="s">
        <v>8935</v>
      </c>
      <c r="V198" s="114" t="s">
        <v>2701</v>
      </c>
      <c r="W198" s="114" t="s">
        <v>8906</v>
      </c>
      <c r="X198" s="114" t="s">
        <v>8869</v>
      </c>
      <c r="Y198" s="114" t="s">
        <v>9129</v>
      </c>
      <c r="Z198" s="114" t="s">
        <v>8858</v>
      </c>
      <c r="AA198" s="114" t="s">
        <v>9130</v>
      </c>
      <c r="AB198" s="114" t="s">
        <v>8879</v>
      </c>
    </row>
    <row r="199" spans="1:28" ht="60" x14ac:dyDescent="0.2">
      <c r="A199" s="133" t="s">
        <v>1202</v>
      </c>
      <c r="B199" s="130"/>
      <c r="C199" s="130" t="s">
        <v>1074</v>
      </c>
      <c r="D199" s="130" t="s">
        <v>1203</v>
      </c>
      <c r="E199" s="131">
        <v>33750</v>
      </c>
      <c r="F199" s="131">
        <v>33750</v>
      </c>
      <c r="G199" s="132" t="s">
        <v>1204</v>
      </c>
      <c r="H199" s="132" t="s">
        <v>1205</v>
      </c>
      <c r="I199" s="132" t="s">
        <v>722</v>
      </c>
      <c r="J199" s="132" t="s">
        <v>1206</v>
      </c>
      <c r="K199" s="440" t="str">
        <f>HYPERLINK("https://okcountyrecords.com/detail/roger+mills/1992-001861","OKCountyRecords: 1992-001861")</f>
        <v>OKCountyRecords: 1992-001861</v>
      </c>
      <c r="L199" s="133" t="s">
        <v>412</v>
      </c>
      <c r="M199" s="133"/>
      <c r="N199" s="133"/>
      <c r="O199" s="133" t="s">
        <v>422</v>
      </c>
      <c r="P199" s="114" t="s">
        <v>8934</v>
      </c>
      <c r="Q199" s="114" t="s">
        <v>118</v>
      </c>
      <c r="R199" s="114" t="s">
        <v>89</v>
      </c>
      <c r="S199" s="114" t="s">
        <v>118</v>
      </c>
      <c r="T199" s="114" t="s">
        <v>89</v>
      </c>
      <c r="U199" s="114" t="s">
        <v>8862</v>
      </c>
      <c r="V199" s="114" t="s">
        <v>3072</v>
      </c>
      <c r="W199" s="114" t="s">
        <v>9631</v>
      </c>
      <c r="X199" s="114" t="s">
        <v>8865</v>
      </c>
      <c r="Y199" s="114" t="s">
        <v>9131</v>
      </c>
      <c r="Z199" s="114" t="s">
        <v>8858</v>
      </c>
      <c r="AA199" s="114" t="s">
        <v>9132</v>
      </c>
      <c r="AB199" s="114" t="s">
        <v>8867</v>
      </c>
    </row>
    <row r="200" spans="1:28" ht="48" x14ac:dyDescent="0.2">
      <c r="A200" s="133" t="s">
        <v>1207</v>
      </c>
      <c r="B200" s="130"/>
      <c r="C200" s="130" t="s">
        <v>1074</v>
      </c>
      <c r="D200" s="130" t="s">
        <v>1208</v>
      </c>
      <c r="E200" s="131">
        <v>33750</v>
      </c>
      <c r="F200" s="131">
        <v>33750</v>
      </c>
      <c r="G200" s="132" t="s">
        <v>1204</v>
      </c>
      <c r="H200" s="132" t="s">
        <v>1054</v>
      </c>
      <c r="I200" s="132" t="s">
        <v>722</v>
      </c>
      <c r="J200" s="132" t="s">
        <v>1206</v>
      </c>
      <c r="K200" s="440" t="str">
        <f>HYPERLINK("https://okcountyrecords.com/detail/roger+mills/1992-001862","OKCountyRecords: 1992-001862")</f>
        <v>OKCountyRecords: 1992-001862</v>
      </c>
      <c r="L200" s="133" t="s">
        <v>412</v>
      </c>
      <c r="M200" s="133" t="s">
        <v>405</v>
      </c>
      <c r="N200" s="133"/>
      <c r="O200" s="133" t="s">
        <v>422</v>
      </c>
      <c r="P200" s="114" t="s">
        <v>8934</v>
      </c>
      <c r="Q200" s="114" t="s">
        <v>118</v>
      </c>
      <c r="R200" s="114" t="s">
        <v>89</v>
      </c>
      <c r="S200" s="114" t="s">
        <v>118</v>
      </c>
      <c r="T200" s="114" t="s">
        <v>89</v>
      </c>
      <c r="U200" s="114" t="s">
        <v>8862</v>
      </c>
      <c r="V200" s="114" t="s">
        <v>3072</v>
      </c>
      <c r="W200" s="114" t="s">
        <v>9631</v>
      </c>
      <c r="X200" s="114" t="s">
        <v>2701</v>
      </c>
      <c r="Y200" s="114" t="s">
        <v>9131</v>
      </c>
      <c r="Z200" s="114" t="s">
        <v>8858</v>
      </c>
      <c r="AA200" s="114" t="s">
        <v>9133</v>
      </c>
      <c r="AB200" s="114" t="s">
        <v>8867</v>
      </c>
    </row>
    <row r="201" spans="1:28" ht="48" x14ac:dyDescent="0.2">
      <c r="A201" s="133" t="s">
        <v>1209</v>
      </c>
      <c r="B201" s="130"/>
      <c r="C201" s="130" t="s">
        <v>1074</v>
      </c>
      <c r="D201" s="130" t="s">
        <v>1210</v>
      </c>
      <c r="E201" s="131">
        <v>33750</v>
      </c>
      <c r="F201" s="131">
        <v>33750</v>
      </c>
      <c r="G201" s="132" t="s">
        <v>1204</v>
      </c>
      <c r="H201" s="132" t="s">
        <v>1036</v>
      </c>
      <c r="I201" s="132" t="s">
        <v>722</v>
      </c>
      <c r="J201" s="132" t="s">
        <v>1206</v>
      </c>
      <c r="K201" s="440" t="str">
        <f>HYPERLINK("https://okcountyrecords.com/detail/roger+mills/1992-001863","OKCountyRecords: 1992-001863")</f>
        <v>OKCountyRecords: 1992-001863</v>
      </c>
      <c r="L201" s="133" t="s">
        <v>412</v>
      </c>
      <c r="M201" s="133"/>
      <c r="N201" s="133"/>
      <c r="O201" s="133" t="s">
        <v>422</v>
      </c>
      <c r="P201" s="114" t="s">
        <v>8934</v>
      </c>
      <c r="Q201" s="114" t="s">
        <v>118</v>
      </c>
      <c r="R201" s="114" t="s">
        <v>89</v>
      </c>
      <c r="S201" s="114" t="s">
        <v>118</v>
      </c>
      <c r="T201" s="114" t="s">
        <v>89</v>
      </c>
      <c r="U201" s="114" t="s">
        <v>8862</v>
      </c>
      <c r="V201" s="114" t="s">
        <v>3072</v>
      </c>
      <c r="W201" s="114" t="s">
        <v>9631</v>
      </c>
      <c r="X201" s="114" t="s">
        <v>8865</v>
      </c>
      <c r="Y201" s="114" t="s">
        <v>9131</v>
      </c>
      <c r="Z201" s="114" t="s">
        <v>8858</v>
      </c>
      <c r="AA201" s="114" t="s">
        <v>9134</v>
      </c>
      <c r="AB201" s="114" t="s">
        <v>8867</v>
      </c>
    </row>
    <row r="202" spans="1:28" ht="48" x14ac:dyDescent="0.2">
      <c r="A202" s="133" t="s">
        <v>1211</v>
      </c>
      <c r="B202" s="130"/>
      <c r="C202" s="130" t="s">
        <v>1074</v>
      </c>
      <c r="D202" s="130" t="s">
        <v>1212</v>
      </c>
      <c r="E202" s="131">
        <v>33750</v>
      </c>
      <c r="F202" s="131">
        <v>33750</v>
      </c>
      <c r="G202" s="132" t="s">
        <v>1204</v>
      </c>
      <c r="H202" s="132" t="s">
        <v>1039</v>
      </c>
      <c r="I202" s="132" t="s">
        <v>722</v>
      </c>
      <c r="J202" s="132" t="s">
        <v>1206</v>
      </c>
      <c r="K202" s="440" t="str">
        <f>HYPERLINK("https://okcountyrecords.com/detail/roger+mills/1992-001865","OKCountyRecords: 1992-001865")</f>
        <v>OKCountyRecords: 1992-001865</v>
      </c>
      <c r="L202" s="133" t="s">
        <v>412</v>
      </c>
      <c r="M202" s="133" t="s">
        <v>405</v>
      </c>
      <c r="N202" s="133"/>
      <c r="O202" s="133" t="s">
        <v>422</v>
      </c>
      <c r="P202" s="114" t="s">
        <v>8934</v>
      </c>
      <c r="Q202" s="114" t="s">
        <v>118</v>
      </c>
      <c r="R202" s="114" t="s">
        <v>89</v>
      </c>
      <c r="S202" s="114" t="s">
        <v>118</v>
      </c>
      <c r="T202" s="114" t="s">
        <v>89</v>
      </c>
      <c r="U202" s="114" t="s">
        <v>8862</v>
      </c>
      <c r="V202" s="114" t="s">
        <v>3072</v>
      </c>
      <c r="W202" s="114" t="s">
        <v>9631</v>
      </c>
      <c r="X202" s="114" t="s">
        <v>8865</v>
      </c>
      <c r="Y202" s="114" t="s">
        <v>9131</v>
      </c>
      <c r="Z202" s="114" t="s">
        <v>8858</v>
      </c>
      <c r="AA202" s="114" t="s">
        <v>9135</v>
      </c>
      <c r="AB202" s="114" t="s">
        <v>8867</v>
      </c>
    </row>
    <row r="203" spans="1:28" ht="60" x14ac:dyDescent="0.2">
      <c r="A203" s="133" t="s">
        <v>1213</v>
      </c>
      <c r="B203" s="130"/>
      <c r="C203" s="130" t="s">
        <v>1074</v>
      </c>
      <c r="D203" s="130" t="s">
        <v>1214</v>
      </c>
      <c r="E203" s="131">
        <v>33750</v>
      </c>
      <c r="F203" s="131">
        <v>33750</v>
      </c>
      <c r="G203" s="132" t="s">
        <v>1204</v>
      </c>
      <c r="H203" s="132" t="s">
        <v>1215</v>
      </c>
      <c r="I203" s="132" t="s">
        <v>722</v>
      </c>
      <c r="J203" s="132" t="s">
        <v>1206</v>
      </c>
      <c r="K203" s="454" t="str">
        <f>HYPERLINK("https://okcountyrecords.com/detail/roger+mills/1992-001866","OKCountyRecords: 1992-001866")</f>
        <v>OKCountyRecords: 1992-001866</v>
      </c>
      <c r="L203" s="133" t="s">
        <v>412</v>
      </c>
      <c r="M203" s="133" t="s">
        <v>405</v>
      </c>
      <c r="N203" s="133"/>
      <c r="O203" s="133" t="s">
        <v>422</v>
      </c>
      <c r="P203" s="114" t="s">
        <v>8934</v>
      </c>
      <c r="Q203" s="114" t="s">
        <v>118</v>
      </c>
      <c r="R203" s="114" t="s">
        <v>89</v>
      </c>
      <c r="S203" s="114" t="s">
        <v>118</v>
      </c>
      <c r="T203" s="114" t="s">
        <v>89</v>
      </c>
      <c r="U203" s="114" t="s">
        <v>8862</v>
      </c>
      <c r="V203" s="114" t="s">
        <v>3072</v>
      </c>
      <c r="W203" s="114" t="s">
        <v>9631</v>
      </c>
      <c r="X203" s="114" t="s">
        <v>8865</v>
      </c>
      <c r="Y203" s="114" t="s">
        <v>9131</v>
      </c>
      <c r="Z203" s="114" t="s">
        <v>8858</v>
      </c>
      <c r="AA203" s="114" t="s">
        <v>9136</v>
      </c>
      <c r="AB203" s="114" t="s">
        <v>8867</v>
      </c>
    </row>
    <row r="204" spans="1:28" ht="48" x14ac:dyDescent="0.2">
      <c r="A204" s="133" t="s">
        <v>1216</v>
      </c>
      <c r="B204" s="130"/>
      <c r="C204" s="130" t="s">
        <v>1074</v>
      </c>
      <c r="D204" s="130" t="s">
        <v>1217</v>
      </c>
      <c r="E204" s="131">
        <v>33750</v>
      </c>
      <c r="F204" s="131">
        <v>33750</v>
      </c>
      <c r="G204" s="132" t="s">
        <v>1204</v>
      </c>
      <c r="H204" s="132" t="s">
        <v>1045</v>
      </c>
      <c r="I204" s="132" t="s">
        <v>722</v>
      </c>
      <c r="J204" s="132" t="s">
        <v>1206</v>
      </c>
      <c r="K204" s="454" t="str">
        <f>HYPERLINK("https://okcountyrecords.com/detail/roger+mills/1992-001867","OKCountyRecords: 1992-001867")</f>
        <v>OKCountyRecords: 1992-001867</v>
      </c>
      <c r="L204" s="133" t="s">
        <v>412</v>
      </c>
      <c r="M204" s="133" t="s">
        <v>405</v>
      </c>
      <c r="N204" s="133"/>
      <c r="O204" s="133" t="s">
        <v>422</v>
      </c>
      <c r="P204" s="114" t="s">
        <v>8934</v>
      </c>
      <c r="Q204" s="114" t="s">
        <v>118</v>
      </c>
      <c r="R204" s="114" t="s">
        <v>89</v>
      </c>
      <c r="S204" s="114" t="s">
        <v>118</v>
      </c>
      <c r="T204" s="114" t="s">
        <v>89</v>
      </c>
      <c r="U204" s="114" t="s">
        <v>8862</v>
      </c>
      <c r="V204" s="114" t="s">
        <v>3072</v>
      </c>
      <c r="W204" s="114" t="s">
        <v>9631</v>
      </c>
      <c r="X204" s="114" t="s">
        <v>2701</v>
      </c>
      <c r="Y204" s="114" t="s">
        <v>9131</v>
      </c>
      <c r="Z204" s="114" t="s">
        <v>8858</v>
      </c>
      <c r="AA204" s="114" t="s">
        <v>9137</v>
      </c>
      <c r="AB204" s="114" t="s">
        <v>8867</v>
      </c>
    </row>
    <row r="205" spans="1:28" ht="48" x14ac:dyDescent="0.2">
      <c r="A205" s="133" t="s">
        <v>1218</v>
      </c>
      <c r="B205" s="130"/>
      <c r="C205" s="130" t="s">
        <v>619</v>
      </c>
      <c r="D205" s="130" t="s">
        <v>1219</v>
      </c>
      <c r="E205" s="131">
        <v>33857</v>
      </c>
      <c r="F205" s="131">
        <v>33857</v>
      </c>
      <c r="G205" s="132" t="s">
        <v>1220</v>
      </c>
      <c r="H205" s="132" t="s">
        <v>1221</v>
      </c>
      <c r="I205" s="132" t="s">
        <v>677</v>
      </c>
      <c r="J205" s="132" t="s">
        <v>1222</v>
      </c>
      <c r="K205" s="440" t="str">
        <f>HYPERLINK("https://okcountyrecords.com/detail/roger+mills/1992-003373","OKCountyRecords: 1992-003373")</f>
        <v>OKCountyRecords: 1992-003373</v>
      </c>
      <c r="L205" s="133" t="s">
        <v>8713</v>
      </c>
      <c r="M205" s="133" t="s">
        <v>641</v>
      </c>
      <c r="N205" s="133" t="s">
        <v>8714</v>
      </c>
      <c r="O205" s="133" t="s">
        <v>422</v>
      </c>
      <c r="P205" s="114" t="s">
        <v>8934</v>
      </c>
      <c r="Q205" s="114" t="s">
        <v>118</v>
      </c>
      <c r="R205" s="114" t="s">
        <v>89</v>
      </c>
      <c r="S205" s="114" t="s">
        <v>118</v>
      </c>
      <c r="T205" s="114" t="s">
        <v>89</v>
      </c>
      <c r="U205" s="114" t="s">
        <v>8872</v>
      </c>
      <c r="V205" s="114" t="s">
        <v>2701</v>
      </c>
      <c r="W205" s="114" t="s">
        <v>9636</v>
      </c>
      <c r="X205" s="114" t="s">
        <v>8873</v>
      </c>
      <c r="Y205" s="114" t="s">
        <v>8851</v>
      </c>
      <c r="Z205" s="114" t="s">
        <v>2701</v>
      </c>
      <c r="AA205" s="114" t="s">
        <v>9138</v>
      </c>
      <c r="AB205" s="114" t="s">
        <v>9139</v>
      </c>
    </row>
    <row r="206" spans="1:28" ht="48" x14ac:dyDescent="0.2">
      <c r="A206" s="133" t="s">
        <v>1225</v>
      </c>
      <c r="B206" s="130"/>
      <c r="C206" s="130" t="s">
        <v>619</v>
      </c>
      <c r="D206" s="130" t="s">
        <v>1226</v>
      </c>
      <c r="E206" s="131">
        <v>33868</v>
      </c>
      <c r="F206" s="131">
        <v>33868</v>
      </c>
      <c r="G206" s="132" t="s">
        <v>989</v>
      </c>
      <c r="H206" s="132" t="s">
        <v>234</v>
      </c>
      <c r="I206" s="132" t="s">
        <v>722</v>
      </c>
      <c r="J206" s="132" t="s">
        <v>1227</v>
      </c>
      <c r="K206" s="440" t="str">
        <f>HYPERLINK("https://okcountyrecords.com/detail/roger+mills/1992-003494","OKCountyRecords: 1992-003494")</f>
        <v>OKCountyRecords: 1992-003494</v>
      </c>
      <c r="L206" s="133" t="s">
        <v>412</v>
      </c>
      <c r="M206" s="133"/>
      <c r="N206" s="133"/>
      <c r="O206" s="133" t="s">
        <v>422</v>
      </c>
      <c r="P206" s="114" t="s">
        <v>8934</v>
      </c>
      <c r="Q206" s="114" t="s">
        <v>118</v>
      </c>
      <c r="R206" s="114" t="s">
        <v>89</v>
      </c>
      <c r="S206" s="114" t="s">
        <v>118</v>
      </c>
      <c r="T206" s="114" t="s">
        <v>89</v>
      </c>
      <c r="U206" s="114" t="s">
        <v>8862</v>
      </c>
      <c r="V206" s="114" t="s">
        <v>3072</v>
      </c>
      <c r="W206" s="114" t="s">
        <v>8906</v>
      </c>
      <c r="X206" s="114" t="s">
        <v>8865</v>
      </c>
      <c r="Y206" s="114" t="s">
        <v>9038</v>
      </c>
      <c r="Z206" s="114" t="s">
        <v>8858</v>
      </c>
      <c r="AA206" s="114" t="s">
        <v>9140</v>
      </c>
    </row>
    <row r="207" spans="1:28" ht="120" x14ac:dyDescent="0.2">
      <c r="A207" s="133" t="s">
        <v>1228</v>
      </c>
      <c r="B207" s="130"/>
      <c r="C207" s="130" t="s">
        <v>756</v>
      </c>
      <c r="D207" s="130" t="s">
        <v>1229</v>
      </c>
      <c r="E207" s="131">
        <v>34018</v>
      </c>
      <c r="F207" s="131">
        <v>34018</v>
      </c>
      <c r="G207" s="132" t="s">
        <v>1230</v>
      </c>
      <c r="H207" s="132" t="s">
        <v>1231</v>
      </c>
      <c r="I207" s="132" t="s">
        <v>530</v>
      </c>
      <c r="J207" s="132" t="s">
        <v>760</v>
      </c>
      <c r="K207" s="440" t="str">
        <f>HYPERLINK("https://okcountyrecords.com/detail/roger+mills/1993-000717","OKCountyRecords: 1993-000717")</f>
        <v>OKCountyRecords: 1993-000717</v>
      </c>
      <c r="L207" s="133" t="s">
        <v>503</v>
      </c>
      <c r="M207" s="133"/>
      <c r="N207" s="133"/>
      <c r="O207" s="133" t="s">
        <v>422</v>
      </c>
      <c r="P207" s="114" t="s">
        <v>8903</v>
      </c>
      <c r="Q207" s="114" t="s">
        <v>2701</v>
      </c>
      <c r="R207" s="114" t="s">
        <v>2701</v>
      </c>
      <c r="S207" s="114" t="s">
        <v>2701</v>
      </c>
      <c r="T207" s="114" t="s">
        <v>2701</v>
      </c>
      <c r="U207" s="114" t="s">
        <v>8896</v>
      </c>
      <c r="V207" s="114" t="s">
        <v>3386</v>
      </c>
      <c r="W207" s="114" t="s">
        <v>8864</v>
      </c>
      <c r="X207" s="114" t="s">
        <v>2701</v>
      </c>
      <c r="Y207" s="114" t="s">
        <v>8851</v>
      </c>
      <c r="Z207" s="114" t="s">
        <v>2701</v>
      </c>
      <c r="AA207" s="114" t="s">
        <v>9141</v>
      </c>
      <c r="AB207" s="114" t="s">
        <v>8905</v>
      </c>
    </row>
    <row r="208" spans="1:28" ht="48" x14ac:dyDescent="0.2">
      <c r="A208" s="133" t="s">
        <v>1232</v>
      </c>
      <c r="B208" s="130"/>
      <c r="C208" s="130" t="s">
        <v>585</v>
      </c>
      <c r="D208" s="130" t="s">
        <v>1233</v>
      </c>
      <c r="E208" s="131">
        <v>34032</v>
      </c>
      <c r="F208" s="131">
        <v>34032</v>
      </c>
      <c r="G208" s="132" t="s">
        <v>1234</v>
      </c>
      <c r="H208" s="132" t="s">
        <v>1235</v>
      </c>
      <c r="I208" s="132" t="s">
        <v>1236</v>
      </c>
      <c r="J208" s="132" t="s">
        <v>1237</v>
      </c>
      <c r="K208" s="440" t="str">
        <f>HYPERLINK("https://okcountyrecords.com/detail/roger+mills/1993-000918","OKCountyRecords: 1993-000918")</f>
        <v>OKCountyRecords: 1993-000918</v>
      </c>
      <c r="L208" s="133" t="s">
        <v>412</v>
      </c>
      <c r="M208" s="133" t="s">
        <v>641</v>
      </c>
      <c r="N208" s="133" t="s">
        <v>668</v>
      </c>
      <c r="O208" s="133" t="s">
        <v>422</v>
      </c>
      <c r="P208" s="114" t="s">
        <v>8886</v>
      </c>
      <c r="Q208" s="114" t="s">
        <v>118</v>
      </c>
      <c r="R208" s="114" t="s">
        <v>89</v>
      </c>
      <c r="S208" s="114" t="s">
        <v>118</v>
      </c>
      <c r="T208" s="114" t="s">
        <v>89</v>
      </c>
      <c r="U208" s="114" t="s">
        <v>8930</v>
      </c>
      <c r="V208" s="114" t="s">
        <v>2701</v>
      </c>
      <c r="W208" s="114" t="s">
        <v>8864</v>
      </c>
      <c r="X208" s="114" t="s">
        <v>2701</v>
      </c>
      <c r="Y208" s="114" t="s">
        <v>8948</v>
      </c>
      <c r="Z208" s="114" t="s">
        <v>8858</v>
      </c>
      <c r="AA208" s="114" t="s">
        <v>9142</v>
      </c>
      <c r="AB208" s="114" t="s">
        <v>8877</v>
      </c>
    </row>
    <row r="209" spans="1:28" ht="72" x14ac:dyDescent="0.2">
      <c r="A209" s="133" t="s">
        <v>1238</v>
      </c>
      <c r="B209" s="130"/>
      <c r="C209" s="130" t="s">
        <v>1239</v>
      </c>
      <c r="D209" s="130" t="s">
        <v>1240</v>
      </c>
      <c r="E209" s="131">
        <v>34036</v>
      </c>
      <c r="F209" s="131">
        <v>34036</v>
      </c>
      <c r="G209" s="132" t="s">
        <v>266</v>
      </c>
      <c r="H209" s="132" t="s">
        <v>1241</v>
      </c>
      <c r="I209" s="132" t="s">
        <v>579</v>
      </c>
      <c r="J209" s="132" t="s">
        <v>994</v>
      </c>
      <c r="K209" s="440" t="str">
        <f>HYPERLINK("https://okcountyrecords.com/detail/roger+mills/1993-000978","OKCountyRecords: 1993-000978")</f>
        <v>OKCountyRecords: 1993-000978</v>
      </c>
      <c r="L209" s="133" t="s">
        <v>8711</v>
      </c>
      <c r="M209" s="133" t="s">
        <v>641</v>
      </c>
      <c r="N209" s="133" t="s">
        <v>8712</v>
      </c>
      <c r="O209" s="133" t="s">
        <v>422</v>
      </c>
      <c r="P209" s="114" t="s">
        <v>8886</v>
      </c>
      <c r="Q209" s="114" t="s">
        <v>118</v>
      </c>
      <c r="R209" s="114" t="s">
        <v>89</v>
      </c>
      <c r="S209" s="114" t="s">
        <v>118</v>
      </c>
      <c r="T209" s="114" t="s">
        <v>89</v>
      </c>
      <c r="U209" s="114" t="s">
        <v>8901</v>
      </c>
      <c r="V209" s="114" t="s">
        <v>3072</v>
      </c>
      <c r="W209" s="114" t="s">
        <v>9637</v>
      </c>
      <c r="X209" s="114" t="s">
        <v>8873</v>
      </c>
      <c r="Y209" s="114" t="s">
        <v>8857</v>
      </c>
      <c r="Z209" s="114" t="s">
        <v>8858</v>
      </c>
      <c r="AA209" s="114" t="s">
        <v>9143</v>
      </c>
      <c r="AB209" s="114" t="s">
        <v>8867</v>
      </c>
    </row>
    <row r="210" spans="1:28" ht="60" x14ac:dyDescent="0.2">
      <c r="A210" s="133" t="s">
        <v>1242</v>
      </c>
      <c r="B210" s="130"/>
      <c r="C210" s="130" t="s">
        <v>1243</v>
      </c>
      <c r="D210" s="130" t="s">
        <v>1244</v>
      </c>
      <c r="E210" s="131">
        <v>34199</v>
      </c>
      <c r="F210" s="131">
        <v>34199</v>
      </c>
      <c r="G210" s="132" t="s">
        <v>1245</v>
      </c>
      <c r="H210" s="132" t="s">
        <v>1246</v>
      </c>
      <c r="I210" s="132" t="s">
        <v>569</v>
      </c>
      <c r="J210" s="132" t="s">
        <v>63</v>
      </c>
      <c r="K210" s="440" t="str">
        <f>HYPERLINK("https://okcountyrecords.com/detail/roger+mills/1993-003365","OKCountyRecords: 1993-003365")</f>
        <v>OKCountyRecords: 1993-003365</v>
      </c>
      <c r="L210" s="133" t="s">
        <v>653</v>
      </c>
      <c r="M210" s="133" t="s">
        <v>405</v>
      </c>
      <c r="N210" s="133"/>
      <c r="O210" s="133" t="s">
        <v>422</v>
      </c>
      <c r="P210" s="114" t="s">
        <v>8854</v>
      </c>
      <c r="Q210" s="114" t="s">
        <v>118</v>
      </c>
      <c r="R210" s="114" t="s">
        <v>89</v>
      </c>
      <c r="S210" s="114" t="s">
        <v>2701</v>
      </c>
      <c r="T210" s="114" t="s">
        <v>89</v>
      </c>
      <c r="U210" s="114" t="s">
        <v>8896</v>
      </c>
      <c r="V210" s="114" t="s">
        <v>3386</v>
      </c>
      <c r="W210" s="114" t="s">
        <v>8864</v>
      </c>
      <c r="X210" s="114" t="s">
        <v>2701</v>
      </c>
      <c r="Y210" s="114" t="s">
        <v>8857</v>
      </c>
      <c r="Z210" s="114" t="s">
        <v>8858</v>
      </c>
      <c r="AA210" s="114" t="s">
        <v>9144</v>
      </c>
      <c r="AB210" s="114" t="s">
        <v>8867</v>
      </c>
    </row>
    <row r="211" spans="1:28" ht="60" x14ac:dyDescent="0.2">
      <c r="A211" s="133" t="s">
        <v>1247</v>
      </c>
      <c r="B211" s="130"/>
      <c r="C211" s="130" t="s">
        <v>1248</v>
      </c>
      <c r="D211" s="130" t="s">
        <v>1249</v>
      </c>
      <c r="E211" s="131">
        <v>34452</v>
      </c>
      <c r="F211" s="131">
        <v>34452</v>
      </c>
      <c r="G211" s="132" t="s">
        <v>1250</v>
      </c>
      <c r="H211" s="132" t="s">
        <v>1251</v>
      </c>
      <c r="I211" s="132" t="s">
        <v>579</v>
      </c>
      <c r="J211" s="132" t="s">
        <v>1252</v>
      </c>
      <c r="K211" s="454" t="str">
        <f>HYPERLINK("https://okcountyrecords.com/detail/roger+mills/1994-004940","OKCountyRecords: 1994-004940")</f>
        <v>OKCountyRecords: 1994-004940</v>
      </c>
      <c r="L211" s="133" t="s">
        <v>412</v>
      </c>
      <c r="M211" s="133" t="s">
        <v>405</v>
      </c>
      <c r="N211" s="133"/>
      <c r="O211" s="133" t="s">
        <v>422</v>
      </c>
      <c r="P211" s="114" t="s">
        <v>8886</v>
      </c>
      <c r="Q211" s="114" t="s">
        <v>118</v>
      </c>
      <c r="R211" s="114" t="s">
        <v>89</v>
      </c>
      <c r="S211" s="114" t="s">
        <v>118</v>
      </c>
      <c r="T211" s="114" t="s">
        <v>89</v>
      </c>
      <c r="U211" s="114" t="s">
        <v>8901</v>
      </c>
      <c r="V211" s="114" t="s">
        <v>3072</v>
      </c>
      <c r="W211" s="114" t="s">
        <v>8864</v>
      </c>
      <c r="X211" s="114" t="s">
        <v>2701</v>
      </c>
      <c r="Y211" s="114" t="s">
        <v>8857</v>
      </c>
      <c r="Z211" s="114" t="s">
        <v>8858</v>
      </c>
      <c r="AA211" s="114" t="s">
        <v>9145</v>
      </c>
      <c r="AB211" s="114" t="s">
        <v>8867</v>
      </c>
    </row>
    <row r="212" spans="1:28" ht="48" x14ac:dyDescent="0.2">
      <c r="A212" s="133" t="s">
        <v>1253</v>
      </c>
      <c r="B212" s="130"/>
      <c r="C212" s="130" t="s">
        <v>619</v>
      </c>
      <c r="D212" s="130" t="s">
        <v>1254</v>
      </c>
      <c r="E212" s="131">
        <v>34542</v>
      </c>
      <c r="F212" s="131">
        <v>34542</v>
      </c>
      <c r="G212" s="132" t="s">
        <v>1156</v>
      </c>
      <c r="H212" s="132" t="s">
        <v>1255</v>
      </c>
      <c r="I212" s="132" t="s">
        <v>1256</v>
      </c>
      <c r="J212" s="132" t="s">
        <v>1257</v>
      </c>
      <c r="K212" s="440" t="str">
        <f>HYPERLINK("https://okcountyrecords.com/detail/roger+mills/1994-006415","OKCountyRecords: 1994-006415")</f>
        <v>OKCountyRecords: 1994-006415</v>
      </c>
      <c r="L212" s="133" t="s">
        <v>412</v>
      </c>
      <c r="M212" s="133" t="s">
        <v>405</v>
      </c>
      <c r="N212" s="133"/>
      <c r="O212" s="133" t="s">
        <v>422</v>
      </c>
      <c r="P212" s="114" t="s">
        <v>8934</v>
      </c>
      <c r="Q212" s="114" t="s">
        <v>118</v>
      </c>
      <c r="R212" s="114" t="s">
        <v>89</v>
      </c>
      <c r="S212" s="114" t="s">
        <v>118</v>
      </c>
      <c r="T212" s="114" t="s">
        <v>89</v>
      </c>
      <c r="U212" s="114" t="s">
        <v>8935</v>
      </c>
      <c r="V212" s="114" t="s">
        <v>2701</v>
      </c>
      <c r="W212" s="114" t="s">
        <v>8906</v>
      </c>
      <c r="X212" s="114" t="s">
        <v>2701</v>
      </c>
      <c r="Y212" s="114" t="s">
        <v>9033</v>
      </c>
      <c r="Z212" s="114" t="s">
        <v>8858</v>
      </c>
      <c r="AA212" s="114" t="s">
        <v>9146</v>
      </c>
      <c r="AB212" s="114" t="s">
        <v>8879</v>
      </c>
    </row>
    <row r="213" spans="1:28" ht="48" x14ac:dyDescent="0.2">
      <c r="A213" s="133" t="s">
        <v>1258</v>
      </c>
      <c r="B213" s="130"/>
      <c r="C213" s="130" t="s">
        <v>619</v>
      </c>
      <c r="D213" s="130" t="s">
        <v>1259</v>
      </c>
      <c r="E213" s="131">
        <v>34754</v>
      </c>
      <c r="F213" s="131">
        <v>34754</v>
      </c>
      <c r="G213" s="132" t="s">
        <v>1260</v>
      </c>
      <c r="H213" s="132" t="s">
        <v>1261</v>
      </c>
      <c r="I213" s="132" t="s">
        <v>1256</v>
      </c>
      <c r="J213" s="132" t="s">
        <v>63</v>
      </c>
      <c r="K213" s="440" t="str">
        <f>HYPERLINK("https://okcountyrecords.com/detail/roger+mills/1995-003404","OKCountyRecords: 1995-003404")</f>
        <v>OKCountyRecords: 1995-003404</v>
      </c>
      <c r="L213" s="133" t="s">
        <v>412</v>
      </c>
      <c r="M213" s="133" t="s">
        <v>405</v>
      </c>
      <c r="N213" s="133"/>
      <c r="O213" s="133" t="s">
        <v>422</v>
      </c>
      <c r="P213" s="114" t="s">
        <v>8934</v>
      </c>
      <c r="Q213" s="114" t="s">
        <v>118</v>
      </c>
      <c r="R213" s="114" t="s">
        <v>89</v>
      </c>
      <c r="S213" s="114" t="s">
        <v>118</v>
      </c>
      <c r="T213" s="114" t="s">
        <v>89</v>
      </c>
      <c r="U213" s="114" t="s">
        <v>8935</v>
      </c>
      <c r="V213" s="114" t="s">
        <v>2701</v>
      </c>
      <c r="W213" s="114" t="s">
        <v>8864</v>
      </c>
      <c r="X213" s="114" t="s">
        <v>8869</v>
      </c>
      <c r="Y213" s="114" t="s">
        <v>8857</v>
      </c>
      <c r="Z213" s="114" t="s">
        <v>8858</v>
      </c>
      <c r="AA213" s="114" t="s">
        <v>9147</v>
      </c>
      <c r="AB213" s="114" t="s">
        <v>8877</v>
      </c>
    </row>
    <row r="214" spans="1:28" ht="48" x14ac:dyDescent="0.2">
      <c r="A214" s="133" t="s">
        <v>1262</v>
      </c>
      <c r="B214" s="130"/>
      <c r="C214" s="130" t="s">
        <v>533</v>
      </c>
      <c r="D214" s="130" t="s">
        <v>1263</v>
      </c>
      <c r="E214" s="131">
        <v>34778</v>
      </c>
      <c r="F214" s="131">
        <v>34778</v>
      </c>
      <c r="G214" s="132" t="s">
        <v>266</v>
      </c>
      <c r="H214" s="132" t="s">
        <v>1264</v>
      </c>
      <c r="I214" s="132" t="s">
        <v>579</v>
      </c>
      <c r="J214" s="132" t="s">
        <v>994</v>
      </c>
      <c r="K214" s="440" t="str">
        <f>HYPERLINK("https://okcountyrecords.com/detail/roger+mills/1995-003767","OKCountyRecords: 1995-003767")</f>
        <v>OKCountyRecords: 1995-003767</v>
      </c>
      <c r="L214" s="133" t="s">
        <v>412</v>
      </c>
      <c r="M214" s="133" t="s">
        <v>405</v>
      </c>
      <c r="N214" s="133"/>
      <c r="O214" s="133" t="s">
        <v>422</v>
      </c>
      <c r="P214" s="114" t="s">
        <v>8854</v>
      </c>
      <c r="Q214" s="114" t="s">
        <v>118</v>
      </c>
      <c r="R214" s="114" t="s">
        <v>89</v>
      </c>
      <c r="S214" s="114" t="s">
        <v>2701</v>
      </c>
      <c r="T214" s="114" t="s">
        <v>89</v>
      </c>
      <c r="U214" s="114" t="s">
        <v>8901</v>
      </c>
      <c r="V214" s="114" t="s">
        <v>3072</v>
      </c>
      <c r="W214" s="114" t="s">
        <v>9637</v>
      </c>
      <c r="X214" s="114" t="s">
        <v>8873</v>
      </c>
      <c r="Y214" s="114" t="s">
        <v>8857</v>
      </c>
      <c r="Z214" s="114" t="s">
        <v>8858</v>
      </c>
      <c r="AA214" s="114" t="s">
        <v>9148</v>
      </c>
      <c r="AB214" s="114" t="s">
        <v>8867</v>
      </c>
    </row>
    <row r="215" spans="1:28" ht="72" x14ac:dyDescent="0.2">
      <c r="A215" s="133" t="s">
        <v>1265</v>
      </c>
      <c r="B215" s="130"/>
      <c r="C215" s="130" t="s">
        <v>619</v>
      </c>
      <c r="D215" s="130" t="s">
        <v>1266</v>
      </c>
      <c r="E215" s="131">
        <v>34920</v>
      </c>
      <c r="F215" s="131">
        <v>34920</v>
      </c>
      <c r="G215" s="132" t="s">
        <v>1267</v>
      </c>
      <c r="H215" s="132" t="s">
        <v>1188</v>
      </c>
      <c r="I215" s="132" t="s">
        <v>1268</v>
      </c>
      <c r="J215" s="132" t="s">
        <v>1269</v>
      </c>
      <c r="K215" s="440" t="str">
        <f>HYPERLINK("https://okcountyrecords.com/detail/roger+mills/1995-000396","OKCountyRecords: 1995-000396")</f>
        <v>OKCountyRecords: 1995-000396</v>
      </c>
      <c r="L215" s="133" t="s">
        <v>412</v>
      </c>
      <c r="M215" s="133" t="s">
        <v>405</v>
      </c>
      <c r="N215" s="133"/>
      <c r="O215" s="133" t="s">
        <v>422</v>
      </c>
      <c r="P215" s="114" t="s">
        <v>8934</v>
      </c>
      <c r="Q215" s="114" t="s">
        <v>118</v>
      </c>
      <c r="R215" s="114" t="s">
        <v>89</v>
      </c>
      <c r="S215" s="114" t="s">
        <v>118</v>
      </c>
      <c r="T215" s="114" t="s">
        <v>89</v>
      </c>
      <c r="U215" s="114" t="s">
        <v>8862</v>
      </c>
      <c r="V215" s="114" t="s">
        <v>3072</v>
      </c>
      <c r="W215" s="114" t="s">
        <v>8864</v>
      </c>
      <c r="X215" s="114" t="s">
        <v>8865</v>
      </c>
      <c r="Y215" s="114" t="s">
        <v>8857</v>
      </c>
      <c r="Z215" s="114" t="s">
        <v>8858</v>
      </c>
      <c r="AA215" s="114" t="s">
        <v>9149</v>
      </c>
      <c r="AB215" s="114" t="s">
        <v>8867</v>
      </c>
    </row>
    <row r="216" spans="1:28" ht="108" x14ac:dyDescent="0.2">
      <c r="A216" s="133" t="s">
        <v>1270</v>
      </c>
      <c r="B216" s="130"/>
      <c r="C216" s="130" t="s">
        <v>1160</v>
      </c>
      <c r="D216" s="130" t="s">
        <v>1271</v>
      </c>
      <c r="E216" s="131">
        <v>34950</v>
      </c>
      <c r="F216" s="131">
        <v>34950</v>
      </c>
      <c r="G216" s="132" t="s">
        <v>1272</v>
      </c>
      <c r="H216" s="132" t="s">
        <v>1273</v>
      </c>
      <c r="I216" s="132" t="s">
        <v>1274</v>
      </c>
      <c r="J216" s="132" t="s">
        <v>1275</v>
      </c>
      <c r="K216" s="440" t="str">
        <f>HYPERLINK("https://okcountyrecords.com/detail/roger+mills/1995-000748","OKCountyRecords: 1995-000748")</f>
        <v>OKCountyRecords: 1995-000748</v>
      </c>
      <c r="L216" s="133" t="s">
        <v>412</v>
      </c>
      <c r="M216" s="133"/>
      <c r="N216" s="133"/>
      <c r="O216" s="133" t="s">
        <v>422</v>
      </c>
      <c r="P216" s="114" t="s">
        <v>8934</v>
      </c>
      <c r="Q216" s="114" t="s">
        <v>118</v>
      </c>
      <c r="R216" s="114" t="s">
        <v>89</v>
      </c>
      <c r="S216" s="114" t="s">
        <v>118</v>
      </c>
      <c r="T216" s="114" t="s">
        <v>89</v>
      </c>
      <c r="U216" s="114" t="s">
        <v>8975</v>
      </c>
      <c r="V216" s="114" t="s">
        <v>3386</v>
      </c>
      <c r="W216" s="114" t="s">
        <v>8864</v>
      </c>
      <c r="X216" s="114" t="s">
        <v>8856</v>
      </c>
      <c r="Y216" s="114" t="s">
        <v>8857</v>
      </c>
      <c r="Z216" s="114" t="s">
        <v>8858</v>
      </c>
      <c r="AA216" s="114" t="s">
        <v>9150</v>
      </c>
      <c r="AB216" s="114" t="s">
        <v>8867</v>
      </c>
    </row>
    <row r="217" spans="1:28" ht="72" x14ac:dyDescent="0.2">
      <c r="A217" s="133" t="s">
        <v>1276</v>
      </c>
      <c r="B217" s="130"/>
      <c r="C217" s="130" t="s">
        <v>585</v>
      </c>
      <c r="D217" s="130" t="s">
        <v>1277</v>
      </c>
      <c r="E217" s="131">
        <v>35038</v>
      </c>
      <c r="F217" s="131">
        <v>35038</v>
      </c>
      <c r="G217" s="132" t="s">
        <v>1278</v>
      </c>
      <c r="H217" s="132" t="s">
        <v>1279</v>
      </c>
      <c r="I217" s="132" t="s">
        <v>1280</v>
      </c>
      <c r="J217" s="132" t="s">
        <v>1281</v>
      </c>
      <c r="K217" s="440" t="str">
        <f>HYPERLINK("https://okcountyrecords.com/detail/roger+mills/1995-001954","OKCountyRecords: 1995-001954")</f>
        <v>OKCountyRecords: 1995-001954</v>
      </c>
      <c r="L217" s="133" t="s">
        <v>412</v>
      </c>
      <c r="M217" s="133" t="s">
        <v>405</v>
      </c>
      <c r="N217" s="133"/>
      <c r="O217" s="133" t="s">
        <v>422</v>
      </c>
      <c r="P217" s="114" t="s">
        <v>8886</v>
      </c>
      <c r="Q217" s="114" t="s">
        <v>118</v>
      </c>
      <c r="R217" s="114" t="s">
        <v>89</v>
      </c>
      <c r="S217" s="114" t="s">
        <v>118</v>
      </c>
      <c r="T217" s="114" t="s">
        <v>89</v>
      </c>
      <c r="U217" s="114" t="s">
        <v>8862</v>
      </c>
      <c r="V217" s="114" t="s">
        <v>3072</v>
      </c>
      <c r="W217" s="114" t="s">
        <v>8864</v>
      </c>
      <c r="X217" s="114" t="s">
        <v>2701</v>
      </c>
      <c r="Y217" s="114" t="s">
        <v>8857</v>
      </c>
      <c r="Z217" s="114" t="s">
        <v>8858</v>
      </c>
      <c r="AA217" s="114" t="s">
        <v>9151</v>
      </c>
      <c r="AB217" s="114" t="s">
        <v>8867</v>
      </c>
    </row>
    <row r="218" spans="1:28" ht="48" x14ac:dyDescent="0.2">
      <c r="A218" s="133" t="s">
        <v>1282</v>
      </c>
      <c r="B218" s="130"/>
      <c r="C218" s="130" t="s">
        <v>533</v>
      </c>
      <c r="D218" s="130" t="s">
        <v>1283</v>
      </c>
      <c r="E218" s="131">
        <v>35430</v>
      </c>
      <c r="F218" s="131">
        <v>35432</v>
      </c>
      <c r="G218" s="132" t="s">
        <v>1284</v>
      </c>
      <c r="H218" s="132" t="s">
        <v>1285</v>
      </c>
      <c r="I218" s="132" t="s">
        <v>1286</v>
      </c>
      <c r="J218" s="132" t="s">
        <v>63</v>
      </c>
      <c r="K218" s="454" t="str">
        <f>HYPERLINK("https://okcountyrecords.com/detail/roger+mills/1997-006370","OKCountyRecords: 1997-006370")</f>
        <v>OKCountyRecords: 1997-006370</v>
      </c>
      <c r="L218" s="133" t="s">
        <v>412</v>
      </c>
      <c r="M218" s="133" t="s">
        <v>405</v>
      </c>
      <c r="N218" s="133"/>
      <c r="O218" s="133" t="s">
        <v>422</v>
      </c>
      <c r="P218" s="114" t="s">
        <v>8854</v>
      </c>
      <c r="Q218" s="114" t="s">
        <v>118</v>
      </c>
      <c r="R218" s="114" t="s">
        <v>89</v>
      </c>
      <c r="S218" s="114" t="s">
        <v>2701</v>
      </c>
      <c r="T218" s="114" t="s">
        <v>89</v>
      </c>
      <c r="U218" s="114" t="s">
        <v>9152</v>
      </c>
      <c r="V218" s="114" t="s">
        <v>3386</v>
      </c>
      <c r="W218" s="114" t="s">
        <v>8864</v>
      </c>
      <c r="X218" s="114" t="s">
        <v>8869</v>
      </c>
      <c r="Y218" s="114" t="s">
        <v>8857</v>
      </c>
      <c r="Z218" s="114" t="s">
        <v>8858</v>
      </c>
      <c r="AA218" s="114" t="s">
        <v>9153</v>
      </c>
      <c r="AB218" s="114" t="s">
        <v>8867</v>
      </c>
    </row>
    <row r="219" spans="1:28" ht="48" x14ac:dyDescent="0.2">
      <c r="A219" s="133" t="s">
        <v>1288</v>
      </c>
      <c r="B219" s="130"/>
      <c r="C219" s="130" t="s">
        <v>533</v>
      </c>
      <c r="D219" s="130" t="s">
        <v>1289</v>
      </c>
      <c r="E219" s="131">
        <v>35432</v>
      </c>
      <c r="F219" s="131">
        <v>35433</v>
      </c>
      <c r="G219" s="132" t="s">
        <v>1284</v>
      </c>
      <c r="H219" s="132" t="s">
        <v>1285</v>
      </c>
      <c r="I219" s="132" t="s">
        <v>1286</v>
      </c>
      <c r="J219" s="132" t="s">
        <v>63</v>
      </c>
      <c r="K219" s="440" t="str">
        <f>HYPERLINK("https://okcountyrecords.com/detail/roger+mills/1997-005183","OKCountyRecords: 1997-005183")</f>
        <v>OKCountyRecords: 1997-005183</v>
      </c>
      <c r="L219" s="133" t="s">
        <v>412</v>
      </c>
      <c r="M219" s="133" t="s">
        <v>405</v>
      </c>
      <c r="N219" s="133"/>
      <c r="O219" s="133" t="s">
        <v>422</v>
      </c>
      <c r="P219" s="114" t="s">
        <v>8854</v>
      </c>
      <c r="Q219" s="114" t="s">
        <v>118</v>
      </c>
      <c r="R219" s="114" t="s">
        <v>89</v>
      </c>
      <c r="S219" s="114" t="s">
        <v>2701</v>
      </c>
      <c r="T219" s="114" t="s">
        <v>89</v>
      </c>
      <c r="U219" s="114" t="s">
        <v>9152</v>
      </c>
      <c r="V219" s="114" t="s">
        <v>3386</v>
      </c>
      <c r="W219" s="114" t="s">
        <v>8864</v>
      </c>
      <c r="X219" s="114" t="s">
        <v>8869</v>
      </c>
      <c r="Y219" s="114" t="s">
        <v>8857</v>
      </c>
      <c r="Z219" s="114" t="s">
        <v>8858</v>
      </c>
      <c r="AA219" s="114" t="s">
        <v>9154</v>
      </c>
      <c r="AB219" s="114" t="s">
        <v>8867</v>
      </c>
    </row>
    <row r="220" spans="1:28" ht="72" x14ac:dyDescent="0.2">
      <c r="A220" s="133" t="s">
        <v>1290</v>
      </c>
      <c r="B220" s="130"/>
      <c r="C220" s="130" t="s">
        <v>545</v>
      </c>
      <c r="D220" s="130" t="s">
        <v>1291</v>
      </c>
      <c r="E220" s="131">
        <v>35479</v>
      </c>
      <c r="F220" s="131">
        <v>35479</v>
      </c>
      <c r="G220" s="132" t="s">
        <v>1292</v>
      </c>
      <c r="H220" s="132" t="s">
        <v>1293</v>
      </c>
      <c r="I220" s="132" t="s">
        <v>1294</v>
      </c>
      <c r="J220" s="132" t="s">
        <v>8682</v>
      </c>
      <c r="K220" s="440" t="str">
        <f>HYPERLINK("https://okcountyrecords.com/detail/roger+mills/1997-003023","OKCountyRecords: 1997-003023")</f>
        <v>OKCountyRecords: 1997-003023</v>
      </c>
      <c r="L220" s="133" t="s">
        <v>412</v>
      </c>
      <c r="M220" s="133" t="s">
        <v>405</v>
      </c>
      <c r="N220" s="133"/>
      <c r="O220" s="133" t="s">
        <v>422</v>
      </c>
      <c r="P220" s="114" t="s">
        <v>8854</v>
      </c>
      <c r="Q220" s="114" t="s">
        <v>118</v>
      </c>
      <c r="R220" s="114" t="s">
        <v>89</v>
      </c>
      <c r="S220" s="114" t="s">
        <v>2701</v>
      </c>
      <c r="T220" s="114" t="s">
        <v>89</v>
      </c>
      <c r="U220" s="114" t="s">
        <v>8901</v>
      </c>
      <c r="V220" s="114" t="s">
        <v>3072</v>
      </c>
      <c r="W220" s="114" t="s">
        <v>8864</v>
      </c>
      <c r="X220" s="114" t="s">
        <v>8873</v>
      </c>
      <c r="Y220" s="114" t="s">
        <v>8857</v>
      </c>
      <c r="Z220" s="114" t="s">
        <v>8858</v>
      </c>
      <c r="AA220" s="114" t="s">
        <v>9155</v>
      </c>
      <c r="AB220" s="114" t="s">
        <v>8867</v>
      </c>
    </row>
    <row r="221" spans="1:28" ht="108" x14ac:dyDescent="0.2">
      <c r="A221" s="133" t="s">
        <v>1295</v>
      </c>
      <c r="B221" s="130"/>
      <c r="C221" s="130" t="s">
        <v>1239</v>
      </c>
      <c r="D221" s="130" t="s">
        <v>1296</v>
      </c>
      <c r="E221" s="131">
        <v>35549</v>
      </c>
      <c r="F221" s="131">
        <v>35549</v>
      </c>
      <c r="G221" s="132" t="s">
        <v>1297</v>
      </c>
      <c r="H221" s="132" t="s">
        <v>1298</v>
      </c>
      <c r="I221" s="132" t="s">
        <v>1299</v>
      </c>
      <c r="J221" s="132" t="s">
        <v>9568</v>
      </c>
      <c r="K221" s="440" t="str">
        <f>HYPERLINK("https://okcountyrecords.com/detail/roger+mills/1997-004254","OKCountyRecords: 1997-004254")</f>
        <v>OKCountyRecords: 1997-004254</v>
      </c>
      <c r="L221" s="133" t="s">
        <v>8711</v>
      </c>
      <c r="M221" s="133" t="s">
        <v>641</v>
      </c>
      <c r="N221" s="133" t="s">
        <v>8712</v>
      </c>
      <c r="O221" s="133" t="s">
        <v>428</v>
      </c>
      <c r="P221" s="114" t="s">
        <v>8886</v>
      </c>
      <c r="Q221" s="114" t="s">
        <v>118</v>
      </c>
      <c r="R221" s="114" t="s">
        <v>89</v>
      </c>
      <c r="S221" s="114" t="s">
        <v>118</v>
      </c>
      <c r="T221" s="114" t="s">
        <v>89</v>
      </c>
      <c r="U221" s="114" t="s">
        <v>8975</v>
      </c>
      <c r="V221" s="114" t="s">
        <v>3386</v>
      </c>
      <c r="W221" s="114" t="s">
        <v>8864</v>
      </c>
      <c r="X221" s="114" t="s">
        <v>8856</v>
      </c>
      <c r="Y221" s="114" t="s">
        <v>8857</v>
      </c>
      <c r="Z221" s="114" t="s">
        <v>8858</v>
      </c>
      <c r="AA221" s="114" t="s">
        <v>9156</v>
      </c>
      <c r="AB221" s="114" t="s">
        <v>8867</v>
      </c>
    </row>
    <row r="222" spans="1:28" ht="60" x14ac:dyDescent="0.2">
      <c r="A222" s="133" t="s">
        <v>1301</v>
      </c>
      <c r="B222" s="130"/>
      <c r="C222" s="130" t="s">
        <v>1160</v>
      </c>
      <c r="D222" s="130" t="s">
        <v>1302</v>
      </c>
      <c r="E222" s="131">
        <v>36026</v>
      </c>
      <c r="F222" s="131">
        <v>36026</v>
      </c>
      <c r="G222" s="132" t="s">
        <v>1303</v>
      </c>
      <c r="H222" s="132" t="s">
        <v>8591</v>
      </c>
      <c r="I222" s="132" t="s">
        <v>1280</v>
      </c>
      <c r="J222" s="132" t="s">
        <v>63</v>
      </c>
      <c r="K222" s="440" t="str">
        <f>HYPERLINK("https://okcountyrecords.com/detail/roger+mills/1998-000584","OKCountyRecords: 1998-000584")</f>
        <v>OKCountyRecords: 1998-000584</v>
      </c>
      <c r="L222" s="133" t="s">
        <v>412</v>
      </c>
      <c r="M222" s="133" t="s">
        <v>405</v>
      </c>
      <c r="N222" s="133"/>
      <c r="O222" s="133" t="s">
        <v>422</v>
      </c>
      <c r="P222" s="114" t="s">
        <v>8934</v>
      </c>
      <c r="Q222" s="114" t="s">
        <v>118</v>
      </c>
      <c r="R222" s="114" t="s">
        <v>89</v>
      </c>
      <c r="S222" s="114" t="s">
        <v>118</v>
      </c>
      <c r="T222" s="114" t="s">
        <v>89</v>
      </c>
      <c r="U222" s="114" t="s">
        <v>8862</v>
      </c>
      <c r="V222" s="114" t="s">
        <v>3072</v>
      </c>
      <c r="W222" s="114" t="s">
        <v>9638</v>
      </c>
      <c r="X222" s="114" t="s">
        <v>2701</v>
      </c>
      <c r="Y222" s="114" t="s">
        <v>8857</v>
      </c>
      <c r="Z222" s="114" t="s">
        <v>8858</v>
      </c>
      <c r="AA222" s="114" t="s">
        <v>9157</v>
      </c>
      <c r="AB222" s="114" t="s">
        <v>8867</v>
      </c>
    </row>
    <row r="223" spans="1:28" ht="48" x14ac:dyDescent="0.2">
      <c r="A223" s="133" t="s">
        <v>1305</v>
      </c>
      <c r="B223" s="130"/>
      <c r="C223" s="130" t="s">
        <v>1160</v>
      </c>
      <c r="D223" s="130" t="s">
        <v>1306</v>
      </c>
      <c r="E223" s="131">
        <v>36043</v>
      </c>
      <c r="F223" s="131">
        <v>36059</v>
      </c>
      <c r="G223" s="132" t="s">
        <v>285</v>
      </c>
      <c r="H223" s="132" t="s">
        <v>1307</v>
      </c>
      <c r="I223" s="132" t="s">
        <v>1280</v>
      </c>
      <c r="J223" s="132" t="s">
        <v>1308</v>
      </c>
      <c r="K223" s="440" t="str">
        <f>HYPERLINK("https://okcountyrecords.com/detail/roger+mills/1998-000907","OKCountyRecords: 1998-000907")</f>
        <v>OKCountyRecords: 1998-000907</v>
      </c>
      <c r="L223" s="133" t="s">
        <v>412</v>
      </c>
      <c r="M223" s="133" t="s">
        <v>405</v>
      </c>
      <c r="N223" s="133"/>
      <c r="O223" s="133" t="s">
        <v>422</v>
      </c>
      <c r="P223" s="114" t="s">
        <v>8934</v>
      </c>
      <c r="Q223" s="114" t="s">
        <v>118</v>
      </c>
      <c r="R223" s="114" t="s">
        <v>89</v>
      </c>
      <c r="S223" s="114" t="s">
        <v>118</v>
      </c>
      <c r="T223" s="114" t="s">
        <v>89</v>
      </c>
      <c r="U223" s="114" t="s">
        <v>8862</v>
      </c>
      <c r="V223" s="114" t="s">
        <v>3072</v>
      </c>
      <c r="W223" s="114" t="s">
        <v>8864</v>
      </c>
      <c r="X223" s="114" t="s">
        <v>2701</v>
      </c>
      <c r="Y223" s="114" t="s">
        <v>8857</v>
      </c>
      <c r="Z223" s="114" t="s">
        <v>8858</v>
      </c>
      <c r="AA223" s="114" t="s">
        <v>9158</v>
      </c>
      <c r="AB223" s="114" t="s">
        <v>8867</v>
      </c>
    </row>
    <row r="224" spans="1:28" ht="48" x14ac:dyDescent="0.2">
      <c r="A224" s="133" t="s">
        <v>1309</v>
      </c>
      <c r="B224" s="130"/>
      <c r="C224" s="130" t="s">
        <v>619</v>
      </c>
      <c r="D224" s="130" t="s">
        <v>1310</v>
      </c>
      <c r="E224" s="131">
        <v>36175</v>
      </c>
      <c r="F224" s="131">
        <v>36175</v>
      </c>
      <c r="G224" s="132" t="s">
        <v>959</v>
      </c>
      <c r="H224" s="132" t="s">
        <v>357</v>
      </c>
      <c r="I224" s="132" t="s">
        <v>1280</v>
      </c>
      <c r="J224" s="132" t="s">
        <v>1311</v>
      </c>
      <c r="K224" s="440" t="str">
        <f>HYPERLINK("https://okcountyrecords.com/detail/roger+mills/1999-002220","OKCountyRecords: 1999-002220")</f>
        <v>OKCountyRecords: 1999-002220</v>
      </c>
      <c r="L224" s="133" t="s">
        <v>412</v>
      </c>
      <c r="M224" s="133"/>
      <c r="N224" s="133"/>
      <c r="O224" s="133" t="s">
        <v>422</v>
      </c>
      <c r="P224" s="114" t="s">
        <v>8934</v>
      </c>
      <c r="Q224" s="114" t="s">
        <v>118</v>
      </c>
      <c r="R224" s="114" t="s">
        <v>89</v>
      </c>
      <c r="S224" s="114" t="s">
        <v>118</v>
      </c>
      <c r="T224" s="114" t="s">
        <v>89</v>
      </c>
      <c r="U224" s="114" t="s">
        <v>8862</v>
      </c>
      <c r="V224" s="114" t="s">
        <v>3072</v>
      </c>
      <c r="W224" s="114" t="s">
        <v>8906</v>
      </c>
      <c r="X224" s="114" t="s">
        <v>8865</v>
      </c>
      <c r="Y224" s="114" t="s">
        <v>9004</v>
      </c>
      <c r="Z224" s="114" t="s">
        <v>8858</v>
      </c>
      <c r="AA224" s="114" t="s">
        <v>9159</v>
      </c>
    </row>
    <row r="225" spans="1:28" ht="48" x14ac:dyDescent="0.2">
      <c r="A225" s="133" t="s">
        <v>1312</v>
      </c>
      <c r="B225" s="130"/>
      <c r="C225" s="130" t="s">
        <v>619</v>
      </c>
      <c r="D225" s="130" t="s">
        <v>1313</v>
      </c>
      <c r="E225" s="131">
        <v>36175</v>
      </c>
      <c r="F225" s="131">
        <v>36175</v>
      </c>
      <c r="G225" s="132" t="s">
        <v>959</v>
      </c>
      <c r="H225" s="132" t="s">
        <v>357</v>
      </c>
      <c r="I225" s="132" t="s">
        <v>1280</v>
      </c>
      <c r="J225" s="132" t="s">
        <v>1314</v>
      </c>
      <c r="K225" s="440" t="str">
        <f>HYPERLINK("https://okcountyrecords.com/detail/roger+mills/1999-002219","OKCountyRecords: 1999-002219")</f>
        <v>OKCountyRecords: 1999-002219</v>
      </c>
      <c r="L225" s="133" t="s">
        <v>412</v>
      </c>
      <c r="M225" s="133"/>
      <c r="N225" s="133"/>
      <c r="O225" s="133" t="s">
        <v>422</v>
      </c>
      <c r="P225" s="114" t="s">
        <v>8934</v>
      </c>
      <c r="Q225" s="114" t="s">
        <v>118</v>
      </c>
      <c r="R225" s="114" t="s">
        <v>89</v>
      </c>
      <c r="S225" s="114" t="s">
        <v>118</v>
      </c>
      <c r="T225" s="114" t="s">
        <v>89</v>
      </c>
      <c r="U225" s="114" t="s">
        <v>8862</v>
      </c>
      <c r="V225" s="114" t="s">
        <v>3072</v>
      </c>
      <c r="W225" s="114" t="s">
        <v>8906</v>
      </c>
      <c r="X225" s="114" t="s">
        <v>8865</v>
      </c>
      <c r="Y225" s="114" t="s">
        <v>9048</v>
      </c>
      <c r="Z225" s="114" t="s">
        <v>8858</v>
      </c>
      <c r="AA225" s="114" t="s">
        <v>9160</v>
      </c>
    </row>
    <row r="226" spans="1:28" ht="60" x14ac:dyDescent="0.2">
      <c r="A226" s="133" t="s">
        <v>1315</v>
      </c>
      <c r="B226" s="130"/>
      <c r="C226" s="130" t="s">
        <v>1160</v>
      </c>
      <c r="D226" s="130" t="s">
        <v>1316</v>
      </c>
      <c r="E226" s="131">
        <v>36215</v>
      </c>
      <c r="F226" s="131">
        <v>36215</v>
      </c>
      <c r="G226" s="132" t="s">
        <v>1317</v>
      </c>
      <c r="H226" s="132" t="s">
        <v>1318</v>
      </c>
      <c r="I226" s="132" t="s">
        <v>1280</v>
      </c>
      <c r="J226" s="132" t="s">
        <v>63</v>
      </c>
      <c r="K226" s="440" t="str">
        <f>HYPERLINK("https://okcountyrecords.com/detail/roger+mills/1999-002739","OKCountyRecords: 1999-002739")</f>
        <v>OKCountyRecords: 1999-002739</v>
      </c>
      <c r="L226" s="133" t="s">
        <v>412</v>
      </c>
      <c r="M226" s="133" t="s">
        <v>405</v>
      </c>
      <c r="N226" s="133"/>
      <c r="O226" s="133" t="s">
        <v>422</v>
      </c>
      <c r="P226" s="114" t="s">
        <v>8934</v>
      </c>
      <c r="Q226" s="114" t="s">
        <v>118</v>
      </c>
      <c r="R226" s="114" t="s">
        <v>89</v>
      </c>
      <c r="S226" s="114" t="s">
        <v>118</v>
      </c>
      <c r="T226" s="114" t="s">
        <v>89</v>
      </c>
      <c r="U226" s="114" t="s">
        <v>8862</v>
      </c>
      <c r="V226" s="114" t="s">
        <v>3072</v>
      </c>
      <c r="W226" s="114" t="s">
        <v>8864</v>
      </c>
      <c r="X226" s="114" t="s">
        <v>2701</v>
      </c>
      <c r="Y226" s="114" t="s">
        <v>8857</v>
      </c>
      <c r="Z226" s="114" t="s">
        <v>8858</v>
      </c>
      <c r="AA226" s="114" t="s">
        <v>9161</v>
      </c>
      <c r="AB226" s="114" t="s">
        <v>8867</v>
      </c>
    </row>
    <row r="227" spans="1:28" ht="144" x14ac:dyDescent="0.2">
      <c r="A227" s="133" t="s">
        <v>1319</v>
      </c>
      <c r="B227" s="130"/>
      <c r="C227" s="130" t="s">
        <v>1320</v>
      </c>
      <c r="D227" s="130" t="s">
        <v>1321</v>
      </c>
      <c r="E227" s="131">
        <v>36250</v>
      </c>
      <c r="F227" s="131">
        <v>36250</v>
      </c>
      <c r="G227" s="132" t="s">
        <v>374</v>
      </c>
      <c r="H227" s="132" t="s">
        <v>102</v>
      </c>
      <c r="I227" s="132" t="s">
        <v>1322</v>
      </c>
      <c r="J227" s="132" t="s">
        <v>1323</v>
      </c>
      <c r="K227" s="440" t="str">
        <f>HYPERLINK("https://okcountyrecords.com/detail/roger+mills/1999-003117","OKCountyRecords: 1999-003117")</f>
        <v>OKCountyRecords: 1999-003117</v>
      </c>
      <c r="L227" s="133" t="s">
        <v>8713</v>
      </c>
      <c r="M227" s="133" t="s">
        <v>467</v>
      </c>
      <c r="N227" s="133" t="s">
        <v>1324</v>
      </c>
      <c r="O227" s="133" t="s">
        <v>428</v>
      </c>
      <c r="P227" s="114" t="s">
        <v>8886</v>
      </c>
      <c r="Q227" s="114" t="s">
        <v>118</v>
      </c>
      <c r="R227" s="114" t="s">
        <v>89</v>
      </c>
      <c r="S227" s="114" t="s">
        <v>118</v>
      </c>
      <c r="T227" s="114" t="s">
        <v>89</v>
      </c>
      <c r="U227" s="114" t="s">
        <v>8962</v>
      </c>
      <c r="V227" s="114" t="s">
        <v>2701</v>
      </c>
      <c r="W227" s="114" t="s">
        <v>8864</v>
      </c>
      <c r="X227" s="114" t="s">
        <v>8856</v>
      </c>
      <c r="Y227" s="114" t="s">
        <v>8851</v>
      </c>
      <c r="Z227" s="114" t="s">
        <v>2701</v>
      </c>
      <c r="AA227" s="114" t="s">
        <v>9162</v>
      </c>
      <c r="AB227" s="114" t="s">
        <v>9139</v>
      </c>
    </row>
    <row r="228" spans="1:28" ht="228" x14ac:dyDescent="0.2">
      <c r="A228" s="133" t="s">
        <v>1325</v>
      </c>
      <c r="B228" s="130"/>
      <c r="C228" s="130" t="s">
        <v>461</v>
      </c>
      <c r="D228" s="130" t="s">
        <v>1326</v>
      </c>
      <c r="E228" s="131">
        <v>36270</v>
      </c>
      <c r="F228" s="131">
        <v>36270</v>
      </c>
      <c r="G228" s="132" t="s">
        <v>1327</v>
      </c>
      <c r="H228" s="132" t="s">
        <v>1328</v>
      </c>
      <c r="I228" s="132" t="s">
        <v>1280</v>
      </c>
      <c r="J228" s="132" t="s">
        <v>1329</v>
      </c>
      <c r="K228" s="440" t="str">
        <f>HYPERLINK("https://okcountyrecords.com/detail/roger+mills/1999-003362","OKCountyRecords: 1999-003362")</f>
        <v>OKCountyRecords: 1999-003362</v>
      </c>
      <c r="L228" s="133" t="s">
        <v>8711</v>
      </c>
      <c r="M228" s="133" t="s">
        <v>641</v>
      </c>
      <c r="N228" s="133" t="s">
        <v>8712</v>
      </c>
      <c r="O228" s="133" t="s">
        <v>422</v>
      </c>
      <c r="P228" s="114" t="s">
        <v>8886</v>
      </c>
      <c r="Q228" s="114" t="s">
        <v>118</v>
      </c>
      <c r="R228" s="114" t="s">
        <v>89</v>
      </c>
      <c r="S228" s="114" t="s">
        <v>118</v>
      </c>
      <c r="T228" s="114" t="s">
        <v>89</v>
      </c>
      <c r="U228" s="114" t="s">
        <v>8862</v>
      </c>
      <c r="V228" s="114" t="s">
        <v>3072</v>
      </c>
      <c r="W228" s="114" t="s">
        <v>8864</v>
      </c>
      <c r="X228" s="114" t="s">
        <v>2701</v>
      </c>
      <c r="Y228" s="114" t="s">
        <v>8857</v>
      </c>
      <c r="Z228" s="114" t="s">
        <v>8858</v>
      </c>
      <c r="AA228" s="114" t="s">
        <v>9163</v>
      </c>
      <c r="AB228" s="114" t="s">
        <v>8867</v>
      </c>
    </row>
    <row r="229" spans="1:28" ht="216" x14ac:dyDescent="0.2">
      <c r="A229" s="133" t="s">
        <v>1330</v>
      </c>
      <c r="B229" s="130"/>
      <c r="C229" s="130" t="s">
        <v>619</v>
      </c>
      <c r="D229" s="130" t="s">
        <v>1331</v>
      </c>
      <c r="E229" s="131">
        <v>36270</v>
      </c>
      <c r="F229" s="131">
        <v>36270</v>
      </c>
      <c r="G229" s="132" t="s">
        <v>1332</v>
      </c>
      <c r="H229" s="132" t="s">
        <v>1333</v>
      </c>
      <c r="I229" s="132" t="s">
        <v>1280</v>
      </c>
      <c r="J229" s="132" t="s">
        <v>1334</v>
      </c>
      <c r="K229" s="440" t="str">
        <f>HYPERLINK("https://okcountyrecords.com/detail/roger+mills/1999-003363","OKCountyRecords: 1999-003363")</f>
        <v>OKCountyRecords: 1999-003363</v>
      </c>
      <c r="L229" s="133" t="s">
        <v>412</v>
      </c>
      <c r="M229" s="133" t="s">
        <v>405</v>
      </c>
      <c r="N229" s="133"/>
      <c r="O229" s="133" t="s">
        <v>422</v>
      </c>
      <c r="P229" s="114" t="s">
        <v>8934</v>
      </c>
      <c r="Q229" s="114" t="s">
        <v>118</v>
      </c>
      <c r="R229" s="114" t="s">
        <v>89</v>
      </c>
      <c r="S229" s="114" t="s">
        <v>118</v>
      </c>
      <c r="T229" s="114" t="s">
        <v>89</v>
      </c>
      <c r="U229" s="114" t="s">
        <v>8862</v>
      </c>
      <c r="V229" s="114" t="s">
        <v>3072</v>
      </c>
      <c r="W229" s="114" t="s">
        <v>8864</v>
      </c>
      <c r="X229" s="114" t="s">
        <v>2701</v>
      </c>
      <c r="Y229" s="114" t="s">
        <v>9164</v>
      </c>
      <c r="Z229" s="114" t="s">
        <v>8858</v>
      </c>
      <c r="AA229" s="114" t="s">
        <v>9165</v>
      </c>
      <c r="AB229" s="114" t="s">
        <v>8867</v>
      </c>
    </row>
    <row r="230" spans="1:28" ht="216" x14ac:dyDescent="0.2">
      <c r="A230" s="133" t="s">
        <v>1335</v>
      </c>
      <c r="B230" s="130"/>
      <c r="C230" s="130" t="s">
        <v>619</v>
      </c>
      <c r="D230" s="130" t="s">
        <v>1336</v>
      </c>
      <c r="E230" s="131">
        <v>36270</v>
      </c>
      <c r="F230" s="131">
        <v>36270</v>
      </c>
      <c r="G230" s="132" t="s">
        <v>1332</v>
      </c>
      <c r="H230" s="132" t="s">
        <v>1337</v>
      </c>
      <c r="I230" s="132" t="s">
        <v>1280</v>
      </c>
      <c r="J230" s="132" t="s">
        <v>1338</v>
      </c>
      <c r="K230" s="440" t="str">
        <f>HYPERLINK("https://okcountyrecords.com/detail/roger+mills/1999-003365","OKCountyRecords: 1999-003365")</f>
        <v>OKCountyRecords: 1999-003365</v>
      </c>
      <c r="L230" s="133" t="s">
        <v>412</v>
      </c>
      <c r="M230" s="133" t="s">
        <v>405</v>
      </c>
      <c r="N230" s="133"/>
      <c r="O230" s="133" t="s">
        <v>422</v>
      </c>
      <c r="P230" s="114" t="s">
        <v>8934</v>
      </c>
      <c r="Q230" s="114" t="s">
        <v>118</v>
      </c>
      <c r="R230" s="114" t="s">
        <v>89</v>
      </c>
      <c r="S230" s="114" t="s">
        <v>118</v>
      </c>
      <c r="T230" s="114" t="s">
        <v>89</v>
      </c>
      <c r="U230" s="114" t="s">
        <v>8862</v>
      </c>
      <c r="V230" s="114" t="s">
        <v>3072</v>
      </c>
      <c r="W230" s="114" t="s">
        <v>8864</v>
      </c>
      <c r="X230" s="114" t="s">
        <v>2701</v>
      </c>
      <c r="Y230" s="114" t="s">
        <v>9166</v>
      </c>
      <c r="Z230" s="114" t="s">
        <v>8858</v>
      </c>
      <c r="AA230" s="114" t="s">
        <v>9167</v>
      </c>
      <c r="AB230" s="114" t="s">
        <v>8867</v>
      </c>
    </row>
    <row r="231" spans="1:28" ht="216" x14ac:dyDescent="0.2">
      <c r="A231" s="133" t="s">
        <v>1339</v>
      </c>
      <c r="B231" s="130"/>
      <c r="C231" s="130" t="s">
        <v>619</v>
      </c>
      <c r="D231" s="130" t="s">
        <v>1340</v>
      </c>
      <c r="E231" s="131">
        <v>36270</v>
      </c>
      <c r="F231" s="131">
        <v>36270</v>
      </c>
      <c r="G231" s="132" t="s">
        <v>1332</v>
      </c>
      <c r="H231" s="132" t="s">
        <v>248</v>
      </c>
      <c r="I231" s="132" t="s">
        <v>1280</v>
      </c>
      <c r="J231" s="132" t="s">
        <v>1338</v>
      </c>
      <c r="K231" s="440" t="str">
        <f>HYPERLINK("https://okcountyrecords.com/detail/roger+mills/1999-003366","OKCountyRecords: 1999-003366")</f>
        <v>OKCountyRecords: 1999-003366</v>
      </c>
      <c r="L231" s="133" t="s">
        <v>412</v>
      </c>
      <c r="M231" s="133" t="s">
        <v>405</v>
      </c>
      <c r="N231" s="133"/>
      <c r="O231" s="133" t="s">
        <v>422</v>
      </c>
      <c r="P231" s="114" t="s">
        <v>8934</v>
      </c>
      <c r="Q231" s="114" t="s">
        <v>118</v>
      </c>
      <c r="R231" s="114" t="s">
        <v>89</v>
      </c>
      <c r="S231" s="114" t="s">
        <v>118</v>
      </c>
      <c r="T231" s="114" t="s">
        <v>89</v>
      </c>
      <c r="U231" s="114" t="s">
        <v>8862</v>
      </c>
      <c r="V231" s="114" t="s">
        <v>3072</v>
      </c>
      <c r="W231" s="114" t="s">
        <v>8864</v>
      </c>
      <c r="X231" s="114" t="s">
        <v>2701</v>
      </c>
      <c r="Y231" s="114" t="s">
        <v>9166</v>
      </c>
      <c r="Z231" s="114" t="s">
        <v>8858</v>
      </c>
      <c r="AA231" s="114" t="s">
        <v>9168</v>
      </c>
      <c r="AB231" s="114" t="s">
        <v>8867</v>
      </c>
    </row>
    <row r="232" spans="1:28" ht="216" x14ac:dyDescent="0.2">
      <c r="A232" s="133" t="s">
        <v>1341</v>
      </c>
      <c r="B232" s="130"/>
      <c r="C232" s="130" t="s">
        <v>619</v>
      </c>
      <c r="D232" s="130" t="s">
        <v>1342</v>
      </c>
      <c r="E232" s="131">
        <v>36270</v>
      </c>
      <c r="F232" s="131">
        <v>36270</v>
      </c>
      <c r="G232" s="132" t="s">
        <v>1332</v>
      </c>
      <c r="H232" s="132" t="s">
        <v>246</v>
      </c>
      <c r="I232" s="132" t="s">
        <v>1280</v>
      </c>
      <c r="J232" s="132" t="s">
        <v>1343</v>
      </c>
      <c r="K232" s="440" t="str">
        <f>HYPERLINK("https://okcountyrecords.com/detail/roger+mills/1999-003367","OKCountyRecords: 1999-003367")</f>
        <v>OKCountyRecords: 1999-003367</v>
      </c>
      <c r="L232" s="133" t="s">
        <v>412</v>
      </c>
      <c r="M232" s="133" t="s">
        <v>405</v>
      </c>
      <c r="N232" s="133"/>
      <c r="O232" s="133" t="s">
        <v>422</v>
      </c>
      <c r="P232" s="114" t="s">
        <v>8934</v>
      </c>
      <c r="Q232" s="114" t="s">
        <v>118</v>
      </c>
      <c r="R232" s="114" t="s">
        <v>89</v>
      </c>
      <c r="S232" s="114" t="s">
        <v>118</v>
      </c>
      <c r="T232" s="114" t="s">
        <v>89</v>
      </c>
      <c r="U232" s="114" t="s">
        <v>8862</v>
      </c>
      <c r="V232" s="114" t="s">
        <v>3072</v>
      </c>
      <c r="W232" s="114" t="s">
        <v>8864</v>
      </c>
      <c r="X232" s="114" t="s">
        <v>2701</v>
      </c>
      <c r="Y232" s="114" t="s">
        <v>9169</v>
      </c>
      <c r="Z232" s="114" t="s">
        <v>8858</v>
      </c>
      <c r="AA232" s="114" t="s">
        <v>9170</v>
      </c>
      <c r="AB232" s="114" t="s">
        <v>8867</v>
      </c>
    </row>
    <row r="233" spans="1:28" ht="216" x14ac:dyDescent="0.2">
      <c r="A233" s="133" t="s">
        <v>1344</v>
      </c>
      <c r="B233" s="130"/>
      <c r="C233" s="130" t="s">
        <v>619</v>
      </c>
      <c r="D233" s="130" t="s">
        <v>1345</v>
      </c>
      <c r="E233" s="131">
        <v>36270</v>
      </c>
      <c r="F233" s="131">
        <v>36270</v>
      </c>
      <c r="G233" s="132" t="s">
        <v>1332</v>
      </c>
      <c r="H233" s="132" t="s">
        <v>1346</v>
      </c>
      <c r="I233" s="132" t="s">
        <v>1280</v>
      </c>
      <c r="J233" s="132" t="s">
        <v>1347</v>
      </c>
      <c r="K233" s="440" t="str">
        <f>HYPERLINK("https://okcountyrecords.com/detail/roger+mills/1999-003368","OKCountyRecords: 1999-003368")</f>
        <v>OKCountyRecords: 1999-003368</v>
      </c>
      <c r="L233" s="133" t="s">
        <v>412</v>
      </c>
      <c r="M233" s="133" t="s">
        <v>405</v>
      </c>
      <c r="N233" s="133"/>
      <c r="O233" s="133" t="s">
        <v>422</v>
      </c>
      <c r="P233" s="114" t="s">
        <v>8934</v>
      </c>
      <c r="Q233" s="114" t="s">
        <v>118</v>
      </c>
      <c r="R233" s="114" t="s">
        <v>89</v>
      </c>
      <c r="S233" s="114" t="s">
        <v>118</v>
      </c>
      <c r="T233" s="114" t="s">
        <v>89</v>
      </c>
      <c r="U233" s="114" t="s">
        <v>8862</v>
      </c>
      <c r="V233" s="114" t="s">
        <v>3072</v>
      </c>
      <c r="W233" s="114" t="s">
        <v>8864</v>
      </c>
      <c r="X233" s="114" t="s">
        <v>2701</v>
      </c>
      <c r="Y233" s="114" t="s">
        <v>9131</v>
      </c>
      <c r="Z233" s="114" t="s">
        <v>8858</v>
      </c>
      <c r="AA233" s="114" t="s">
        <v>9171</v>
      </c>
      <c r="AB233" s="114" t="s">
        <v>8867</v>
      </c>
    </row>
    <row r="234" spans="1:28" ht="216" x14ac:dyDescent="0.2">
      <c r="A234" s="133" t="s">
        <v>1348</v>
      </c>
      <c r="B234" s="130"/>
      <c r="C234" s="130" t="s">
        <v>619</v>
      </c>
      <c r="D234" s="130" t="s">
        <v>1349</v>
      </c>
      <c r="E234" s="131">
        <v>36270</v>
      </c>
      <c r="F234" s="131">
        <v>36270</v>
      </c>
      <c r="G234" s="132" t="s">
        <v>1332</v>
      </c>
      <c r="H234" s="132" t="s">
        <v>251</v>
      </c>
      <c r="I234" s="132" t="s">
        <v>1280</v>
      </c>
      <c r="J234" s="132" t="s">
        <v>1350</v>
      </c>
      <c r="K234" s="440" t="str">
        <f>HYPERLINK("https://okcountyrecords.com/detail/roger+mills/1999-003364","OKCountyRecords: 1999-003364")</f>
        <v>OKCountyRecords: 1999-003364</v>
      </c>
      <c r="L234" s="133" t="s">
        <v>412</v>
      </c>
      <c r="M234" s="133" t="s">
        <v>405</v>
      </c>
      <c r="N234" s="133"/>
      <c r="O234" s="133" t="s">
        <v>422</v>
      </c>
      <c r="P234" s="114" t="s">
        <v>8934</v>
      </c>
      <c r="Q234" s="114" t="s">
        <v>118</v>
      </c>
      <c r="R234" s="114" t="s">
        <v>89</v>
      </c>
      <c r="S234" s="114" t="s">
        <v>118</v>
      </c>
      <c r="T234" s="114" t="s">
        <v>89</v>
      </c>
      <c r="U234" s="114" t="s">
        <v>8862</v>
      </c>
      <c r="V234" s="114" t="s">
        <v>3072</v>
      </c>
      <c r="W234" s="114" t="s">
        <v>8864</v>
      </c>
      <c r="X234" s="114" t="s">
        <v>2701</v>
      </c>
      <c r="Y234" s="114" t="s">
        <v>9172</v>
      </c>
      <c r="Z234" s="114" t="s">
        <v>8858</v>
      </c>
      <c r="AA234" s="114" t="s">
        <v>9173</v>
      </c>
      <c r="AB234" s="114" t="s">
        <v>8867</v>
      </c>
    </row>
    <row r="235" spans="1:28" ht="48" x14ac:dyDescent="0.2">
      <c r="A235" s="133" t="s">
        <v>1351</v>
      </c>
      <c r="B235" s="130"/>
      <c r="C235" s="130" t="s">
        <v>604</v>
      </c>
      <c r="D235" s="130" t="s">
        <v>1352</v>
      </c>
      <c r="E235" s="131">
        <v>36389</v>
      </c>
      <c r="F235" s="131">
        <v>42642</v>
      </c>
      <c r="G235" s="132" t="s">
        <v>1353</v>
      </c>
      <c r="H235" s="132" t="s">
        <v>102</v>
      </c>
      <c r="I235" s="132" t="s">
        <v>1354</v>
      </c>
      <c r="J235" s="132" t="s">
        <v>1355</v>
      </c>
      <c r="K235" s="440" t="str">
        <f>HYPERLINK("https://okcountyrecords.com/detail/roger+mills/2016-002265","OKCountyRecords: 2016-002265")</f>
        <v>OKCountyRecords: 2016-002265</v>
      </c>
      <c r="L235" s="133" t="s">
        <v>466</v>
      </c>
      <c r="M235" s="133" t="s">
        <v>467</v>
      </c>
      <c r="N235" s="133" t="s">
        <v>504</v>
      </c>
      <c r="O235" s="133" t="s">
        <v>422</v>
      </c>
      <c r="P235" s="114" t="s">
        <v>8886</v>
      </c>
      <c r="Q235" s="114" t="s">
        <v>118</v>
      </c>
      <c r="R235" s="114" t="s">
        <v>89</v>
      </c>
      <c r="S235" s="114" t="s">
        <v>118</v>
      </c>
      <c r="T235" s="114" t="s">
        <v>89</v>
      </c>
      <c r="U235" s="114" t="s">
        <v>9174</v>
      </c>
      <c r="V235" s="114" t="s">
        <v>2701</v>
      </c>
      <c r="W235" s="114" t="s">
        <v>8864</v>
      </c>
      <c r="X235" s="114" t="s">
        <v>8873</v>
      </c>
      <c r="Y235" s="114" t="s">
        <v>8851</v>
      </c>
      <c r="Z235" s="114" t="s">
        <v>2701</v>
      </c>
      <c r="AA235" s="114" t="s">
        <v>9175</v>
      </c>
      <c r="AB235" s="114" t="s">
        <v>9139</v>
      </c>
    </row>
    <row r="236" spans="1:28" ht="60" x14ac:dyDescent="0.2">
      <c r="A236" s="133" t="s">
        <v>1357</v>
      </c>
      <c r="B236" s="130"/>
      <c r="C236" s="130" t="s">
        <v>533</v>
      </c>
      <c r="D236" s="130" t="s">
        <v>1358</v>
      </c>
      <c r="E236" s="131">
        <v>36481</v>
      </c>
      <c r="F236" s="131">
        <v>36481</v>
      </c>
      <c r="G236" s="132" t="s">
        <v>1359</v>
      </c>
      <c r="H236" s="132" t="s">
        <v>1360</v>
      </c>
      <c r="I236" s="132" t="s">
        <v>569</v>
      </c>
      <c r="J236" s="132" t="s">
        <v>63</v>
      </c>
      <c r="K236" s="440" t="str">
        <f>HYPERLINK("https://okcountyrecords.com/detail/roger+mills/1999-005522","OKCountyRecords: 1999-005522")</f>
        <v>OKCountyRecords: 1999-005522</v>
      </c>
      <c r="L236" s="133" t="s">
        <v>8715</v>
      </c>
      <c r="M236" s="133" t="s">
        <v>405</v>
      </c>
      <c r="N236" s="133"/>
      <c r="O236" s="133" t="s">
        <v>422</v>
      </c>
      <c r="P236" s="114" t="s">
        <v>8854</v>
      </c>
      <c r="Q236" s="114" t="s">
        <v>118</v>
      </c>
      <c r="R236" s="114" t="s">
        <v>89</v>
      </c>
      <c r="S236" s="114" t="s">
        <v>2701</v>
      </c>
      <c r="T236" s="114" t="s">
        <v>89</v>
      </c>
      <c r="U236" s="114" t="s">
        <v>8896</v>
      </c>
      <c r="V236" s="114" t="s">
        <v>3386</v>
      </c>
      <c r="W236" s="114" t="s">
        <v>8864</v>
      </c>
      <c r="X236" s="114" t="s">
        <v>2701</v>
      </c>
      <c r="Y236" s="114" t="s">
        <v>8857</v>
      </c>
      <c r="Z236" s="114" t="s">
        <v>8858</v>
      </c>
      <c r="AA236" s="114" t="s">
        <v>9176</v>
      </c>
      <c r="AB236" s="114" t="s">
        <v>8867</v>
      </c>
    </row>
    <row r="237" spans="1:28" ht="108" x14ac:dyDescent="0.2">
      <c r="A237" s="133" t="s">
        <v>1361</v>
      </c>
      <c r="B237" s="130"/>
      <c r="C237" s="130" t="s">
        <v>1362</v>
      </c>
      <c r="D237" s="130" t="s">
        <v>1363</v>
      </c>
      <c r="E237" s="131">
        <v>36511</v>
      </c>
      <c r="F237" s="131">
        <v>36511</v>
      </c>
      <c r="G237" s="132" t="s">
        <v>1364</v>
      </c>
      <c r="H237" s="132" t="s">
        <v>230</v>
      </c>
      <c r="I237" s="132" t="s">
        <v>1365</v>
      </c>
      <c r="J237" s="132" t="s">
        <v>1366</v>
      </c>
      <c r="K237" s="440" t="str">
        <f>HYPERLINK("https://okcountyrecords.com/detail/roger+mills/1999-005936","OKCountyRecords: 1999-005936")</f>
        <v>OKCountyRecords: 1999-005936</v>
      </c>
      <c r="L237" s="133" t="s">
        <v>412</v>
      </c>
      <c r="M237" s="133" t="s">
        <v>405</v>
      </c>
      <c r="N237" s="133"/>
      <c r="O237" s="133" t="s">
        <v>428</v>
      </c>
      <c r="P237" s="114" t="s">
        <v>8886</v>
      </c>
      <c r="Q237" s="114" t="s">
        <v>118</v>
      </c>
      <c r="R237" s="114" t="s">
        <v>89</v>
      </c>
      <c r="S237" s="114" t="s">
        <v>118</v>
      </c>
      <c r="T237" s="114" t="s">
        <v>89</v>
      </c>
      <c r="U237" s="114" t="s">
        <v>8975</v>
      </c>
      <c r="V237" s="114" t="s">
        <v>3386</v>
      </c>
      <c r="W237" s="114" t="s">
        <v>8864</v>
      </c>
      <c r="X237" s="114" t="s">
        <v>8856</v>
      </c>
      <c r="Y237" s="114" t="s">
        <v>8857</v>
      </c>
      <c r="Z237" s="114" t="s">
        <v>8858</v>
      </c>
      <c r="AA237" s="114" t="s">
        <v>9177</v>
      </c>
      <c r="AB237" s="114" t="s">
        <v>8867</v>
      </c>
    </row>
    <row r="238" spans="1:28" ht="72" x14ac:dyDescent="0.2">
      <c r="A238" s="133" t="s">
        <v>1367</v>
      </c>
      <c r="B238" s="130"/>
      <c r="C238" s="130" t="s">
        <v>1368</v>
      </c>
      <c r="D238" s="130" t="s">
        <v>1369</v>
      </c>
      <c r="E238" s="131">
        <v>36572</v>
      </c>
      <c r="F238" s="131">
        <v>36572</v>
      </c>
      <c r="G238" s="132" t="s">
        <v>1370</v>
      </c>
      <c r="H238" s="132" t="s">
        <v>1371</v>
      </c>
      <c r="I238" s="132" t="s">
        <v>222</v>
      </c>
      <c r="J238" s="132" t="s">
        <v>8683</v>
      </c>
      <c r="K238" s="440" t="str">
        <f>HYPERLINK("https://okcountyrecords.com/detail/roger+mills/2000-006764","OKCountyRecords: 2000-006764")</f>
        <v>OKCountyRecords: 2000-006764</v>
      </c>
      <c r="L238" s="133" t="s">
        <v>8711</v>
      </c>
      <c r="M238" s="133" t="s">
        <v>641</v>
      </c>
      <c r="N238" s="133" t="s">
        <v>8712</v>
      </c>
      <c r="O238" s="133" t="s">
        <v>422</v>
      </c>
      <c r="P238" s="114" t="s">
        <v>8886</v>
      </c>
      <c r="Q238" s="114" t="s">
        <v>118</v>
      </c>
      <c r="R238" s="114" t="s">
        <v>89</v>
      </c>
      <c r="S238" s="114" t="s">
        <v>118</v>
      </c>
      <c r="T238" s="114" t="s">
        <v>89</v>
      </c>
      <c r="U238" s="114" t="s">
        <v>8935</v>
      </c>
      <c r="V238" s="114" t="s">
        <v>2701</v>
      </c>
      <c r="W238" s="114" t="s">
        <v>8864</v>
      </c>
      <c r="X238" s="114" t="s">
        <v>8869</v>
      </c>
      <c r="Y238" s="114" t="s">
        <v>8857</v>
      </c>
      <c r="Z238" s="114" t="s">
        <v>8858</v>
      </c>
      <c r="AA238" s="114" t="s">
        <v>9178</v>
      </c>
      <c r="AB238" s="114" t="s">
        <v>8877</v>
      </c>
    </row>
    <row r="239" spans="1:28" ht="48" x14ac:dyDescent="0.2">
      <c r="A239" s="133" t="s">
        <v>1372</v>
      </c>
      <c r="B239" s="130"/>
      <c r="C239" s="130" t="s">
        <v>619</v>
      </c>
      <c r="D239" s="130" t="s">
        <v>1373</v>
      </c>
      <c r="E239" s="131">
        <v>36647</v>
      </c>
      <c r="F239" s="131">
        <v>36647</v>
      </c>
      <c r="G239" s="132" t="s">
        <v>1374</v>
      </c>
      <c r="H239" s="132" t="s">
        <v>1375</v>
      </c>
      <c r="I239" s="132" t="s">
        <v>1256</v>
      </c>
      <c r="J239" s="132" t="s">
        <v>63</v>
      </c>
      <c r="K239" s="440" t="str">
        <f>HYPERLINK("https://okcountyrecords.com/detail/roger+mills/2000-007685","OKCountyRecords: 2000-007685")</f>
        <v>OKCountyRecords: 2000-007685</v>
      </c>
      <c r="L239" s="133" t="s">
        <v>412</v>
      </c>
      <c r="M239" s="133" t="s">
        <v>405</v>
      </c>
      <c r="N239" s="133"/>
      <c r="O239" s="133" t="s">
        <v>422</v>
      </c>
      <c r="P239" s="114" t="s">
        <v>8934</v>
      </c>
      <c r="Q239" s="114" t="s">
        <v>118</v>
      </c>
      <c r="R239" s="114" t="s">
        <v>89</v>
      </c>
      <c r="S239" s="114" t="s">
        <v>118</v>
      </c>
      <c r="T239" s="114" t="s">
        <v>89</v>
      </c>
      <c r="U239" s="114" t="s">
        <v>8935</v>
      </c>
      <c r="V239" s="114" t="s">
        <v>2701</v>
      </c>
      <c r="W239" s="114" t="s">
        <v>8864</v>
      </c>
      <c r="X239" s="114" t="s">
        <v>8869</v>
      </c>
      <c r="Y239" s="114" t="s">
        <v>8857</v>
      </c>
      <c r="Z239" s="114" t="s">
        <v>8858</v>
      </c>
      <c r="AA239" s="114" t="s">
        <v>9179</v>
      </c>
      <c r="AB239" s="114" t="s">
        <v>8877</v>
      </c>
    </row>
    <row r="240" spans="1:28" ht="60" x14ac:dyDescent="0.2">
      <c r="A240" s="133" t="s">
        <v>1376</v>
      </c>
      <c r="B240" s="130"/>
      <c r="C240" s="130" t="s">
        <v>1160</v>
      </c>
      <c r="D240" s="130" t="s">
        <v>1377</v>
      </c>
      <c r="E240" s="131">
        <v>36802</v>
      </c>
      <c r="F240" s="131">
        <v>36815</v>
      </c>
      <c r="G240" s="132" t="s">
        <v>1378</v>
      </c>
      <c r="H240" s="132" t="s">
        <v>1379</v>
      </c>
      <c r="I240" s="132" t="s">
        <v>1280</v>
      </c>
      <c r="J240" s="132" t="s">
        <v>63</v>
      </c>
      <c r="K240" s="440" t="str">
        <f>HYPERLINK("https://okcountyrecords.com/detail/roger+mills/2000-010180","OKCountyRecords: 2000-010180")</f>
        <v>OKCountyRecords: 2000-010180</v>
      </c>
      <c r="L240" s="133" t="s">
        <v>412</v>
      </c>
      <c r="M240" s="133" t="s">
        <v>405</v>
      </c>
      <c r="N240" s="133"/>
      <c r="O240" s="133" t="s">
        <v>422</v>
      </c>
      <c r="P240" s="114" t="s">
        <v>8934</v>
      </c>
      <c r="Q240" s="114" t="s">
        <v>118</v>
      </c>
      <c r="R240" s="114" t="s">
        <v>89</v>
      </c>
      <c r="S240" s="114" t="s">
        <v>118</v>
      </c>
      <c r="T240" s="114" t="s">
        <v>89</v>
      </c>
      <c r="U240" s="114" t="s">
        <v>8862</v>
      </c>
      <c r="V240" s="114" t="s">
        <v>3072</v>
      </c>
      <c r="W240" s="114" t="s">
        <v>9639</v>
      </c>
      <c r="X240" s="114" t="s">
        <v>2701</v>
      </c>
      <c r="Y240" s="114" t="s">
        <v>8857</v>
      </c>
      <c r="Z240" s="114" t="s">
        <v>8858</v>
      </c>
      <c r="AA240" s="114" t="s">
        <v>9180</v>
      </c>
      <c r="AB240" s="114" t="s">
        <v>8867</v>
      </c>
    </row>
    <row r="241" spans="1:28" ht="36" x14ac:dyDescent="0.2">
      <c r="A241" s="133" t="s">
        <v>1380</v>
      </c>
      <c r="B241" s="130"/>
      <c r="C241" s="130" t="s">
        <v>1381</v>
      </c>
      <c r="D241" s="130" t="s">
        <v>1382</v>
      </c>
      <c r="E241" s="131">
        <v>36835</v>
      </c>
      <c r="F241" s="131">
        <v>39133</v>
      </c>
      <c r="G241" s="132" t="s">
        <v>1383</v>
      </c>
      <c r="H241" s="132" t="s">
        <v>299</v>
      </c>
      <c r="I241" s="132" t="s">
        <v>579</v>
      </c>
      <c r="J241" s="132" t="s">
        <v>1384</v>
      </c>
      <c r="K241" s="440" t="str">
        <f>HYPERLINK("https://okcountyrecords.com/detail/roger+mills/2007-000723","OKCountyRecords: 2007-000723")</f>
        <v>OKCountyRecords: 2007-000723</v>
      </c>
      <c r="L241" s="133" t="s">
        <v>412</v>
      </c>
      <c r="M241" s="133"/>
      <c r="N241" s="133"/>
      <c r="O241" s="133" t="s">
        <v>422</v>
      </c>
      <c r="P241" s="114" t="s">
        <v>8886</v>
      </c>
      <c r="Q241" s="114" t="s">
        <v>118</v>
      </c>
      <c r="R241" s="114" t="s">
        <v>89</v>
      </c>
      <c r="S241" s="114" t="s">
        <v>118</v>
      </c>
      <c r="T241" s="114" t="s">
        <v>89</v>
      </c>
      <c r="U241" s="114" t="s">
        <v>8901</v>
      </c>
      <c r="V241" s="114" t="s">
        <v>3072</v>
      </c>
      <c r="W241" s="114" t="s">
        <v>8864</v>
      </c>
      <c r="X241" s="114" t="s">
        <v>8873</v>
      </c>
      <c r="Y241" s="114" t="s">
        <v>8899</v>
      </c>
      <c r="Z241" s="114" t="s">
        <v>8858</v>
      </c>
      <c r="AA241" s="114" t="s">
        <v>9181</v>
      </c>
      <c r="AB241" s="114" t="s">
        <v>8867</v>
      </c>
    </row>
    <row r="242" spans="1:28" ht="48" x14ac:dyDescent="0.2">
      <c r="A242" s="133" t="s">
        <v>1385</v>
      </c>
      <c r="B242" s="130"/>
      <c r="C242" s="130" t="s">
        <v>1381</v>
      </c>
      <c r="D242" s="130" t="s">
        <v>1386</v>
      </c>
      <c r="E242" s="131">
        <v>36877</v>
      </c>
      <c r="F242" s="131">
        <v>36935</v>
      </c>
      <c r="G242" s="132" t="s">
        <v>1387</v>
      </c>
      <c r="H242" s="132" t="s">
        <v>1388</v>
      </c>
      <c r="I242" s="132" t="s">
        <v>1286</v>
      </c>
      <c r="J242" s="132" t="s">
        <v>63</v>
      </c>
      <c r="K242" s="440" t="str">
        <f>HYPERLINK("https://okcountyrecords.com/detail/roger+mills/2001-000618","OKCountyRecords: 2001-000618")</f>
        <v>OKCountyRecords: 2001-000618</v>
      </c>
      <c r="L242" s="133" t="s">
        <v>8708</v>
      </c>
      <c r="M242" s="133" t="s">
        <v>405</v>
      </c>
      <c r="N242" s="133"/>
      <c r="O242" s="133" t="s">
        <v>422</v>
      </c>
      <c r="P242" s="114" t="s">
        <v>8886</v>
      </c>
      <c r="Q242" s="114" t="s">
        <v>118</v>
      </c>
      <c r="R242" s="114" t="s">
        <v>89</v>
      </c>
      <c r="S242" s="114" t="s">
        <v>118</v>
      </c>
      <c r="T242" s="114" t="s">
        <v>89</v>
      </c>
      <c r="U242" s="114" t="s">
        <v>9152</v>
      </c>
      <c r="V242" s="114" t="s">
        <v>3386</v>
      </c>
      <c r="W242" s="114" t="s">
        <v>8864</v>
      </c>
      <c r="X242" s="114" t="s">
        <v>2701</v>
      </c>
      <c r="Y242" s="114" t="s">
        <v>8851</v>
      </c>
      <c r="Z242" s="114" t="s">
        <v>2701</v>
      </c>
      <c r="AA242" s="114" t="s">
        <v>9182</v>
      </c>
      <c r="AB242" s="114" t="s">
        <v>8888</v>
      </c>
    </row>
    <row r="243" spans="1:28" ht="84" x14ac:dyDescent="0.2">
      <c r="A243" s="133" t="s">
        <v>1389</v>
      </c>
      <c r="B243" s="130"/>
      <c r="C243" s="130" t="s">
        <v>533</v>
      </c>
      <c r="D243" s="130" t="s">
        <v>1390</v>
      </c>
      <c r="E243" s="131">
        <v>36881</v>
      </c>
      <c r="F243" s="131">
        <v>36935</v>
      </c>
      <c r="G243" s="132" t="s">
        <v>1391</v>
      </c>
      <c r="H243" s="132" t="s">
        <v>1392</v>
      </c>
      <c r="I243" s="132" t="s">
        <v>1393</v>
      </c>
      <c r="J243" s="132" t="s">
        <v>8592</v>
      </c>
      <c r="K243" s="440" t="str">
        <f>HYPERLINK("https://okcountyrecords.com/detail/roger+mills/2001-000619","OKCountyRecords: 2001-000619")</f>
        <v>OKCountyRecords: 2001-000619</v>
      </c>
      <c r="L243" s="133" t="s">
        <v>412</v>
      </c>
      <c r="M243" s="133"/>
      <c r="N243" s="133"/>
      <c r="O243" s="133" t="s">
        <v>422</v>
      </c>
      <c r="P243" s="114" t="s">
        <v>8854</v>
      </c>
      <c r="Q243" s="114" t="s">
        <v>118</v>
      </c>
      <c r="R243" s="114" t="s">
        <v>89</v>
      </c>
      <c r="S243" s="114" t="s">
        <v>2701</v>
      </c>
      <c r="T243" s="114" t="s">
        <v>89</v>
      </c>
      <c r="U243" s="114" t="s">
        <v>9152</v>
      </c>
      <c r="V243" s="114" t="s">
        <v>3386</v>
      </c>
      <c r="W243" s="114" t="s">
        <v>8864</v>
      </c>
      <c r="X243" s="114" t="s">
        <v>8869</v>
      </c>
      <c r="Y243" s="114" t="s">
        <v>8857</v>
      </c>
      <c r="Z243" s="114" t="s">
        <v>8858</v>
      </c>
      <c r="AA243" s="114" t="s">
        <v>9183</v>
      </c>
      <c r="AB243" s="114" t="s">
        <v>8867</v>
      </c>
    </row>
    <row r="244" spans="1:28" ht="72" x14ac:dyDescent="0.2">
      <c r="A244" s="133" t="s">
        <v>1394</v>
      </c>
      <c r="B244" s="130"/>
      <c r="C244" s="130" t="s">
        <v>619</v>
      </c>
      <c r="D244" s="130" t="s">
        <v>1395</v>
      </c>
      <c r="E244" s="131">
        <v>36896</v>
      </c>
      <c r="F244" s="131">
        <v>36899</v>
      </c>
      <c r="G244" s="132" t="s">
        <v>1396</v>
      </c>
      <c r="H244" s="132" t="s">
        <v>1397</v>
      </c>
      <c r="I244" s="132" t="s">
        <v>1280</v>
      </c>
      <c r="J244" s="132" t="s">
        <v>63</v>
      </c>
      <c r="K244" s="440" t="str">
        <f>HYPERLINK("https://okcountyrecords.com/detail/roger+mills/2001-000103","OKCountyRecords: 2001-000103")</f>
        <v>OKCountyRecords: 2001-000103</v>
      </c>
      <c r="L244" s="133" t="s">
        <v>412</v>
      </c>
      <c r="M244" s="133" t="s">
        <v>405</v>
      </c>
      <c r="N244" s="133"/>
      <c r="O244" s="133" t="s">
        <v>422</v>
      </c>
      <c r="P244" s="114" t="s">
        <v>8934</v>
      </c>
      <c r="Q244" s="114" t="s">
        <v>118</v>
      </c>
      <c r="R244" s="114" t="s">
        <v>89</v>
      </c>
      <c r="S244" s="114" t="s">
        <v>118</v>
      </c>
      <c r="T244" s="114" t="s">
        <v>89</v>
      </c>
      <c r="U244" s="114" t="s">
        <v>8862</v>
      </c>
      <c r="V244" s="114" t="s">
        <v>3072</v>
      </c>
      <c r="W244" s="114" t="s">
        <v>8906</v>
      </c>
      <c r="X244" s="114" t="s">
        <v>8865</v>
      </c>
      <c r="Y244" s="114" t="s">
        <v>8857</v>
      </c>
      <c r="Z244" s="114" t="s">
        <v>8858</v>
      </c>
      <c r="AA244" s="114" t="s">
        <v>9184</v>
      </c>
    </row>
    <row r="245" spans="1:28" ht="48" x14ac:dyDescent="0.2">
      <c r="A245" s="133" t="s">
        <v>1398</v>
      </c>
      <c r="B245" s="130"/>
      <c r="C245" s="130" t="s">
        <v>619</v>
      </c>
      <c r="D245" s="130" t="s">
        <v>1399</v>
      </c>
      <c r="E245" s="131">
        <v>36921</v>
      </c>
      <c r="F245" s="131">
        <v>36956</v>
      </c>
      <c r="G245" s="132" t="s">
        <v>731</v>
      </c>
      <c r="H245" s="132" t="s">
        <v>1400</v>
      </c>
      <c r="I245" s="132" t="s">
        <v>215</v>
      </c>
      <c r="J245" s="132" t="s">
        <v>1401</v>
      </c>
      <c r="K245" s="440" t="str">
        <f>HYPERLINK("https://okcountyrecords.com/detail/roger+mills/2001-000921","OKCountyRecords: 2001-000921")</f>
        <v>OKCountyRecords: 2001-000921</v>
      </c>
      <c r="L245" s="133" t="s">
        <v>412</v>
      </c>
      <c r="M245" s="133" t="s">
        <v>405</v>
      </c>
      <c r="N245" s="133"/>
      <c r="O245" s="133" t="s">
        <v>428</v>
      </c>
      <c r="P245" s="114" t="s">
        <v>8934</v>
      </c>
      <c r="Q245" s="114" t="s">
        <v>118</v>
      </c>
      <c r="R245" s="114" t="s">
        <v>89</v>
      </c>
      <c r="S245" s="114" t="s">
        <v>118</v>
      </c>
      <c r="T245" s="114" t="s">
        <v>89</v>
      </c>
      <c r="U245" s="114" t="s">
        <v>8862</v>
      </c>
      <c r="V245" s="114" t="s">
        <v>3072</v>
      </c>
      <c r="W245" s="114" t="s">
        <v>8906</v>
      </c>
      <c r="X245" s="114" t="s">
        <v>2701</v>
      </c>
      <c r="Y245" s="114" t="s">
        <v>9088</v>
      </c>
      <c r="Z245" s="114" t="s">
        <v>8858</v>
      </c>
      <c r="AA245" s="114" t="s">
        <v>9185</v>
      </c>
    </row>
    <row r="246" spans="1:28" ht="48" x14ac:dyDescent="0.2">
      <c r="A246" s="133" t="s">
        <v>1402</v>
      </c>
      <c r="B246" s="130"/>
      <c r="C246" s="130" t="s">
        <v>619</v>
      </c>
      <c r="D246" s="130" t="s">
        <v>1403</v>
      </c>
      <c r="E246" s="131">
        <v>36921</v>
      </c>
      <c r="F246" s="131">
        <v>36956</v>
      </c>
      <c r="G246" s="132" t="s">
        <v>1404</v>
      </c>
      <c r="H246" s="132" t="s">
        <v>1400</v>
      </c>
      <c r="I246" s="132" t="s">
        <v>1280</v>
      </c>
      <c r="J246" s="132" t="s">
        <v>63</v>
      </c>
      <c r="K246" s="440" t="str">
        <f>HYPERLINK("https://okcountyrecords.com/detail/roger+mills/2001-000926","OKCountyRecords: 2001-000926")</f>
        <v>OKCountyRecords: 2001-000926</v>
      </c>
      <c r="L246" s="133" t="s">
        <v>412</v>
      </c>
      <c r="M246" s="133" t="s">
        <v>405</v>
      </c>
      <c r="N246" s="133"/>
      <c r="O246" s="133" t="s">
        <v>422</v>
      </c>
      <c r="P246" s="114" t="s">
        <v>8934</v>
      </c>
      <c r="Q246" s="114" t="s">
        <v>118</v>
      </c>
      <c r="R246" s="114" t="s">
        <v>89</v>
      </c>
      <c r="S246" s="114" t="s">
        <v>118</v>
      </c>
      <c r="T246" s="114" t="s">
        <v>89</v>
      </c>
      <c r="U246" s="114" t="s">
        <v>8862</v>
      </c>
      <c r="V246" s="114" t="s">
        <v>3072</v>
      </c>
      <c r="W246" s="114" t="s">
        <v>9640</v>
      </c>
      <c r="X246" s="114" t="s">
        <v>2701</v>
      </c>
      <c r="Y246" s="114" t="s">
        <v>8857</v>
      </c>
      <c r="Z246" s="114" t="s">
        <v>8858</v>
      </c>
      <c r="AA246" s="114" t="s">
        <v>9186</v>
      </c>
      <c r="AB246" s="114" t="s">
        <v>8867</v>
      </c>
    </row>
    <row r="247" spans="1:28" ht="48" x14ac:dyDescent="0.2">
      <c r="A247" s="133" t="s">
        <v>1405</v>
      </c>
      <c r="B247" s="130"/>
      <c r="C247" s="130" t="s">
        <v>619</v>
      </c>
      <c r="D247" s="130" t="s">
        <v>1406</v>
      </c>
      <c r="E247" s="131">
        <v>36921</v>
      </c>
      <c r="F247" s="131">
        <v>36956</v>
      </c>
      <c r="G247" s="132" t="s">
        <v>1407</v>
      </c>
      <c r="H247" s="132" t="s">
        <v>1400</v>
      </c>
      <c r="I247" s="132" t="s">
        <v>215</v>
      </c>
      <c r="J247" s="132" t="s">
        <v>1408</v>
      </c>
      <c r="K247" s="440" t="str">
        <f>HYPERLINK("https://okcountyrecords.com/detail/roger+mills/2001-000927","OKCountyRecords: 2001-000927")</f>
        <v>OKCountyRecords: 2001-000927</v>
      </c>
      <c r="L247" s="133" t="s">
        <v>412</v>
      </c>
      <c r="M247" s="133" t="s">
        <v>405</v>
      </c>
      <c r="N247" s="133" t="s">
        <v>1003</v>
      </c>
      <c r="O247" s="133" t="s">
        <v>428</v>
      </c>
      <c r="P247" s="114" t="s">
        <v>8934</v>
      </c>
      <c r="Q247" s="114" t="s">
        <v>118</v>
      </c>
      <c r="R247" s="114" t="s">
        <v>89</v>
      </c>
      <c r="S247" s="114" t="s">
        <v>118</v>
      </c>
      <c r="T247" s="114" t="s">
        <v>89</v>
      </c>
      <c r="U247" s="114" t="s">
        <v>8862</v>
      </c>
      <c r="V247" s="114" t="s">
        <v>3072</v>
      </c>
      <c r="W247" s="114" t="s">
        <v>9641</v>
      </c>
      <c r="X247" s="114" t="s">
        <v>2701</v>
      </c>
      <c r="Y247" s="114" t="s">
        <v>9060</v>
      </c>
      <c r="Z247" s="114" t="s">
        <v>8858</v>
      </c>
      <c r="AA247" s="114" t="s">
        <v>9187</v>
      </c>
      <c r="AB247" s="114" t="s">
        <v>8867</v>
      </c>
    </row>
    <row r="248" spans="1:28" ht="48" x14ac:dyDescent="0.2">
      <c r="A248" s="133" t="s">
        <v>1409</v>
      </c>
      <c r="B248" s="130"/>
      <c r="C248" s="130" t="s">
        <v>619</v>
      </c>
      <c r="D248" s="130" t="s">
        <v>1410</v>
      </c>
      <c r="E248" s="131">
        <v>36922</v>
      </c>
      <c r="F248" s="131">
        <v>36957</v>
      </c>
      <c r="G248" s="132" t="s">
        <v>1370</v>
      </c>
      <c r="H248" s="132" t="s">
        <v>114</v>
      </c>
      <c r="I248" s="132" t="s">
        <v>1256</v>
      </c>
      <c r="J248" s="132" t="s">
        <v>63</v>
      </c>
      <c r="K248" s="440" t="str">
        <f>HYPERLINK("https://okcountyrecords.com/detail/roger+mills/2001-000957","OKCountyRecords: 2001-000957")</f>
        <v>OKCountyRecords: 2001-000957</v>
      </c>
      <c r="L248" s="133" t="s">
        <v>412</v>
      </c>
      <c r="M248" s="133" t="s">
        <v>405</v>
      </c>
      <c r="N248" s="133"/>
      <c r="O248" s="133" t="s">
        <v>422</v>
      </c>
      <c r="P248" s="114" t="s">
        <v>8934</v>
      </c>
      <c r="Q248" s="114" t="s">
        <v>118</v>
      </c>
      <c r="R248" s="114" t="s">
        <v>89</v>
      </c>
      <c r="S248" s="114" t="s">
        <v>118</v>
      </c>
      <c r="T248" s="114" t="s">
        <v>89</v>
      </c>
      <c r="U248" s="114" t="s">
        <v>8935</v>
      </c>
      <c r="V248" s="114" t="s">
        <v>2701</v>
      </c>
      <c r="W248" s="114" t="s">
        <v>8864</v>
      </c>
      <c r="X248" s="114" t="s">
        <v>8869</v>
      </c>
      <c r="Y248" s="114" t="s">
        <v>8857</v>
      </c>
      <c r="Z248" s="114" t="s">
        <v>8858</v>
      </c>
      <c r="AA248" s="114" t="s">
        <v>9188</v>
      </c>
      <c r="AB248" s="114" t="s">
        <v>8877</v>
      </c>
    </row>
    <row r="249" spans="1:28" ht="48" x14ac:dyDescent="0.2">
      <c r="A249" s="133" t="s">
        <v>1411</v>
      </c>
      <c r="B249" s="130"/>
      <c r="C249" s="130" t="s">
        <v>461</v>
      </c>
      <c r="D249" s="130" t="s">
        <v>1412</v>
      </c>
      <c r="E249" s="131">
        <v>36949</v>
      </c>
      <c r="F249" s="131">
        <v>36969</v>
      </c>
      <c r="G249" s="132" t="s">
        <v>1413</v>
      </c>
      <c r="H249" s="132" t="s">
        <v>102</v>
      </c>
      <c r="I249" s="132" t="s">
        <v>1414</v>
      </c>
      <c r="J249" s="132" t="s">
        <v>1415</v>
      </c>
      <c r="K249" s="440" t="str">
        <f>HYPERLINK("https://okcountyrecords.com/detail/roger+mills/2001-001091","OKCountyRecords: 2001-001091")</f>
        <v>OKCountyRecords: 2001-001091</v>
      </c>
      <c r="L249" s="133" t="s">
        <v>466</v>
      </c>
      <c r="M249" s="133" t="s">
        <v>467</v>
      </c>
      <c r="N249" s="133" t="s">
        <v>504</v>
      </c>
      <c r="O249" s="133" t="s">
        <v>422</v>
      </c>
      <c r="P249" s="114" t="s">
        <v>8886</v>
      </c>
      <c r="Q249" s="114" t="s">
        <v>118</v>
      </c>
      <c r="R249" s="114" t="s">
        <v>89</v>
      </c>
      <c r="S249" s="114" t="s">
        <v>118</v>
      </c>
      <c r="T249" s="114" t="s">
        <v>89</v>
      </c>
      <c r="U249" s="114" t="s">
        <v>8881</v>
      </c>
      <c r="V249" s="114" t="s">
        <v>3072</v>
      </c>
      <c r="W249" s="114" t="s">
        <v>8864</v>
      </c>
      <c r="X249" s="114" t="s">
        <v>2701</v>
      </c>
      <c r="Y249" s="114" t="s">
        <v>8851</v>
      </c>
      <c r="Z249" s="114" t="s">
        <v>2701</v>
      </c>
      <c r="AA249" s="114" t="s">
        <v>9189</v>
      </c>
      <c r="AB249" s="114" t="s">
        <v>8888</v>
      </c>
    </row>
    <row r="250" spans="1:28" ht="84" x14ac:dyDescent="0.2">
      <c r="A250" s="133" t="s">
        <v>1416</v>
      </c>
      <c r="B250" s="130"/>
      <c r="C250" s="130" t="s">
        <v>533</v>
      </c>
      <c r="D250" s="130" t="s">
        <v>1417</v>
      </c>
      <c r="E250" s="131">
        <v>36955</v>
      </c>
      <c r="F250" s="131">
        <v>36969</v>
      </c>
      <c r="G250" s="132" t="s">
        <v>1418</v>
      </c>
      <c r="H250" s="132" t="s">
        <v>1419</v>
      </c>
      <c r="I250" s="132" t="s">
        <v>1393</v>
      </c>
      <c r="J250" s="132" t="s">
        <v>63</v>
      </c>
      <c r="K250" s="440" t="str">
        <f>HYPERLINK("https://okcountyrecords.com/detail/roger+mills/2001-001092","OKCountyRecords: 2001-001092")</f>
        <v>OKCountyRecords: 2001-001092</v>
      </c>
      <c r="L250" s="133" t="s">
        <v>412</v>
      </c>
      <c r="M250" s="133" t="s">
        <v>405</v>
      </c>
      <c r="N250" s="133"/>
      <c r="O250" s="133" t="s">
        <v>422</v>
      </c>
      <c r="P250" s="114" t="s">
        <v>8854</v>
      </c>
      <c r="Q250" s="114" t="s">
        <v>118</v>
      </c>
      <c r="R250" s="114" t="s">
        <v>89</v>
      </c>
      <c r="S250" s="114" t="s">
        <v>2701</v>
      </c>
      <c r="T250" s="114" t="s">
        <v>89</v>
      </c>
      <c r="U250" s="114" t="s">
        <v>9152</v>
      </c>
      <c r="V250" s="114" t="s">
        <v>3386</v>
      </c>
      <c r="W250" s="114" t="s">
        <v>8906</v>
      </c>
      <c r="X250" s="114" t="s">
        <v>8869</v>
      </c>
      <c r="Y250" s="114" t="s">
        <v>8857</v>
      </c>
      <c r="Z250" s="114" t="s">
        <v>8858</v>
      </c>
      <c r="AA250" s="114" t="s">
        <v>9190</v>
      </c>
    </row>
    <row r="251" spans="1:28" ht="108" x14ac:dyDescent="0.2">
      <c r="A251" s="133" t="s">
        <v>1420</v>
      </c>
      <c r="B251" s="130"/>
      <c r="C251" s="130" t="s">
        <v>619</v>
      </c>
      <c r="D251" s="130" t="s">
        <v>1421</v>
      </c>
      <c r="E251" s="131">
        <v>36957</v>
      </c>
      <c r="F251" s="131">
        <v>36987</v>
      </c>
      <c r="G251" s="132" t="s">
        <v>1422</v>
      </c>
      <c r="H251" s="132" t="s">
        <v>114</v>
      </c>
      <c r="I251" s="132" t="s">
        <v>222</v>
      </c>
      <c r="J251" s="132" t="s">
        <v>8684</v>
      </c>
      <c r="K251" s="440" t="str">
        <f>HYPERLINK("https://okcountyrecords.com/detail/roger+mills/2001-001414","OKCountyRecords: 2001-001414")</f>
        <v>OKCountyRecords: 2001-001414</v>
      </c>
      <c r="L251" s="133" t="s">
        <v>412</v>
      </c>
      <c r="M251" s="133" t="s">
        <v>405</v>
      </c>
      <c r="N251" s="133"/>
      <c r="O251" s="133" t="s">
        <v>428</v>
      </c>
      <c r="P251" s="114" t="s">
        <v>8934</v>
      </c>
      <c r="Q251" s="114" t="s">
        <v>118</v>
      </c>
      <c r="R251" s="114" t="s">
        <v>89</v>
      </c>
      <c r="S251" s="114" t="s">
        <v>118</v>
      </c>
      <c r="T251" s="114" t="s">
        <v>89</v>
      </c>
      <c r="U251" s="114" t="s">
        <v>8935</v>
      </c>
      <c r="V251" s="114" t="s">
        <v>2701</v>
      </c>
      <c r="W251" s="114" t="s">
        <v>8864</v>
      </c>
      <c r="X251" s="114" t="s">
        <v>8869</v>
      </c>
      <c r="Y251" s="114" t="s">
        <v>8857</v>
      </c>
      <c r="Z251" s="114" t="s">
        <v>8858</v>
      </c>
      <c r="AA251" s="114" t="s">
        <v>9191</v>
      </c>
      <c r="AB251" s="114" t="s">
        <v>8877</v>
      </c>
    </row>
    <row r="252" spans="1:28" ht="60" x14ac:dyDescent="0.2">
      <c r="A252" s="133" t="s">
        <v>1423</v>
      </c>
      <c r="B252" s="130"/>
      <c r="C252" s="130" t="s">
        <v>619</v>
      </c>
      <c r="D252" s="130" t="s">
        <v>1424</v>
      </c>
      <c r="E252" s="131">
        <v>36963</v>
      </c>
      <c r="F252" s="131">
        <v>36991</v>
      </c>
      <c r="G252" s="132" t="s">
        <v>1425</v>
      </c>
      <c r="H252" s="132" t="s">
        <v>114</v>
      </c>
      <c r="I252" s="132" t="s">
        <v>1256</v>
      </c>
      <c r="J252" s="132" t="s">
        <v>63</v>
      </c>
      <c r="K252" s="440" t="str">
        <f>HYPERLINK("https://okcountyrecords.com/detail/roger+mills/2001-001463","OKCountyRecords: 2001-001463")</f>
        <v>OKCountyRecords: 2001-001463</v>
      </c>
      <c r="L252" s="133" t="s">
        <v>412</v>
      </c>
      <c r="M252" s="133" t="s">
        <v>405</v>
      </c>
      <c r="N252" s="133"/>
      <c r="O252" s="133" t="s">
        <v>422</v>
      </c>
      <c r="P252" s="114" t="s">
        <v>8934</v>
      </c>
      <c r="Q252" s="114" t="s">
        <v>118</v>
      </c>
      <c r="R252" s="114" t="s">
        <v>89</v>
      </c>
      <c r="S252" s="114" t="s">
        <v>118</v>
      </c>
      <c r="T252" s="114" t="s">
        <v>89</v>
      </c>
      <c r="U252" s="114" t="s">
        <v>8935</v>
      </c>
      <c r="V252" s="114" t="s">
        <v>2701</v>
      </c>
      <c r="W252" s="114" t="s">
        <v>9642</v>
      </c>
      <c r="X252" s="114" t="s">
        <v>8869</v>
      </c>
      <c r="Y252" s="114" t="s">
        <v>8857</v>
      </c>
      <c r="Z252" s="114" t="s">
        <v>8858</v>
      </c>
      <c r="AA252" s="114" t="s">
        <v>9192</v>
      </c>
      <c r="AB252" s="114" t="s">
        <v>8877</v>
      </c>
    </row>
    <row r="253" spans="1:28" ht="36" x14ac:dyDescent="0.2">
      <c r="A253" s="133" t="s">
        <v>1426</v>
      </c>
      <c r="B253" s="130"/>
      <c r="C253" s="130" t="s">
        <v>1362</v>
      </c>
      <c r="D253" s="130" t="s">
        <v>1427</v>
      </c>
      <c r="E253" s="131">
        <v>37014</v>
      </c>
      <c r="F253" s="131">
        <v>37034</v>
      </c>
      <c r="G253" s="132" t="s">
        <v>1428</v>
      </c>
      <c r="H253" s="132" t="s">
        <v>1370</v>
      </c>
      <c r="I253" s="132" t="s">
        <v>1256</v>
      </c>
      <c r="J253" s="132" t="s">
        <v>1429</v>
      </c>
      <c r="K253" s="440" t="str">
        <f>HYPERLINK("https://okcountyrecords.com/detail/roger+mills/2001-002342","OKCountyRecords: 2001-002342")</f>
        <v>OKCountyRecords: 2001-002342</v>
      </c>
      <c r="L253" s="133" t="s">
        <v>412</v>
      </c>
      <c r="M253" s="133"/>
      <c r="N253" s="133"/>
      <c r="O253" s="133" t="s">
        <v>422</v>
      </c>
      <c r="P253" s="114" t="s">
        <v>8886</v>
      </c>
      <c r="Q253" s="114" t="s">
        <v>118</v>
      </c>
      <c r="R253" s="114" t="s">
        <v>89</v>
      </c>
      <c r="S253" s="114" t="s">
        <v>118</v>
      </c>
      <c r="T253" s="114" t="s">
        <v>89</v>
      </c>
      <c r="U253" s="114" t="s">
        <v>8935</v>
      </c>
      <c r="V253" s="114" t="s">
        <v>2701</v>
      </c>
      <c r="W253" s="114" t="s">
        <v>8864</v>
      </c>
      <c r="X253" s="114" t="s">
        <v>8869</v>
      </c>
      <c r="Y253" s="114" t="s">
        <v>8857</v>
      </c>
      <c r="Z253" s="114" t="s">
        <v>8858</v>
      </c>
      <c r="AA253" s="114" t="s">
        <v>9193</v>
      </c>
      <c r="AB253" s="114" t="s">
        <v>8877</v>
      </c>
    </row>
    <row r="254" spans="1:28" ht="72" x14ac:dyDescent="0.2">
      <c r="A254" s="133" t="s">
        <v>1430</v>
      </c>
      <c r="B254" s="130"/>
      <c r="C254" s="130" t="s">
        <v>533</v>
      </c>
      <c r="D254" s="130" t="s">
        <v>1431</v>
      </c>
      <c r="E254" s="131">
        <v>37022</v>
      </c>
      <c r="F254" s="131">
        <v>37029</v>
      </c>
      <c r="G254" s="132" t="s">
        <v>1432</v>
      </c>
      <c r="H254" s="132" t="s">
        <v>1433</v>
      </c>
      <c r="I254" s="132" t="s">
        <v>1434</v>
      </c>
      <c r="J254" s="132" t="s">
        <v>9569</v>
      </c>
      <c r="K254" s="440" t="str">
        <f>HYPERLINK("https://okcountyrecords.com/detail/roger+mills/2001-002190","OKCountyRecords: 2001-002190")</f>
        <v>OKCountyRecords: 2001-002190</v>
      </c>
      <c r="L254" s="133" t="s">
        <v>412</v>
      </c>
      <c r="M254" s="133" t="s">
        <v>405</v>
      </c>
      <c r="N254" s="133"/>
      <c r="O254" s="133" t="s">
        <v>428</v>
      </c>
      <c r="P254" s="114" t="s">
        <v>8854</v>
      </c>
      <c r="Q254" s="114" t="s">
        <v>118</v>
      </c>
      <c r="R254" s="114" t="s">
        <v>89</v>
      </c>
      <c r="S254" s="114" t="s">
        <v>2701</v>
      </c>
      <c r="T254" s="114" t="s">
        <v>89</v>
      </c>
      <c r="U254" s="114" t="s">
        <v>8901</v>
      </c>
      <c r="V254" s="114" t="s">
        <v>3072</v>
      </c>
      <c r="W254" s="114" t="s">
        <v>8864</v>
      </c>
      <c r="X254" s="114" t="s">
        <v>8873</v>
      </c>
      <c r="Y254" s="114" t="s">
        <v>8857</v>
      </c>
      <c r="Z254" s="114" t="s">
        <v>8858</v>
      </c>
      <c r="AA254" s="114" t="s">
        <v>9194</v>
      </c>
      <c r="AB254" s="114" t="s">
        <v>8867</v>
      </c>
    </row>
    <row r="255" spans="1:28" ht="60" x14ac:dyDescent="0.2">
      <c r="A255" s="133" t="s">
        <v>1435</v>
      </c>
      <c r="B255" s="130"/>
      <c r="C255" s="130" t="s">
        <v>1436</v>
      </c>
      <c r="D255" s="130" t="s">
        <v>1437</v>
      </c>
      <c r="E255" s="131">
        <v>37406</v>
      </c>
      <c r="F255" s="131">
        <v>37407</v>
      </c>
      <c r="G255" s="132" t="s">
        <v>114</v>
      </c>
      <c r="H255" s="132" t="s">
        <v>1438</v>
      </c>
      <c r="I255" s="132" t="s">
        <v>1439</v>
      </c>
      <c r="J255" s="132" t="s">
        <v>1440</v>
      </c>
      <c r="K255" s="440" t="str">
        <f>HYPERLINK("https://okcountyrecords.com/detail/roger+mills/2002-002227","OKCountyRecords: 2002-002227")</f>
        <v>OKCountyRecords: 2002-002227</v>
      </c>
      <c r="L255" s="133" t="s">
        <v>653</v>
      </c>
      <c r="M255" s="133" t="s">
        <v>641</v>
      </c>
      <c r="N255" s="133" t="s">
        <v>1441</v>
      </c>
      <c r="O255" s="133" t="s">
        <v>422</v>
      </c>
      <c r="P255" s="114" t="s">
        <v>9195</v>
      </c>
      <c r="Q255" s="114" t="s">
        <v>89</v>
      </c>
      <c r="R255" s="114" t="s">
        <v>118</v>
      </c>
      <c r="S255" s="114" t="s">
        <v>2701</v>
      </c>
      <c r="T255" s="114" t="s">
        <v>118</v>
      </c>
      <c r="U255" s="114" t="s">
        <v>8896</v>
      </c>
      <c r="V255" s="114" t="s">
        <v>3386</v>
      </c>
      <c r="W255" s="114" t="s">
        <v>8906</v>
      </c>
      <c r="X255" s="114" t="s">
        <v>2701</v>
      </c>
      <c r="Y255" s="114" t="s">
        <v>9196</v>
      </c>
      <c r="Z255" s="114" t="s">
        <v>8858</v>
      </c>
      <c r="AA255" s="114" t="s">
        <v>9197</v>
      </c>
    </row>
    <row r="256" spans="1:28" ht="60" x14ac:dyDescent="0.2">
      <c r="A256" s="133" t="s">
        <v>1442</v>
      </c>
      <c r="B256" s="130"/>
      <c r="C256" s="130" t="s">
        <v>619</v>
      </c>
      <c r="D256" s="130" t="s">
        <v>1443</v>
      </c>
      <c r="E256" s="131">
        <v>37482</v>
      </c>
      <c r="F256" s="131">
        <v>37505</v>
      </c>
      <c r="G256" s="132" t="s">
        <v>1444</v>
      </c>
      <c r="H256" s="132" t="s">
        <v>114</v>
      </c>
      <c r="I256" s="132" t="s">
        <v>263</v>
      </c>
      <c r="J256" s="132" t="s">
        <v>8685</v>
      </c>
      <c r="K256" s="440" t="str">
        <f>HYPERLINK("https://okcountyrecords.com/detail/roger+mills/2002-003563","OKCountyRecords: 2002-003563")</f>
        <v>OKCountyRecords: 2002-003563</v>
      </c>
      <c r="L256" s="133" t="s">
        <v>412</v>
      </c>
      <c r="M256" s="133" t="s">
        <v>405</v>
      </c>
      <c r="N256" s="133"/>
      <c r="O256" s="133" t="s">
        <v>413</v>
      </c>
      <c r="P256" s="114" t="s">
        <v>8934</v>
      </c>
      <c r="Q256" s="114" t="s">
        <v>118</v>
      </c>
      <c r="R256" s="114" t="s">
        <v>89</v>
      </c>
      <c r="S256" s="114" t="s">
        <v>118</v>
      </c>
      <c r="T256" s="114" t="s">
        <v>89</v>
      </c>
      <c r="U256" s="114" t="s">
        <v>8901</v>
      </c>
      <c r="V256" s="114" t="s">
        <v>3072</v>
      </c>
      <c r="W256" s="114" t="s">
        <v>8855</v>
      </c>
      <c r="X256" s="114" t="s">
        <v>8873</v>
      </c>
      <c r="Y256" s="114" t="s">
        <v>8857</v>
      </c>
      <c r="Z256" s="114" t="s">
        <v>8858</v>
      </c>
      <c r="AA256" s="114" t="s">
        <v>9198</v>
      </c>
      <c r="AB256" s="114" t="s">
        <v>8860</v>
      </c>
    </row>
    <row r="257" spans="1:28" ht="72" x14ac:dyDescent="0.2">
      <c r="A257" s="133" t="s">
        <v>1445</v>
      </c>
      <c r="B257" s="130"/>
      <c r="C257" s="130" t="s">
        <v>619</v>
      </c>
      <c r="D257" s="130" t="s">
        <v>1446</v>
      </c>
      <c r="E257" s="131">
        <v>37536</v>
      </c>
      <c r="F257" s="131">
        <v>37573</v>
      </c>
      <c r="G257" s="132" t="s">
        <v>1447</v>
      </c>
      <c r="H257" s="132" t="s">
        <v>1448</v>
      </c>
      <c r="I257" s="132" t="s">
        <v>1280</v>
      </c>
      <c r="J257" s="132" t="s">
        <v>1449</v>
      </c>
      <c r="K257" s="440" t="str">
        <f>HYPERLINK("https://okcountyrecords.com/detail/roger+mills/2002-004378","OKCountyRecords: 2002-004378")</f>
        <v>OKCountyRecords: 2002-004378</v>
      </c>
      <c r="L257" s="133" t="s">
        <v>412</v>
      </c>
      <c r="M257" s="133" t="s">
        <v>405</v>
      </c>
      <c r="N257" s="133"/>
      <c r="O257" s="133" t="s">
        <v>422</v>
      </c>
      <c r="P257" s="114" t="s">
        <v>8934</v>
      </c>
      <c r="Q257" s="114" t="s">
        <v>118</v>
      </c>
      <c r="R257" s="114" t="s">
        <v>89</v>
      </c>
      <c r="S257" s="114" t="s">
        <v>118</v>
      </c>
      <c r="T257" s="114" t="s">
        <v>89</v>
      </c>
      <c r="U257" s="114" t="s">
        <v>8862</v>
      </c>
      <c r="V257" s="114" t="s">
        <v>3072</v>
      </c>
      <c r="W257" s="114" t="s">
        <v>9631</v>
      </c>
      <c r="X257" s="114" t="s">
        <v>2701</v>
      </c>
      <c r="Y257" s="114" t="s">
        <v>9199</v>
      </c>
      <c r="Z257" s="114" t="s">
        <v>8858</v>
      </c>
      <c r="AA257" s="114" t="s">
        <v>9200</v>
      </c>
      <c r="AB257" s="114" t="s">
        <v>8867</v>
      </c>
    </row>
    <row r="258" spans="1:28" ht="60" x14ac:dyDescent="0.2">
      <c r="A258" s="133" t="s">
        <v>1450</v>
      </c>
      <c r="B258" s="130"/>
      <c r="C258" s="130" t="s">
        <v>619</v>
      </c>
      <c r="D258" s="130" t="s">
        <v>1451</v>
      </c>
      <c r="E258" s="131">
        <v>37586</v>
      </c>
      <c r="F258" s="131">
        <v>37592</v>
      </c>
      <c r="G258" s="132" t="s">
        <v>1156</v>
      </c>
      <c r="H258" s="132" t="s">
        <v>1452</v>
      </c>
      <c r="I258" s="132" t="s">
        <v>1256</v>
      </c>
      <c r="J258" s="132" t="s">
        <v>1453</v>
      </c>
      <c r="K258" s="440" t="str">
        <f>HYPERLINK("https://okcountyrecords.com/detail/roger+mills/2002-004595","OKCountyRecords: 2002-004595")</f>
        <v>OKCountyRecords: 2002-004595</v>
      </c>
      <c r="L258" s="133" t="s">
        <v>412</v>
      </c>
      <c r="M258" s="133" t="s">
        <v>641</v>
      </c>
      <c r="N258" s="133" t="s">
        <v>8716</v>
      </c>
      <c r="O258" s="133" t="s">
        <v>422</v>
      </c>
      <c r="P258" s="114" t="s">
        <v>8934</v>
      </c>
      <c r="Q258" s="114" t="s">
        <v>118</v>
      </c>
      <c r="R258" s="114" t="s">
        <v>89</v>
      </c>
      <c r="S258" s="114" t="s">
        <v>118</v>
      </c>
      <c r="T258" s="114" t="s">
        <v>89</v>
      </c>
      <c r="U258" s="114" t="s">
        <v>8935</v>
      </c>
      <c r="V258" s="114" t="s">
        <v>2701</v>
      </c>
      <c r="W258" s="114" t="s">
        <v>8906</v>
      </c>
      <c r="X258" s="114" t="s">
        <v>8856</v>
      </c>
      <c r="Y258" s="114" t="s">
        <v>8857</v>
      </c>
      <c r="Z258" s="114" t="s">
        <v>8858</v>
      </c>
      <c r="AA258" s="114" t="s">
        <v>9201</v>
      </c>
      <c r="AB258" s="114" t="s">
        <v>8879</v>
      </c>
    </row>
    <row r="259" spans="1:28" ht="48" x14ac:dyDescent="0.2">
      <c r="A259" s="133" t="s">
        <v>1455</v>
      </c>
      <c r="B259" s="130"/>
      <c r="C259" s="130" t="s">
        <v>1456</v>
      </c>
      <c r="D259" s="130" t="s">
        <v>1457</v>
      </c>
      <c r="E259" s="131">
        <v>37710</v>
      </c>
      <c r="F259" s="131">
        <v>37715</v>
      </c>
      <c r="G259" s="132" t="s">
        <v>8767</v>
      </c>
      <c r="H259" s="132" t="s">
        <v>8768</v>
      </c>
      <c r="I259" s="132" t="s">
        <v>1256</v>
      </c>
      <c r="J259" s="132" t="s">
        <v>63</v>
      </c>
      <c r="K259" s="440" t="str">
        <f>HYPERLINK("https://okcountyrecords.com/detail/roger+mills/2003-001558","OKCountyRecords: 2003-001558")</f>
        <v>OKCountyRecords: 2003-001558</v>
      </c>
      <c r="L259" s="133" t="s">
        <v>8708</v>
      </c>
      <c r="M259" s="133"/>
      <c r="N259" s="133"/>
      <c r="O259" s="133" t="s">
        <v>422</v>
      </c>
      <c r="P259" s="114" t="s">
        <v>9043</v>
      </c>
      <c r="Q259" s="114" t="s">
        <v>2701</v>
      </c>
      <c r="R259" s="114" t="s">
        <v>118</v>
      </c>
      <c r="S259" s="114" t="s">
        <v>2701</v>
      </c>
      <c r="T259" s="114" t="s">
        <v>118</v>
      </c>
      <c r="U259" s="114" t="s">
        <v>8935</v>
      </c>
      <c r="V259" s="114" t="s">
        <v>2701</v>
      </c>
      <c r="W259" s="114" t="s">
        <v>8864</v>
      </c>
      <c r="X259" s="114" t="s">
        <v>2701</v>
      </c>
      <c r="Y259" s="114" t="s">
        <v>8851</v>
      </c>
      <c r="Z259" s="114" t="s">
        <v>2701</v>
      </c>
      <c r="AA259" s="114" t="s">
        <v>9202</v>
      </c>
      <c r="AB259" s="114" t="s">
        <v>9139</v>
      </c>
    </row>
    <row r="260" spans="1:28" ht="48" x14ac:dyDescent="0.2">
      <c r="A260" s="133" t="s">
        <v>1460</v>
      </c>
      <c r="B260" s="130"/>
      <c r="C260" s="130" t="s">
        <v>1456</v>
      </c>
      <c r="D260" s="130" t="s">
        <v>1461</v>
      </c>
      <c r="E260" s="131">
        <v>37711</v>
      </c>
      <c r="F260" s="131">
        <v>37715</v>
      </c>
      <c r="G260" s="132" t="s">
        <v>8768</v>
      </c>
      <c r="H260" s="132" t="s">
        <v>1462</v>
      </c>
      <c r="I260" s="132" t="s">
        <v>1256</v>
      </c>
      <c r="J260" s="132" t="s">
        <v>63</v>
      </c>
      <c r="K260" s="440" t="str">
        <f>HYPERLINK("https://okcountyrecords.com/detail/roger+mills/2003-001559","OKCountyRecords: 2003-001559")</f>
        <v>OKCountyRecords: 2003-001559</v>
      </c>
      <c r="L260" s="133" t="s">
        <v>8708</v>
      </c>
      <c r="M260" s="133"/>
      <c r="N260" s="133"/>
      <c r="O260" s="133" t="s">
        <v>422</v>
      </c>
      <c r="P260" s="114" t="s">
        <v>9043</v>
      </c>
      <c r="Q260" s="114" t="s">
        <v>2701</v>
      </c>
      <c r="R260" s="114" t="s">
        <v>118</v>
      </c>
      <c r="S260" s="114" t="s">
        <v>2701</v>
      </c>
      <c r="T260" s="114" t="s">
        <v>118</v>
      </c>
      <c r="U260" s="114" t="s">
        <v>8935</v>
      </c>
      <c r="V260" s="114" t="s">
        <v>2701</v>
      </c>
      <c r="W260" s="114" t="s">
        <v>8906</v>
      </c>
      <c r="X260" s="114" t="s">
        <v>2701</v>
      </c>
      <c r="Y260" s="114" t="s">
        <v>8851</v>
      </c>
      <c r="Z260" s="114" t="s">
        <v>2701</v>
      </c>
      <c r="AA260" s="114" t="s">
        <v>9203</v>
      </c>
      <c r="AB260" s="114" t="s">
        <v>8871</v>
      </c>
    </row>
    <row r="261" spans="1:28" ht="60" x14ac:dyDescent="0.2">
      <c r="A261" s="133" t="s">
        <v>1464</v>
      </c>
      <c r="B261" s="130"/>
      <c r="C261" s="130" t="s">
        <v>1465</v>
      </c>
      <c r="D261" s="130" t="s">
        <v>1466</v>
      </c>
      <c r="E261" s="131">
        <v>37729</v>
      </c>
      <c r="F261" s="131">
        <v>37732</v>
      </c>
      <c r="G261" s="132" t="s">
        <v>1467</v>
      </c>
      <c r="H261" s="132" t="s">
        <v>102</v>
      </c>
      <c r="I261" s="132" t="s">
        <v>1468</v>
      </c>
      <c r="J261" s="132" t="s">
        <v>1469</v>
      </c>
      <c r="K261" s="440" t="str">
        <f>HYPERLINK("https://okcountyrecords.com/detail/roger+mills/2003-001781","OKCountyRecords: 2003-001781")</f>
        <v>OKCountyRecords: 2003-001781</v>
      </c>
      <c r="L261" s="133" t="s">
        <v>466</v>
      </c>
      <c r="M261" s="133" t="s">
        <v>467</v>
      </c>
      <c r="N261" s="133" t="s">
        <v>504</v>
      </c>
      <c r="O261" s="133" t="s">
        <v>422</v>
      </c>
      <c r="P261" s="114" t="s">
        <v>8886</v>
      </c>
      <c r="Q261" s="114" t="s">
        <v>118</v>
      </c>
      <c r="R261" s="114" t="s">
        <v>89</v>
      </c>
      <c r="S261" s="114" t="s">
        <v>118</v>
      </c>
      <c r="T261" s="114" t="s">
        <v>89</v>
      </c>
      <c r="U261" s="114" t="s">
        <v>9204</v>
      </c>
      <c r="V261" s="114" t="s">
        <v>2701</v>
      </c>
      <c r="W261" s="114" t="s">
        <v>8864</v>
      </c>
      <c r="X261" s="114" t="s">
        <v>8869</v>
      </c>
      <c r="Y261" s="114" t="s">
        <v>8851</v>
      </c>
      <c r="Z261" s="114" t="s">
        <v>2701</v>
      </c>
      <c r="AA261" s="114" t="s">
        <v>9205</v>
      </c>
      <c r="AB261" s="114" t="s">
        <v>9139</v>
      </c>
    </row>
    <row r="262" spans="1:28" ht="36" x14ac:dyDescent="0.2">
      <c r="A262" s="133" t="s">
        <v>1471</v>
      </c>
      <c r="B262" s="130"/>
      <c r="C262" s="130" t="s">
        <v>585</v>
      </c>
      <c r="D262" s="130" t="s">
        <v>1472</v>
      </c>
      <c r="E262" s="131">
        <v>37802</v>
      </c>
      <c r="F262" s="131">
        <v>37937</v>
      </c>
      <c r="G262" s="132" t="s">
        <v>1473</v>
      </c>
      <c r="H262" s="132" t="s">
        <v>102</v>
      </c>
      <c r="I262" s="132" t="s">
        <v>1474</v>
      </c>
      <c r="J262" s="132" t="s">
        <v>1475</v>
      </c>
      <c r="K262" s="440" t="str">
        <f>HYPERLINK("https://okcountyrecords.com/detail/roger+mills/2003-005699","OKCountyRecords: 2003-005699")</f>
        <v>OKCountyRecords: 2003-005699</v>
      </c>
      <c r="L262" s="133" t="s">
        <v>412</v>
      </c>
      <c r="M262" s="133" t="s">
        <v>467</v>
      </c>
      <c r="N262" s="133" t="s">
        <v>1476</v>
      </c>
      <c r="O262" s="133" t="s">
        <v>422</v>
      </c>
      <c r="P262" s="114" t="s">
        <v>8886</v>
      </c>
      <c r="Q262" s="114" t="s">
        <v>118</v>
      </c>
      <c r="R262" s="114" t="s">
        <v>89</v>
      </c>
      <c r="S262" s="114" t="s">
        <v>118</v>
      </c>
      <c r="T262" s="114" t="s">
        <v>89</v>
      </c>
      <c r="U262" s="114" t="s">
        <v>9204</v>
      </c>
      <c r="V262" s="114" t="s">
        <v>2701</v>
      </c>
      <c r="W262" s="114" t="s">
        <v>8864</v>
      </c>
      <c r="X262" s="114" t="s">
        <v>8869</v>
      </c>
      <c r="Y262" s="114" t="s">
        <v>8857</v>
      </c>
      <c r="Z262" s="114" t="s">
        <v>8858</v>
      </c>
      <c r="AA262" s="114" t="s">
        <v>9206</v>
      </c>
      <c r="AB262" s="114" t="s">
        <v>8877</v>
      </c>
    </row>
    <row r="263" spans="1:28" ht="60" x14ac:dyDescent="0.2">
      <c r="A263" s="133" t="s">
        <v>1477</v>
      </c>
      <c r="B263" s="130"/>
      <c r="C263" s="130" t="s">
        <v>1478</v>
      </c>
      <c r="D263" s="130" t="s">
        <v>1479</v>
      </c>
      <c r="E263" s="131">
        <v>37848</v>
      </c>
      <c r="F263" s="131">
        <v>37897</v>
      </c>
      <c r="G263" s="132" t="s">
        <v>1066</v>
      </c>
      <c r="H263" s="132" t="s">
        <v>1480</v>
      </c>
      <c r="I263" s="132" t="s">
        <v>1256</v>
      </c>
      <c r="J263" s="132" t="s">
        <v>9570</v>
      </c>
      <c r="K263" s="440" t="str">
        <f>HYPERLINK("https://okcountyrecords.com/detail/roger+mills/2003-004945","OKCountyRecords: 2003-004945")</f>
        <v>OKCountyRecords: 2003-004945</v>
      </c>
      <c r="L263" s="133" t="s">
        <v>412</v>
      </c>
      <c r="M263" s="133" t="s">
        <v>405</v>
      </c>
      <c r="N263" s="133"/>
      <c r="O263" s="133" t="s">
        <v>422</v>
      </c>
      <c r="P263" s="114" t="s">
        <v>9195</v>
      </c>
      <c r="Q263" s="114" t="s">
        <v>89</v>
      </c>
      <c r="R263" s="114" t="s">
        <v>118</v>
      </c>
      <c r="S263" s="114" t="s">
        <v>2701</v>
      </c>
      <c r="T263" s="114" t="s">
        <v>118</v>
      </c>
      <c r="U263" s="114" t="s">
        <v>8935</v>
      </c>
      <c r="V263" s="114" t="s">
        <v>2701</v>
      </c>
      <c r="W263" s="114" t="s">
        <v>8906</v>
      </c>
      <c r="X263" s="114" t="s">
        <v>8869</v>
      </c>
      <c r="Y263" s="114" t="s">
        <v>8857</v>
      </c>
      <c r="Z263" s="114" t="s">
        <v>8858</v>
      </c>
      <c r="AA263" s="114" t="s">
        <v>9207</v>
      </c>
      <c r="AB263" s="114" t="s">
        <v>8879</v>
      </c>
    </row>
    <row r="264" spans="1:28" ht="48" x14ac:dyDescent="0.2">
      <c r="A264" s="133" t="s">
        <v>1482</v>
      </c>
      <c r="B264" s="130"/>
      <c r="C264" s="130" t="s">
        <v>585</v>
      </c>
      <c r="D264" s="130" t="s">
        <v>1483</v>
      </c>
      <c r="E264" s="131">
        <v>37990</v>
      </c>
      <c r="F264" s="131">
        <v>37994</v>
      </c>
      <c r="G264" s="132" t="s">
        <v>1484</v>
      </c>
      <c r="H264" s="132" t="s">
        <v>1485</v>
      </c>
      <c r="I264" s="132" t="s">
        <v>1256</v>
      </c>
      <c r="J264" s="132" t="s">
        <v>63</v>
      </c>
      <c r="K264" s="440" t="str">
        <f>HYPERLINK("https://okcountyrecords.com/detail/roger+mills/2004-000099","OKCountyRecords: 2004-000099")</f>
        <v>OKCountyRecords: 2004-000099</v>
      </c>
      <c r="L264" s="133" t="s">
        <v>412</v>
      </c>
      <c r="M264" s="133" t="s">
        <v>405</v>
      </c>
      <c r="N264" s="133"/>
      <c r="O264" s="133" t="s">
        <v>422</v>
      </c>
      <c r="P264" s="114" t="s">
        <v>8886</v>
      </c>
      <c r="Q264" s="114" t="s">
        <v>118</v>
      </c>
      <c r="R264" s="114" t="s">
        <v>89</v>
      </c>
      <c r="S264" s="114" t="s">
        <v>118</v>
      </c>
      <c r="T264" s="114" t="s">
        <v>89</v>
      </c>
      <c r="U264" s="114" t="s">
        <v>8935</v>
      </c>
      <c r="V264" s="114" t="s">
        <v>2701</v>
      </c>
      <c r="W264" s="114" t="s">
        <v>8864</v>
      </c>
      <c r="X264" s="114" t="s">
        <v>8869</v>
      </c>
      <c r="Y264" s="114" t="s">
        <v>8857</v>
      </c>
      <c r="Z264" s="114" t="s">
        <v>8858</v>
      </c>
      <c r="AA264" s="114" t="s">
        <v>9208</v>
      </c>
      <c r="AB264" s="114" t="s">
        <v>8877</v>
      </c>
    </row>
    <row r="265" spans="1:28" ht="60" x14ac:dyDescent="0.2">
      <c r="A265" s="133" t="s">
        <v>1486</v>
      </c>
      <c r="B265" s="130">
        <v>1</v>
      </c>
      <c r="C265" s="130" t="s">
        <v>202</v>
      </c>
      <c r="D265" s="130" t="s">
        <v>203</v>
      </c>
      <c r="E265" s="131">
        <v>38000</v>
      </c>
      <c r="F265" s="131">
        <v>38029</v>
      </c>
      <c r="G265" s="132" t="s">
        <v>8769</v>
      </c>
      <c r="H265" s="132" t="s">
        <v>205</v>
      </c>
      <c r="I265" s="132" t="s">
        <v>1488</v>
      </c>
      <c r="J265" s="132" t="s">
        <v>207</v>
      </c>
      <c r="K265" s="440" t="str">
        <f>HYPERLINK("https://okcountyrecords.com/detail/roger+mills/2004-000723","OKCountyRecords: 2004-000723")</f>
        <v>OKCountyRecords: 2004-000723</v>
      </c>
      <c r="L265" s="133" t="s">
        <v>1490</v>
      </c>
      <c r="M265" s="133" t="s">
        <v>1491</v>
      </c>
      <c r="N265" s="133"/>
      <c r="O265" s="133" t="s">
        <v>1492</v>
      </c>
      <c r="P265" s="114" t="s">
        <v>9209</v>
      </c>
      <c r="Q265" s="114" t="s">
        <v>89</v>
      </c>
      <c r="R265" s="114" t="s">
        <v>118</v>
      </c>
      <c r="S265" s="114" t="s">
        <v>89</v>
      </c>
      <c r="T265" s="114" t="s">
        <v>118</v>
      </c>
      <c r="U265" s="114" t="s">
        <v>9210</v>
      </c>
      <c r="V265" s="114" t="s">
        <v>2701</v>
      </c>
      <c r="W265" s="114" t="s">
        <v>8864</v>
      </c>
      <c r="X265" s="114" t="s">
        <v>2701</v>
      </c>
      <c r="Y265" s="114" t="s">
        <v>8851</v>
      </c>
      <c r="Z265" s="114" t="s">
        <v>2701</v>
      </c>
      <c r="AA265" s="114" t="s">
        <v>9211</v>
      </c>
      <c r="AB265" s="114" t="s">
        <v>9139</v>
      </c>
    </row>
    <row r="266" spans="1:28" ht="60" x14ac:dyDescent="0.2">
      <c r="A266" s="133" t="s">
        <v>1493</v>
      </c>
      <c r="B266" s="130">
        <v>3</v>
      </c>
      <c r="C266" s="130" t="s">
        <v>202</v>
      </c>
      <c r="D266" s="130" t="s">
        <v>210</v>
      </c>
      <c r="E266" s="131">
        <v>38000</v>
      </c>
      <c r="F266" s="131">
        <v>38029</v>
      </c>
      <c r="G266" s="132" t="s">
        <v>8770</v>
      </c>
      <c r="H266" s="132" t="s">
        <v>205</v>
      </c>
      <c r="I266" s="132" t="s">
        <v>1488</v>
      </c>
      <c r="J266" s="132" t="s">
        <v>207</v>
      </c>
      <c r="K266" s="440" t="str">
        <f>HYPERLINK("https://okcountyrecords.com/detail/roger+mills/2004-000727","OKCountyRecords: 2004-000727")</f>
        <v>OKCountyRecords: 2004-000727</v>
      </c>
      <c r="L266" s="133" t="s">
        <v>1490</v>
      </c>
      <c r="M266" s="133" t="s">
        <v>1491</v>
      </c>
      <c r="N266" s="133"/>
      <c r="O266" s="133" t="s">
        <v>1492</v>
      </c>
      <c r="P266" s="114" t="s">
        <v>9209</v>
      </c>
      <c r="Q266" s="114" t="s">
        <v>89</v>
      </c>
      <c r="R266" s="114" t="s">
        <v>118</v>
      </c>
      <c r="S266" s="114" t="s">
        <v>89</v>
      </c>
      <c r="T266" s="114" t="s">
        <v>118</v>
      </c>
      <c r="U266" s="114" t="s">
        <v>9210</v>
      </c>
      <c r="V266" s="114" t="s">
        <v>2701</v>
      </c>
      <c r="W266" s="114" t="s">
        <v>8864</v>
      </c>
      <c r="X266" s="114" t="s">
        <v>2701</v>
      </c>
      <c r="Y266" s="114" t="s">
        <v>8851</v>
      </c>
      <c r="Z266" s="114" t="s">
        <v>2701</v>
      </c>
      <c r="AA266" s="114" t="s">
        <v>9212</v>
      </c>
      <c r="AB266" s="114" t="s">
        <v>9139</v>
      </c>
    </row>
    <row r="267" spans="1:28" ht="60" x14ac:dyDescent="0.2">
      <c r="A267" s="133" t="s">
        <v>1495</v>
      </c>
      <c r="B267" s="130">
        <v>4</v>
      </c>
      <c r="C267" s="130" t="s">
        <v>202</v>
      </c>
      <c r="D267" s="130" t="s">
        <v>212</v>
      </c>
      <c r="E267" s="131">
        <v>38000</v>
      </c>
      <c r="F267" s="131">
        <v>38029</v>
      </c>
      <c r="G267" s="132" t="s">
        <v>8771</v>
      </c>
      <c r="H267" s="132" t="s">
        <v>205</v>
      </c>
      <c r="I267" s="132" t="s">
        <v>1488</v>
      </c>
      <c r="J267" s="132" t="s">
        <v>207</v>
      </c>
      <c r="K267" s="440" t="str">
        <f>HYPERLINK("https://okcountyrecords.com/detail/roger+mills/2004-000722","OKCountyRecords: 2004-000722")</f>
        <v>OKCountyRecords: 2004-000722</v>
      </c>
      <c r="L267" s="133" t="s">
        <v>1490</v>
      </c>
      <c r="M267" s="133" t="s">
        <v>1491</v>
      </c>
      <c r="N267" s="133"/>
      <c r="O267" s="133" t="s">
        <v>1492</v>
      </c>
      <c r="P267" s="114" t="s">
        <v>9209</v>
      </c>
      <c r="Q267" s="114" t="s">
        <v>89</v>
      </c>
      <c r="R267" s="114" t="s">
        <v>118</v>
      </c>
      <c r="S267" s="114" t="s">
        <v>89</v>
      </c>
      <c r="T267" s="114" t="s">
        <v>118</v>
      </c>
      <c r="U267" s="114" t="s">
        <v>9210</v>
      </c>
      <c r="V267" s="114" t="s">
        <v>2701</v>
      </c>
      <c r="W267" s="114" t="s">
        <v>8906</v>
      </c>
      <c r="X267" s="114" t="s">
        <v>2701</v>
      </c>
      <c r="Y267" s="114" t="s">
        <v>8851</v>
      </c>
      <c r="Z267" s="114" t="s">
        <v>2701</v>
      </c>
      <c r="AA267" s="114" t="s">
        <v>9213</v>
      </c>
      <c r="AB267" s="114" t="s">
        <v>8871</v>
      </c>
    </row>
    <row r="268" spans="1:28" ht="60" x14ac:dyDescent="0.2">
      <c r="A268" s="133" t="s">
        <v>1497</v>
      </c>
      <c r="B268" s="130">
        <v>2</v>
      </c>
      <c r="C268" s="130" t="s">
        <v>202</v>
      </c>
      <c r="D268" s="130" t="s">
        <v>208</v>
      </c>
      <c r="E268" s="131">
        <v>38000</v>
      </c>
      <c r="F268" s="131">
        <v>38029</v>
      </c>
      <c r="G268" s="132" t="s">
        <v>8772</v>
      </c>
      <c r="H268" s="132" t="s">
        <v>205</v>
      </c>
      <c r="I268" s="132" t="s">
        <v>1488</v>
      </c>
      <c r="J268" s="132" t="s">
        <v>207</v>
      </c>
      <c r="K268" s="440" t="str">
        <f>HYPERLINK("https://okcountyrecords.com/detail/roger+mills/2004-000726","OKCountyRecords: 2004-000726")</f>
        <v>OKCountyRecords: 2004-000726</v>
      </c>
      <c r="L268" s="133" t="s">
        <v>1490</v>
      </c>
      <c r="M268" s="133" t="s">
        <v>1491</v>
      </c>
      <c r="N268" s="133"/>
      <c r="O268" s="133" t="s">
        <v>1492</v>
      </c>
      <c r="P268" s="114" t="s">
        <v>9209</v>
      </c>
      <c r="Q268" s="114" t="s">
        <v>89</v>
      </c>
      <c r="R268" s="114" t="s">
        <v>118</v>
      </c>
      <c r="S268" s="114" t="s">
        <v>89</v>
      </c>
      <c r="T268" s="114" t="s">
        <v>118</v>
      </c>
      <c r="U268" s="114" t="s">
        <v>9210</v>
      </c>
      <c r="V268" s="114" t="s">
        <v>2701</v>
      </c>
      <c r="W268" s="114" t="s">
        <v>8864</v>
      </c>
      <c r="X268" s="114" t="s">
        <v>2701</v>
      </c>
      <c r="Y268" s="114" t="s">
        <v>8851</v>
      </c>
      <c r="Z268" s="114" t="s">
        <v>2701</v>
      </c>
      <c r="AA268" s="114" t="s">
        <v>9214</v>
      </c>
      <c r="AB268" s="114" t="s">
        <v>9139</v>
      </c>
    </row>
    <row r="269" spans="1:28" ht="48" x14ac:dyDescent="0.2">
      <c r="A269" s="133" t="s">
        <v>1499</v>
      </c>
      <c r="B269" s="130">
        <v>54</v>
      </c>
      <c r="C269" s="130" t="s">
        <v>202</v>
      </c>
      <c r="D269" s="130" t="s">
        <v>354</v>
      </c>
      <c r="E269" s="131">
        <v>38002</v>
      </c>
      <c r="F269" s="131">
        <v>38029</v>
      </c>
      <c r="G269" s="132" t="s">
        <v>1500</v>
      </c>
      <c r="H269" s="132" t="s">
        <v>205</v>
      </c>
      <c r="I269" s="132" t="s">
        <v>215</v>
      </c>
      <c r="J269" s="132" t="s">
        <v>216</v>
      </c>
      <c r="K269" s="440" t="str">
        <f>HYPERLINK("https://okcountyrecords.com/detail/roger+mills/2004-000724","OKCountyRecords: 2004-000724")</f>
        <v>OKCountyRecords: 2004-000724</v>
      </c>
      <c r="L269" s="133" t="s">
        <v>1501</v>
      </c>
      <c r="M269" s="133" t="s">
        <v>1491</v>
      </c>
      <c r="N269" s="133"/>
      <c r="O269" s="133" t="s">
        <v>1492</v>
      </c>
      <c r="P269" s="114" t="s">
        <v>9209</v>
      </c>
      <c r="Q269" s="114" t="s">
        <v>89</v>
      </c>
      <c r="R269" s="114" t="s">
        <v>118</v>
      </c>
      <c r="S269" s="114" t="s">
        <v>89</v>
      </c>
      <c r="T269" s="114" t="s">
        <v>118</v>
      </c>
      <c r="U269" s="114" t="s">
        <v>8862</v>
      </c>
      <c r="V269" s="114" t="s">
        <v>3072</v>
      </c>
      <c r="W269" s="114" t="s">
        <v>9643</v>
      </c>
      <c r="X269" s="114" t="s">
        <v>2701</v>
      </c>
      <c r="Y269" s="114" t="s">
        <v>8851</v>
      </c>
      <c r="Z269" s="114" t="s">
        <v>2701</v>
      </c>
      <c r="AA269" s="114" t="s">
        <v>9215</v>
      </c>
      <c r="AB269" s="114" t="s">
        <v>8888</v>
      </c>
    </row>
    <row r="270" spans="1:28" ht="96" x14ac:dyDescent="0.2">
      <c r="A270" s="133" t="s">
        <v>1502</v>
      </c>
      <c r="B270" s="130">
        <v>6</v>
      </c>
      <c r="C270" s="130" t="s">
        <v>202</v>
      </c>
      <c r="D270" s="130" t="s">
        <v>217</v>
      </c>
      <c r="E270" s="131">
        <v>38002</v>
      </c>
      <c r="F270" s="131">
        <v>38029</v>
      </c>
      <c r="G270" s="132" t="s">
        <v>1503</v>
      </c>
      <c r="H270" s="132" t="s">
        <v>205</v>
      </c>
      <c r="I270" s="132" t="s">
        <v>215</v>
      </c>
      <c r="J270" s="132" t="s">
        <v>8686</v>
      </c>
      <c r="K270" s="440" t="str">
        <f>HYPERLINK("https://okcountyrecords.com/detail/roger+mills/2004-000725","OKCountyRecords: 2004-000725")</f>
        <v>OKCountyRecords: 2004-000725</v>
      </c>
      <c r="L270" s="133" t="s">
        <v>1501</v>
      </c>
      <c r="M270" s="133" t="s">
        <v>1491</v>
      </c>
      <c r="N270" s="133"/>
      <c r="O270" s="133" t="s">
        <v>1492</v>
      </c>
      <c r="P270" s="114" t="s">
        <v>9209</v>
      </c>
      <c r="Q270" s="114" t="s">
        <v>89</v>
      </c>
      <c r="R270" s="114" t="s">
        <v>118</v>
      </c>
      <c r="S270" s="114" t="s">
        <v>89</v>
      </c>
      <c r="T270" s="114" t="s">
        <v>118</v>
      </c>
      <c r="U270" s="114" t="s">
        <v>8862</v>
      </c>
      <c r="V270" s="114" t="s">
        <v>3072</v>
      </c>
      <c r="W270" s="114" t="s">
        <v>9644</v>
      </c>
      <c r="X270" s="114" t="s">
        <v>2701</v>
      </c>
      <c r="Y270" s="114" t="s">
        <v>8851</v>
      </c>
      <c r="Z270" s="114" t="s">
        <v>2701</v>
      </c>
      <c r="AA270" s="114" t="s">
        <v>9216</v>
      </c>
      <c r="AB270" s="114" t="s">
        <v>8888</v>
      </c>
    </row>
    <row r="271" spans="1:28" ht="96" x14ac:dyDescent="0.2">
      <c r="A271" s="133" t="s">
        <v>1504</v>
      </c>
      <c r="B271" s="130">
        <v>51</v>
      </c>
      <c r="C271" s="130" t="s">
        <v>202</v>
      </c>
      <c r="D271" s="130" t="s">
        <v>347</v>
      </c>
      <c r="E271" s="131">
        <v>38002</v>
      </c>
      <c r="F271" s="131">
        <v>38020</v>
      </c>
      <c r="G271" s="132" t="s">
        <v>1505</v>
      </c>
      <c r="H271" s="132" t="s">
        <v>205</v>
      </c>
      <c r="I271" s="132" t="s">
        <v>215</v>
      </c>
      <c r="J271" s="132" t="s">
        <v>8687</v>
      </c>
      <c r="K271" s="440" t="str">
        <f>HYPERLINK("https://okcountyrecords.com/detail/roger+mills/2004-000580","OKCountyRecords: 2004-000580")</f>
        <v>OKCountyRecords: 2004-000580</v>
      </c>
      <c r="L271" s="133" t="s">
        <v>1501</v>
      </c>
      <c r="M271" s="133" t="s">
        <v>1491</v>
      </c>
      <c r="N271" s="133"/>
      <c r="O271" s="133" t="s">
        <v>422</v>
      </c>
      <c r="P271" s="114" t="s">
        <v>9209</v>
      </c>
      <c r="Q271" s="114" t="s">
        <v>89</v>
      </c>
      <c r="R271" s="114" t="s">
        <v>118</v>
      </c>
      <c r="S271" s="114" t="s">
        <v>89</v>
      </c>
      <c r="T271" s="114" t="s">
        <v>118</v>
      </c>
      <c r="U271" s="114" t="s">
        <v>8862</v>
      </c>
      <c r="V271" s="114" t="s">
        <v>3072</v>
      </c>
      <c r="W271" s="114" t="s">
        <v>8906</v>
      </c>
      <c r="X271" s="114" t="s">
        <v>2701</v>
      </c>
      <c r="Y271" s="114" t="s">
        <v>8851</v>
      </c>
      <c r="Z271" s="114" t="s">
        <v>2701</v>
      </c>
      <c r="AA271" s="114" t="s">
        <v>9217</v>
      </c>
      <c r="AB271" s="114" t="s">
        <v>8853</v>
      </c>
    </row>
    <row r="272" spans="1:28" ht="96" x14ac:dyDescent="0.2">
      <c r="A272" s="133" t="s">
        <v>1506</v>
      </c>
      <c r="B272" s="130">
        <v>53</v>
      </c>
      <c r="C272" s="130" t="s">
        <v>202</v>
      </c>
      <c r="D272" s="130" t="s">
        <v>352</v>
      </c>
      <c r="E272" s="131">
        <v>38002</v>
      </c>
      <c r="F272" s="131">
        <v>38029</v>
      </c>
      <c r="G272" s="132" t="s">
        <v>1507</v>
      </c>
      <c r="H272" s="132" t="s">
        <v>205</v>
      </c>
      <c r="I272" s="132" t="s">
        <v>215</v>
      </c>
      <c r="J272" s="132" t="s">
        <v>8688</v>
      </c>
      <c r="K272" s="440" t="str">
        <f>HYPERLINK("https://okcountyrecords.com/detail/roger+mills/2004-000721","OKCountyRecords: 2004-000721")</f>
        <v>OKCountyRecords: 2004-000721</v>
      </c>
      <c r="L272" s="133" t="s">
        <v>1501</v>
      </c>
      <c r="M272" s="133" t="s">
        <v>1491</v>
      </c>
      <c r="N272" s="133"/>
      <c r="O272" s="133" t="s">
        <v>422</v>
      </c>
      <c r="P272" s="114" t="s">
        <v>9209</v>
      </c>
      <c r="Q272" s="114" t="s">
        <v>89</v>
      </c>
      <c r="R272" s="114" t="s">
        <v>118</v>
      </c>
      <c r="S272" s="114" t="s">
        <v>89</v>
      </c>
      <c r="T272" s="114" t="s">
        <v>118</v>
      </c>
      <c r="U272" s="114" t="s">
        <v>8862</v>
      </c>
      <c r="V272" s="114" t="s">
        <v>3072</v>
      </c>
      <c r="W272" s="114" t="s">
        <v>8906</v>
      </c>
      <c r="X272" s="114" t="s">
        <v>2701</v>
      </c>
      <c r="Y272" s="114" t="s">
        <v>8851</v>
      </c>
      <c r="Z272" s="114" t="s">
        <v>2701</v>
      </c>
      <c r="AA272" s="114" t="s">
        <v>9218</v>
      </c>
      <c r="AB272" s="114" t="s">
        <v>8853</v>
      </c>
    </row>
    <row r="273" spans="1:28" ht="96" x14ac:dyDescent="0.2">
      <c r="A273" s="133" t="s">
        <v>1508</v>
      </c>
      <c r="B273" s="130">
        <v>52</v>
      </c>
      <c r="C273" s="130" t="s">
        <v>202</v>
      </c>
      <c r="D273" s="130" t="s">
        <v>350</v>
      </c>
      <c r="E273" s="131">
        <v>38002</v>
      </c>
      <c r="F273" s="131">
        <v>38020</v>
      </c>
      <c r="G273" s="132" t="s">
        <v>1509</v>
      </c>
      <c r="H273" s="132" t="s">
        <v>205</v>
      </c>
      <c r="I273" s="132" t="s">
        <v>215</v>
      </c>
      <c r="J273" s="132" t="s">
        <v>8689</v>
      </c>
      <c r="K273" s="440" t="str">
        <f>HYPERLINK("https://okcountyrecords.com/detail/roger+mills/2004-000582","OKCountyRecords: 2004-000582")</f>
        <v>OKCountyRecords: 2004-000582</v>
      </c>
      <c r="L273" s="133" t="s">
        <v>1501</v>
      </c>
      <c r="M273" s="133" t="s">
        <v>1491</v>
      </c>
      <c r="N273" s="133"/>
      <c r="O273" s="133" t="s">
        <v>422</v>
      </c>
      <c r="P273" s="114" t="s">
        <v>9209</v>
      </c>
      <c r="Q273" s="114" t="s">
        <v>89</v>
      </c>
      <c r="R273" s="114" t="s">
        <v>118</v>
      </c>
      <c r="S273" s="114" t="s">
        <v>89</v>
      </c>
      <c r="T273" s="114" t="s">
        <v>118</v>
      </c>
      <c r="U273" s="114" t="s">
        <v>8862</v>
      </c>
      <c r="V273" s="114" t="s">
        <v>3072</v>
      </c>
      <c r="W273" s="114" t="s">
        <v>8906</v>
      </c>
      <c r="X273" s="114" t="s">
        <v>2701</v>
      </c>
      <c r="Y273" s="114" t="s">
        <v>8851</v>
      </c>
      <c r="Z273" s="114" t="s">
        <v>2701</v>
      </c>
      <c r="AA273" s="114" t="s">
        <v>9219</v>
      </c>
      <c r="AB273" s="114" t="s">
        <v>8853</v>
      </c>
    </row>
    <row r="274" spans="1:28" ht="108" x14ac:dyDescent="0.2">
      <c r="A274" s="133" t="s">
        <v>1510</v>
      </c>
      <c r="B274" s="130">
        <v>5</v>
      </c>
      <c r="C274" s="130" t="s">
        <v>202</v>
      </c>
      <c r="D274" s="130" t="s">
        <v>213</v>
      </c>
      <c r="E274" s="131">
        <v>38002</v>
      </c>
      <c r="F274" s="131">
        <v>38020</v>
      </c>
      <c r="G274" s="132" t="s">
        <v>1511</v>
      </c>
      <c r="H274" s="132" t="s">
        <v>205</v>
      </c>
      <c r="I274" s="132" t="s">
        <v>215</v>
      </c>
      <c r="J274" s="132" t="s">
        <v>8690</v>
      </c>
      <c r="K274" s="440" t="str">
        <f>HYPERLINK("https://okcountyrecords.com/detail/roger+mills/2004-000579","OKCountyRecords: 2004-000579")</f>
        <v>OKCountyRecords: 2004-000579</v>
      </c>
      <c r="L274" s="133" t="s">
        <v>1501</v>
      </c>
      <c r="M274" s="133" t="s">
        <v>1491</v>
      </c>
      <c r="N274" s="133"/>
      <c r="O274" s="133" t="s">
        <v>422</v>
      </c>
      <c r="P274" s="114" t="s">
        <v>9209</v>
      </c>
      <c r="Q274" s="114" t="s">
        <v>89</v>
      </c>
      <c r="R274" s="114" t="s">
        <v>118</v>
      </c>
      <c r="S274" s="114" t="s">
        <v>89</v>
      </c>
      <c r="T274" s="114" t="s">
        <v>118</v>
      </c>
      <c r="U274" s="114" t="s">
        <v>8862</v>
      </c>
      <c r="V274" s="114" t="s">
        <v>3072</v>
      </c>
      <c r="W274" s="114" t="s">
        <v>8906</v>
      </c>
      <c r="X274" s="114" t="s">
        <v>2701</v>
      </c>
      <c r="Y274" s="114" t="s">
        <v>8851</v>
      </c>
      <c r="Z274" s="114" t="s">
        <v>2701</v>
      </c>
      <c r="AA274" s="114" t="s">
        <v>9220</v>
      </c>
      <c r="AB274" s="114" t="s">
        <v>8853</v>
      </c>
    </row>
    <row r="275" spans="1:28" ht="108" x14ac:dyDescent="0.2">
      <c r="A275" s="133" t="s">
        <v>1512</v>
      </c>
      <c r="B275" s="130">
        <v>7</v>
      </c>
      <c r="C275" s="130" t="s">
        <v>202</v>
      </c>
      <c r="D275" s="130" t="s">
        <v>219</v>
      </c>
      <c r="E275" s="131">
        <v>38002</v>
      </c>
      <c r="F275" s="131">
        <v>38762</v>
      </c>
      <c r="G275" s="132" t="s">
        <v>1511</v>
      </c>
      <c r="H275" s="132" t="s">
        <v>205</v>
      </c>
      <c r="I275" s="132" t="s">
        <v>215</v>
      </c>
      <c r="J275" s="132" t="s">
        <v>8690</v>
      </c>
      <c r="K275" s="440" t="str">
        <f>HYPERLINK("https://okcountyrecords.com/detail/roger+mills/2006-001223","OKCountyRecords: 2006-001223")</f>
        <v>OKCountyRecords: 2006-001223</v>
      </c>
      <c r="L275" s="133" t="s">
        <v>1501</v>
      </c>
      <c r="M275" s="133" t="s">
        <v>1491</v>
      </c>
      <c r="N275" s="133"/>
      <c r="O275" s="133" t="s">
        <v>422</v>
      </c>
      <c r="P275" s="114" t="s">
        <v>9209</v>
      </c>
      <c r="Q275" s="114" t="s">
        <v>89</v>
      </c>
      <c r="R275" s="114" t="s">
        <v>118</v>
      </c>
      <c r="S275" s="114" t="s">
        <v>89</v>
      </c>
      <c r="T275" s="114" t="s">
        <v>118</v>
      </c>
      <c r="U275" s="114" t="s">
        <v>8862</v>
      </c>
      <c r="V275" s="114" t="s">
        <v>3072</v>
      </c>
      <c r="W275" s="114" t="s">
        <v>8906</v>
      </c>
      <c r="X275" s="114" t="s">
        <v>2701</v>
      </c>
      <c r="Y275" s="114" t="s">
        <v>8851</v>
      </c>
      <c r="Z275" s="114" t="s">
        <v>2701</v>
      </c>
      <c r="AA275" s="114" t="s">
        <v>9221</v>
      </c>
      <c r="AB275" s="114" t="s">
        <v>8853</v>
      </c>
    </row>
    <row r="276" spans="1:28" ht="84" x14ac:dyDescent="0.2">
      <c r="A276" s="133" t="s">
        <v>1513</v>
      </c>
      <c r="B276" s="130">
        <v>11</v>
      </c>
      <c r="C276" s="130" t="s">
        <v>202</v>
      </c>
      <c r="D276" s="130" t="s">
        <v>233</v>
      </c>
      <c r="E276" s="131">
        <v>38007</v>
      </c>
      <c r="F276" s="131">
        <v>38029</v>
      </c>
      <c r="G276" s="132" t="s">
        <v>8773</v>
      </c>
      <c r="H276" s="132" t="s">
        <v>205</v>
      </c>
      <c r="I276" s="132" t="s">
        <v>215</v>
      </c>
      <c r="J276" s="132" t="s">
        <v>8691</v>
      </c>
      <c r="K276" s="440" t="str">
        <f>HYPERLINK("https://okcountyrecords.com/detail/roger+mills/2004-000720","OKCountyRecords: 2004-000720")</f>
        <v>OKCountyRecords: 2004-000720</v>
      </c>
      <c r="L276" s="133" t="s">
        <v>1501</v>
      </c>
      <c r="M276" s="133" t="s">
        <v>1491</v>
      </c>
      <c r="N276" s="133"/>
      <c r="O276" s="133" t="s">
        <v>422</v>
      </c>
      <c r="P276" s="114" t="s">
        <v>9209</v>
      </c>
      <c r="Q276" s="114" t="s">
        <v>89</v>
      </c>
      <c r="R276" s="114" t="s">
        <v>118</v>
      </c>
      <c r="S276" s="114" t="s">
        <v>89</v>
      </c>
      <c r="T276" s="114" t="s">
        <v>118</v>
      </c>
      <c r="U276" s="114" t="s">
        <v>8862</v>
      </c>
      <c r="V276" s="114" t="s">
        <v>3072</v>
      </c>
      <c r="W276" s="114" t="s">
        <v>9645</v>
      </c>
      <c r="X276" s="114" t="s">
        <v>2701</v>
      </c>
      <c r="Y276" s="114" t="s">
        <v>8851</v>
      </c>
      <c r="Z276" s="114" t="s">
        <v>2701</v>
      </c>
      <c r="AA276" s="114" t="s">
        <v>9222</v>
      </c>
      <c r="AB276" s="114" t="s">
        <v>8888</v>
      </c>
    </row>
    <row r="277" spans="1:28" ht="72" x14ac:dyDescent="0.2">
      <c r="A277" s="133" t="s">
        <v>1515</v>
      </c>
      <c r="B277" s="130">
        <v>57</v>
      </c>
      <c r="C277" s="130" t="s">
        <v>202</v>
      </c>
      <c r="D277" s="130" t="s">
        <v>362</v>
      </c>
      <c r="E277" s="131">
        <v>38013</v>
      </c>
      <c r="F277" s="131">
        <v>38027</v>
      </c>
      <c r="G277" s="132" t="s">
        <v>8774</v>
      </c>
      <c r="H277" s="132" t="s">
        <v>205</v>
      </c>
      <c r="I277" s="132" t="s">
        <v>215</v>
      </c>
      <c r="J277" s="132" t="s">
        <v>216</v>
      </c>
      <c r="K277" s="440" t="str">
        <f>HYPERLINK("https://okcountyrecords.com/detail/roger+mills/2004-000690","OKCountyRecords: 2004-000690")</f>
        <v>OKCountyRecords: 2004-000690</v>
      </c>
      <c r="L277" s="133" t="s">
        <v>1501</v>
      </c>
      <c r="M277" s="133" t="s">
        <v>1491</v>
      </c>
      <c r="N277" s="133"/>
      <c r="O277" s="133" t="s">
        <v>1492</v>
      </c>
      <c r="P277" s="114" t="s">
        <v>9209</v>
      </c>
      <c r="Q277" s="114" t="s">
        <v>89</v>
      </c>
      <c r="R277" s="114" t="s">
        <v>118</v>
      </c>
      <c r="S277" s="114" t="s">
        <v>89</v>
      </c>
      <c r="T277" s="114" t="s">
        <v>118</v>
      </c>
      <c r="U277" s="114" t="s">
        <v>8862</v>
      </c>
      <c r="V277" s="114" t="s">
        <v>3072</v>
      </c>
      <c r="W277" s="114" t="s">
        <v>9646</v>
      </c>
      <c r="X277" s="114" t="s">
        <v>2701</v>
      </c>
      <c r="Y277" s="114" t="s">
        <v>8851</v>
      </c>
      <c r="Z277" s="114" t="s">
        <v>2701</v>
      </c>
      <c r="AA277" s="114" t="s">
        <v>9223</v>
      </c>
      <c r="AB277" s="114" t="s">
        <v>8888</v>
      </c>
    </row>
    <row r="278" spans="1:28" ht="72" x14ac:dyDescent="0.2">
      <c r="A278" s="133" t="s">
        <v>1517</v>
      </c>
      <c r="B278" s="130"/>
      <c r="C278" s="130" t="s">
        <v>1368</v>
      </c>
      <c r="D278" s="130" t="s">
        <v>1518</v>
      </c>
      <c r="E278" s="131">
        <v>38014</v>
      </c>
      <c r="F278" s="131">
        <v>38027</v>
      </c>
      <c r="G278" s="132" t="s">
        <v>1519</v>
      </c>
      <c r="H278" s="132" t="s">
        <v>1520</v>
      </c>
      <c r="I278" s="132" t="s">
        <v>215</v>
      </c>
      <c r="J278" s="132" t="s">
        <v>63</v>
      </c>
      <c r="K278" s="440" t="str">
        <f>HYPERLINK("https://okcountyrecords.com/detail/roger+mills/2004-000691","OKCountyRecords: 2004-000691")</f>
        <v>OKCountyRecords: 2004-000691</v>
      </c>
      <c r="L278" s="133" t="s">
        <v>8711</v>
      </c>
      <c r="M278" s="133" t="s">
        <v>641</v>
      </c>
      <c r="N278" s="133" t="s">
        <v>8712</v>
      </c>
      <c r="O278" s="133" t="s">
        <v>428</v>
      </c>
      <c r="P278" s="114" t="s">
        <v>8886</v>
      </c>
      <c r="Q278" s="114" t="s">
        <v>118</v>
      </c>
      <c r="R278" s="114" t="s">
        <v>89</v>
      </c>
      <c r="S278" s="114" t="s">
        <v>118</v>
      </c>
      <c r="T278" s="114" t="s">
        <v>89</v>
      </c>
      <c r="U278" s="114" t="s">
        <v>8862</v>
      </c>
      <c r="V278" s="114" t="s">
        <v>3072</v>
      </c>
      <c r="W278" s="114" t="s">
        <v>8864</v>
      </c>
      <c r="X278" s="114" t="s">
        <v>2701</v>
      </c>
      <c r="Y278" s="114" t="s">
        <v>8857</v>
      </c>
      <c r="Z278" s="114" t="s">
        <v>8858</v>
      </c>
      <c r="AA278" s="114" t="s">
        <v>9224</v>
      </c>
      <c r="AB278" s="114" t="s">
        <v>8867</v>
      </c>
    </row>
    <row r="279" spans="1:28" ht="48" x14ac:dyDescent="0.2">
      <c r="A279" s="133" t="s">
        <v>1521</v>
      </c>
      <c r="B279" s="130">
        <v>9</v>
      </c>
      <c r="C279" s="130" t="s">
        <v>202</v>
      </c>
      <c r="D279" s="130" t="s">
        <v>224</v>
      </c>
      <c r="E279" s="131">
        <v>38016</v>
      </c>
      <c r="F279" s="131">
        <v>38020</v>
      </c>
      <c r="G279" s="132" t="s">
        <v>8775</v>
      </c>
      <c r="H279" s="132" t="s">
        <v>205</v>
      </c>
      <c r="I279" s="132" t="s">
        <v>1523</v>
      </c>
      <c r="J279" s="132" t="s">
        <v>227</v>
      </c>
      <c r="K279" s="440" t="str">
        <f>HYPERLINK("https://okcountyrecords.com/detail/roger+mills/2004-000581","OKCountyRecords: 2004-000581")</f>
        <v>OKCountyRecords: 2004-000581</v>
      </c>
      <c r="L279" s="133" t="s">
        <v>1501</v>
      </c>
      <c r="M279" s="133" t="s">
        <v>1491</v>
      </c>
      <c r="N279" s="133"/>
      <c r="O279" s="133" t="s">
        <v>1492</v>
      </c>
      <c r="P279" s="114" t="s">
        <v>9209</v>
      </c>
      <c r="Q279" s="114" t="s">
        <v>89</v>
      </c>
      <c r="R279" s="114" t="s">
        <v>118</v>
      </c>
      <c r="S279" s="114" t="s">
        <v>89</v>
      </c>
      <c r="T279" s="114" t="s">
        <v>118</v>
      </c>
      <c r="U279" s="114" t="s">
        <v>8930</v>
      </c>
      <c r="V279" s="114" t="s">
        <v>2701</v>
      </c>
      <c r="W279" s="114" t="s">
        <v>9647</v>
      </c>
      <c r="X279" s="114" t="s">
        <v>2701</v>
      </c>
      <c r="Y279" s="114" t="s">
        <v>8851</v>
      </c>
      <c r="Z279" s="114" t="s">
        <v>2701</v>
      </c>
      <c r="AA279" s="114" t="s">
        <v>9225</v>
      </c>
      <c r="AB279" s="114" t="s">
        <v>9139</v>
      </c>
    </row>
    <row r="280" spans="1:28" ht="48" x14ac:dyDescent="0.2">
      <c r="A280" s="133" t="s">
        <v>1524</v>
      </c>
      <c r="B280" s="130">
        <v>8</v>
      </c>
      <c r="C280" s="130" t="s">
        <v>202</v>
      </c>
      <c r="D280" s="130" t="s">
        <v>220</v>
      </c>
      <c r="E280" s="131">
        <v>38020</v>
      </c>
      <c r="F280" s="131">
        <v>38027</v>
      </c>
      <c r="G280" s="132" t="s">
        <v>8776</v>
      </c>
      <c r="H280" s="132" t="s">
        <v>205</v>
      </c>
      <c r="I280" s="132" t="s">
        <v>222</v>
      </c>
      <c r="J280" s="132" t="s">
        <v>223</v>
      </c>
      <c r="K280" s="440" t="str">
        <f>HYPERLINK("https://okcountyrecords.com/detail/roger+mills/2004-000685","OKCountyRecords: 2004-000685")</f>
        <v>OKCountyRecords: 2004-000685</v>
      </c>
      <c r="L280" s="133" t="s">
        <v>1501</v>
      </c>
      <c r="M280" s="133" t="s">
        <v>1491</v>
      </c>
      <c r="N280" s="133"/>
      <c r="O280" s="133" t="s">
        <v>1492</v>
      </c>
      <c r="P280" s="114" t="s">
        <v>9209</v>
      </c>
      <c r="Q280" s="114" t="s">
        <v>89</v>
      </c>
      <c r="R280" s="114" t="s">
        <v>118</v>
      </c>
      <c r="S280" s="114" t="s">
        <v>89</v>
      </c>
      <c r="T280" s="114" t="s">
        <v>118</v>
      </c>
      <c r="U280" s="114" t="s">
        <v>8935</v>
      </c>
      <c r="V280" s="114" t="s">
        <v>2701</v>
      </c>
      <c r="W280" s="114" t="s">
        <v>8864</v>
      </c>
      <c r="X280" s="114" t="s">
        <v>2701</v>
      </c>
      <c r="Y280" s="114" t="s">
        <v>8851</v>
      </c>
      <c r="Z280" s="114" t="s">
        <v>2701</v>
      </c>
      <c r="AA280" s="114" t="s">
        <v>9226</v>
      </c>
      <c r="AB280" s="114" t="s">
        <v>9139</v>
      </c>
    </row>
    <row r="281" spans="1:28" ht="72" x14ac:dyDescent="0.2">
      <c r="A281" s="133" t="s">
        <v>1526</v>
      </c>
      <c r="B281" s="130"/>
      <c r="C281" s="130" t="s">
        <v>1456</v>
      </c>
      <c r="D281" s="130" t="s">
        <v>1527</v>
      </c>
      <c r="E281" s="131">
        <v>38022</v>
      </c>
      <c r="F281" s="131">
        <v>38068</v>
      </c>
      <c r="G281" s="132" t="s">
        <v>205</v>
      </c>
      <c r="H281" s="132" t="s">
        <v>1529</v>
      </c>
      <c r="I281" s="132" t="s">
        <v>1530</v>
      </c>
      <c r="J281" s="132" t="s">
        <v>9571</v>
      </c>
      <c r="K281" s="440" t="str">
        <f>HYPERLINK("https://okcountyrecords.com/detail/roger+mills/2004-001426","OKCountyRecords: 2004-001426")</f>
        <v>OKCountyRecords: 2004-001426</v>
      </c>
      <c r="L281" s="133" t="s">
        <v>1501</v>
      </c>
      <c r="M281" s="133"/>
      <c r="N281" s="133"/>
      <c r="O281" s="133" t="s">
        <v>1532</v>
      </c>
      <c r="P281" s="114" t="s">
        <v>9043</v>
      </c>
      <c r="Q281" s="114" t="s">
        <v>2701</v>
      </c>
      <c r="R281" s="114" t="s">
        <v>118</v>
      </c>
      <c r="S281" s="114" t="s">
        <v>2701</v>
      </c>
      <c r="T281" s="114" t="s">
        <v>118</v>
      </c>
      <c r="U281" s="114" t="s">
        <v>9227</v>
      </c>
      <c r="V281" s="114" t="s">
        <v>2701</v>
      </c>
      <c r="W281" s="114" t="s">
        <v>8906</v>
      </c>
      <c r="X281" s="114" t="s">
        <v>2701</v>
      </c>
      <c r="Y281" s="114" t="s">
        <v>8851</v>
      </c>
      <c r="Z281" s="114" t="s">
        <v>2701</v>
      </c>
      <c r="AA281" s="114" t="s">
        <v>9228</v>
      </c>
      <c r="AB281" s="114" t="s">
        <v>8871</v>
      </c>
    </row>
    <row r="282" spans="1:28" ht="48" x14ac:dyDescent="0.2">
      <c r="A282" s="133" t="s">
        <v>1533</v>
      </c>
      <c r="B282" s="130">
        <v>17</v>
      </c>
      <c r="C282" s="130" t="s">
        <v>202</v>
      </c>
      <c r="D282" s="130" t="s">
        <v>252</v>
      </c>
      <c r="E282" s="131">
        <v>38023</v>
      </c>
      <c r="F282" s="131">
        <v>38049</v>
      </c>
      <c r="G282" s="132" t="s">
        <v>1534</v>
      </c>
      <c r="H282" s="132" t="s">
        <v>205</v>
      </c>
      <c r="I282" s="132" t="s">
        <v>215</v>
      </c>
      <c r="J282" s="132" t="s">
        <v>216</v>
      </c>
      <c r="K282" s="440" t="str">
        <f>HYPERLINK("https://okcountyrecords.com/detail/roger+mills/2004-001053","OKCountyRecords: 2004-001053")</f>
        <v>OKCountyRecords: 2004-001053</v>
      </c>
      <c r="L282" s="133" t="s">
        <v>1501</v>
      </c>
      <c r="M282" s="133" t="s">
        <v>1491</v>
      </c>
      <c r="N282" s="133"/>
      <c r="O282" s="133" t="s">
        <v>1492</v>
      </c>
      <c r="P282" s="114" t="s">
        <v>9209</v>
      </c>
      <c r="Q282" s="114" t="s">
        <v>89</v>
      </c>
      <c r="R282" s="114" t="s">
        <v>118</v>
      </c>
      <c r="S282" s="114" t="s">
        <v>89</v>
      </c>
      <c r="T282" s="114" t="s">
        <v>118</v>
      </c>
      <c r="U282" s="114" t="s">
        <v>8862</v>
      </c>
      <c r="V282" s="114" t="s">
        <v>3072</v>
      </c>
      <c r="W282" s="114" t="s">
        <v>8864</v>
      </c>
      <c r="X282" s="114" t="s">
        <v>2701</v>
      </c>
      <c r="Y282" s="114" t="s">
        <v>8851</v>
      </c>
      <c r="Z282" s="114" t="s">
        <v>2701</v>
      </c>
      <c r="AA282" s="114" t="s">
        <v>9229</v>
      </c>
      <c r="AB282" s="114" t="s">
        <v>8888</v>
      </c>
    </row>
    <row r="283" spans="1:28" ht="84" x14ac:dyDescent="0.2">
      <c r="A283" s="133" t="s">
        <v>1535</v>
      </c>
      <c r="B283" s="130">
        <v>10</v>
      </c>
      <c r="C283" s="130" t="s">
        <v>202</v>
      </c>
      <c r="D283" s="130" t="s">
        <v>229</v>
      </c>
      <c r="E283" s="131">
        <v>38026</v>
      </c>
      <c r="F283" s="131">
        <v>38027</v>
      </c>
      <c r="G283" s="132" t="s">
        <v>8777</v>
      </c>
      <c r="H283" s="132" t="s">
        <v>205</v>
      </c>
      <c r="I283" s="132" t="s">
        <v>1537</v>
      </c>
      <c r="J283" s="132" t="s">
        <v>8692</v>
      </c>
      <c r="K283" s="440" t="str">
        <f>HYPERLINK("https://okcountyrecords.com/detail/roger+mills/2004-000679","OKCountyRecords: 2004-000679")</f>
        <v>OKCountyRecords: 2004-000679</v>
      </c>
      <c r="L283" s="133" t="s">
        <v>1501</v>
      </c>
      <c r="M283" s="133" t="s">
        <v>1491</v>
      </c>
      <c r="N283" s="133"/>
      <c r="O283" s="133" t="s">
        <v>422</v>
      </c>
      <c r="P283" s="114" t="s">
        <v>9209</v>
      </c>
      <c r="Q283" s="114" t="s">
        <v>89</v>
      </c>
      <c r="R283" s="114" t="s">
        <v>118</v>
      </c>
      <c r="S283" s="114" t="s">
        <v>89</v>
      </c>
      <c r="T283" s="114" t="s">
        <v>118</v>
      </c>
      <c r="U283" s="114" t="s">
        <v>9230</v>
      </c>
      <c r="V283" s="114" t="s">
        <v>3072</v>
      </c>
      <c r="W283" s="114" t="s">
        <v>8906</v>
      </c>
      <c r="X283" s="114" t="s">
        <v>2701</v>
      </c>
      <c r="Y283" s="114" t="s">
        <v>8851</v>
      </c>
      <c r="Z283" s="114" t="s">
        <v>2701</v>
      </c>
      <c r="AA283" s="114" t="s">
        <v>9231</v>
      </c>
      <c r="AB283" s="114" t="s">
        <v>8853</v>
      </c>
    </row>
    <row r="284" spans="1:28" ht="48" x14ac:dyDescent="0.2">
      <c r="A284" s="133" t="s">
        <v>1538</v>
      </c>
      <c r="B284" s="130"/>
      <c r="C284" s="130" t="s">
        <v>1456</v>
      </c>
      <c r="D284" s="130" t="s">
        <v>1539</v>
      </c>
      <c r="E284" s="131">
        <v>38029</v>
      </c>
      <c r="F284" s="131">
        <v>38117</v>
      </c>
      <c r="G284" s="132" t="s">
        <v>205</v>
      </c>
      <c r="H284" s="132" t="s">
        <v>1540</v>
      </c>
      <c r="I284" s="132" t="s">
        <v>1541</v>
      </c>
      <c r="J284" s="132" t="s">
        <v>1542</v>
      </c>
      <c r="K284" s="440" t="str">
        <f>HYPERLINK("https://okcountyrecords.com/detail/roger+mills/2004-002305","OKCountyRecords: 2004-002305")</f>
        <v>OKCountyRecords: 2004-002305</v>
      </c>
      <c r="L284" s="133" t="s">
        <v>1501</v>
      </c>
      <c r="M284" s="133" t="s">
        <v>8756</v>
      </c>
      <c r="N284" s="133"/>
      <c r="O284" s="133" t="s">
        <v>1532</v>
      </c>
      <c r="P284" s="114" t="s">
        <v>9043</v>
      </c>
      <c r="Q284" s="114" t="s">
        <v>2701</v>
      </c>
      <c r="R284" s="114" t="s">
        <v>118</v>
      </c>
      <c r="S284" s="114" t="s">
        <v>2701</v>
      </c>
      <c r="T284" s="114" t="s">
        <v>118</v>
      </c>
      <c r="U284" s="114" t="s">
        <v>9232</v>
      </c>
      <c r="V284" s="114" t="s">
        <v>2701</v>
      </c>
      <c r="W284" s="114" t="s">
        <v>8906</v>
      </c>
      <c r="X284" s="114" t="s">
        <v>2701</v>
      </c>
      <c r="Y284" s="114" t="s">
        <v>8851</v>
      </c>
      <c r="Z284" s="114" t="s">
        <v>2701</v>
      </c>
      <c r="AA284" s="114" t="s">
        <v>9233</v>
      </c>
      <c r="AB284" s="114" t="s">
        <v>8871</v>
      </c>
    </row>
    <row r="285" spans="1:28" ht="84" x14ac:dyDescent="0.2">
      <c r="A285" s="133" t="s">
        <v>1544</v>
      </c>
      <c r="B285" s="130">
        <v>12</v>
      </c>
      <c r="C285" s="130" t="s">
        <v>202</v>
      </c>
      <c r="D285" s="130" t="s">
        <v>235</v>
      </c>
      <c r="E285" s="131">
        <v>38032</v>
      </c>
      <c r="F285" s="131">
        <v>38040</v>
      </c>
      <c r="G285" s="132" t="s">
        <v>1545</v>
      </c>
      <c r="H285" s="132" t="s">
        <v>237</v>
      </c>
      <c r="I285" s="132" t="s">
        <v>1537</v>
      </c>
      <c r="J285" s="132" t="s">
        <v>8693</v>
      </c>
      <c r="K285" s="440" t="str">
        <f>HYPERLINK("https://okcountyrecords.com/detail/roger+mills/2004-000880","OKCountyRecords: 2004-000880")</f>
        <v>OKCountyRecords: 2004-000880</v>
      </c>
      <c r="L285" s="133" t="s">
        <v>1490</v>
      </c>
      <c r="M285" s="133" t="s">
        <v>1491</v>
      </c>
      <c r="N285" s="133"/>
      <c r="O285" s="133" t="s">
        <v>413</v>
      </c>
      <c r="P285" s="114" t="s">
        <v>9209</v>
      </c>
      <c r="Q285" s="114" t="s">
        <v>89</v>
      </c>
      <c r="R285" s="114" t="s">
        <v>118</v>
      </c>
      <c r="S285" s="114" t="s">
        <v>89</v>
      </c>
      <c r="T285" s="114" t="s">
        <v>118</v>
      </c>
      <c r="U285" s="114" t="s">
        <v>9234</v>
      </c>
      <c r="V285" s="114" t="s">
        <v>2701</v>
      </c>
      <c r="W285" s="114" t="s">
        <v>8855</v>
      </c>
      <c r="X285" s="114" t="s">
        <v>2701</v>
      </c>
      <c r="Y285" s="114" t="s">
        <v>8851</v>
      </c>
      <c r="Z285" s="114" t="s">
        <v>2701</v>
      </c>
      <c r="AA285" s="114" t="s">
        <v>9235</v>
      </c>
      <c r="AB285" s="114" t="s">
        <v>9236</v>
      </c>
    </row>
    <row r="286" spans="1:28" ht="48" x14ac:dyDescent="0.2">
      <c r="A286" s="133" t="s">
        <v>1547</v>
      </c>
      <c r="B286" s="130"/>
      <c r="C286" s="130" t="s">
        <v>1456</v>
      </c>
      <c r="D286" s="130" t="s">
        <v>1548</v>
      </c>
      <c r="E286" s="131">
        <v>38041</v>
      </c>
      <c r="F286" s="131">
        <v>38168</v>
      </c>
      <c r="G286" s="132" t="s">
        <v>205</v>
      </c>
      <c r="H286" s="132" t="s">
        <v>1549</v>
      </c>
      <c r="I286" s="132" t="s">
        <v>1550</v>
      </c>
      <c r="J286" s="132" t="s">
        <v>1551</v>
      </c>
      <c r="K286" s="440" t="str">
        <f>HYPERLINK("https://okcountyrecords.com/detail/roger+mills/2004-003392","OKCountyRecords: 2004-003392")</f>
        <v>OKCountyRecords: 2004-003392</v>
      </c>
      <c r="L286" s="133" t="s">
        <v>1501</v>
      </c>
      <c r="M286" s="133"/>
      <c r="N286" s="133"/>
      <c r="O286" s="133" t="s">
        <v>1532</v>
      </c>
      <c r="P286" s="114" t="s">
        <v>9043</v>
      </c>
      <c r="Q286" s="114" t="s">
        <v>2701</v>
      </c>
      <c r="R286" s="114" t="s">
        <v>118</v>
      </c>
      <c r="S286" s="114" t="s">
        <v>2701</v>
      </c>
      <c r="T286" s="114" t="s">
        <v>118</v>
      </c>
      <c r="U286" s="114" t="s">
        <v>9230</v>
      </c>
      <c r="V286" s="114" t="s">
        <v>3072</v>
      </c>
      <c r="W286" s="114" t="s">
        <v>8906</v>
      </c>
      <c r="X286" s="114" t="s">
        <v>2701</v>
      </c>
      <c r="Y286" s="114" t="s">
        <v>8851</v>
      </c>
      <c r="Z286" s="114" t="s">
        <v>2701</v>
      </c>
      <c r="AA286" s="114" t="s">
        <v>9237</v>
      </c>
      <c r="AB286" s="114" t="s">
        <v>8853</v>
      </c>
    </row>
    <row r="287" spans="1:28" ht="72" x14ac:dyDescent="0.2">
      <c r="A287" s="133" t="s">
        <v>1552</v>
      </c>
      <c r="B287" s="130"/>
      <c r="C287" s="130" t="s">
        <v>1456</v>
      </c>
      <c r="D287" s="130" t="s">
        <v>1553</v>
      </c>
      <c r="E287" s="131">
        <v>38041</v>
      </c>
      <c r="F287" s="131">
        <v>38071</v>
      </c>
      <c r="G287" s="132" t="s">
        <v>205</v>
      </c>
      <c r="H287" s="132" t="s">
        <v>1554</v>
      </c>
      <c r="I287" s="132" t="s">
        <v>222</v>
      </c>
      <c r="J287" s="132" t="s">
        <v>9572</v>
      </c>
      <c r="K287" s="440" t="str">
        <f>HYPERLINK("https://okcountyrecords.com/detail/roger+mills/2004-001493","OKCountyRecords: 2004-001493")</f>
        <v>OKCountyRecords: 2004-001493</v>
      </c>
      <c r="L287" s="133" t="s">
        <v>1501</v>
      </c>
      <c r="M287" s="133" t="s">
        <v>8756</v>
      </c>
      <c r="N287" s="133"/>
      <c r="O287" s="133" t="s">
        <v>1532</v>
      </c>
      <c r="P287" s="114" t="s">
        <v>9043</v>
      </c>
      <c r="Q287" s="114" t="s">
        <v>2701</v>
      </c>
      <c r="R287" s="114" t="s">
        <v>118</v>
      </c>
      <c r="S287" s="114" t="s">
        <v>2701</v>
      </c>
      <c r="T287" s="114" t="s">
        <v>118</v>
      </c>
      <c r="U287" s="114" t="s">
        <v>8935</v>
      </c>
      <c r="V287" s="114" t="s">
        <v>2701</v>
      </c>
      <c r="W287" s="114" t="s">
        <v>8906</v>
      </c>
      <c r="X287" s="114" t="s">
        <v>2701</v>
      </c>
      <c r="Y287" s="114" t="s">
        <v>8851</v>
      </c>
      <c r="Z287" s="114" t="s">
        <v>2701</v>
      </c>
      <c r="AA287" s="114" t="s">
        <v>9238</v>
      </c>
      <c r="AB287" s="114" t="s">
        <v>8871</v>
      </c>
    </row>
    <row r="288" spans="1:28" ht="72" x14ac:dyDescent="0.2">
      <c r="A288" s="133" t="s">
        <v>1556</v>
      </c>
      <c r="B288" s="130"/>
      <c r="C288" s="130" t="s">
        <v>1557</v>
      </c>
      <c r="D288" s="130" t="s">
        <v>1558</v>
      </c>
      <c r="E288" s="131">
        <v>38078</v>
      </c>
      <c r="F288" s="131">
        <v>38084</v>
      </c>
      <c r="G288" s="132" t="s">
        <v>342</v>
      </c>
      <c r="H288" s="132" t="s">
        <v>1559</v>
      </c>
      <c r="I288" s="132" t="s">
        <v>1256</v>
      </c>
      <c r="J288" s="132" t="s">
        <v>1560</v>
      </c>
      <c r="K288" s="440" t="str">
        <f>HYPERLINK("https://okcountyrecords.com/detail/roger+mills/2004-001735","OKCountyRecords: 2004-001735")</f>
        <v>OKCountyRecords: 2004-001735</v>
      </c>
      <c r="L288" s="133" t="s">
        <v>8711</v>
      </c>
      <c r="M288" s="133" t="s">
        <v>641</v>
      </c>
      <c r="N288" s="133" t="s">
        <v>8712</v>
      </c>
      <c r="O288" s="133" t="s">
        <v>422</v>
      </c>
      <c r="P288" s="114" t="s">
        <v>8886</v>
      </c>
      <c r="Q288" s="114" t="s">
        <v>118</v>
      </c>
      <c r="R288" s="114" t="s">
        <v>89</v>
      </c>
      <c r="S288" s="114" t="s">
        <v>118</v>
      </c>
      <c r="T288" s="114" t="s">
        <v>89</v>
      </c>
      <c r="U288" s="114" t="s">
        <v>8935</v>
      </c>
      <c r="V288" s="114" t="s">
        <v>2701</v>
      </c>
      <c r="W288" s="114" t="s">
        <v>9648</v>
      </c>
      <c r="X288" s="114" t="s">
        <v>8869</v>
      </c>
      <c r="Y288" s="114" t="s">
        <v>9239</v>
      </c>
      <c r="Z288" s="114" t="s">
        <v>8858</v>
      </c>
      <c r="AA288" s="114" t="s">
        <v>9240</v>
      </c>
      <c r="AB288" s="114" t="s">
        <v>8877</v>
      </c>
    </row>
    <row r="289" spans="1:28" ht="72" x14ac:dyDescent="0.2">
      <c r="A289" s="133" t="s">
        <v>1561</v>
      </c>
      <c r="B289" s="130"/>
      <c r="C289" s="130" t="s">
        <v>1562</v>
      </c>
      <c r="D289" s="130" t="s">
        <v>1563</v>
      </c>
      <c r="E289" s="131">
        <v>38112</v>
      </c>
      <c r="F289" s="131">
        <v>38121</v>
      </c>
      <c r="G289" s="132" t="s">
        <v>1564</v>
      </c>
      <c r="H289" s="132" t="s">
        <v>1565</v>
      </c>
      <c r="I289" s="132" t="s">
        <v>1280</v>
      </c>
      <c r="J289" s="132" t="s">
        <v>1566</v>
      </c>
      <c r="K289" s="440" t="str">
        <f>HYPERLINK("https://okcountyrecords.com/detail/roger+mills/2004-002491","OKCountyRecords: 2004-002491")</f>
        <v>OKCountyRecords: 2004-002491</v>
      </c>
      <c r="L289" s="133" t="s">
        <v>8711</v>
      </c>
      <c r="M289" s="133" t="s">
        <v>641</v>
      </c>
      <c r="N289" s="133" t="s">
        <v>8712</v>
      </c>
      <c r="O289" s="133" t="s">
        <v>422</v>
      </c>
      <c r="P289" s="114" t="s">
        <v>8886</v>
      </c>
      <c r="Q289" s="114" t="s">
        <v>118</v>
      </c>
      <c r="R289" s="114" t="s">
        <v>89</v>
      </c>
      <c r="S289" s="114" t="s">
        <v>118</v>
      </c>
      <c r="T289" s="114" t="s">
        <v>89</v>
      </c>
      <c r="U289" s="114" t="s">
        <v>8862</v>
      </c>
      <c r="V289" s="114" t="s">
        <v>3072</v>
      </c>
      <c r="W289" s="114" t="s">
        <v>8864</v>
      </c>
      <c r="X289" s="114" t="s">
        <v>2701</v>
      </c>
      <c r="Y289" s="114" t="s">
        <v>8857</v>
      </c>
      <c r="Z289" s="114" t="s">
        <v>8858</v>
      </c>
      <c r="AA289" s="114" t="s">
        <v>9241</v>
      </c>
      <c r="AB289" s="114" t="s">
        <v>8867</v>
      </c>
    </row>
    <row r="290" spans="1:28" ht="48" x14ac:dyDescent="0.2">
      <c r="A290" s="133" t="s">
        <v>1567</v>
      </c>
      <c r="B290" s="130"/>
      <c r="C290" s="130" t="s">
        <v>1456</v>
      </c>
      <c r="D290" s="130" t="s">
        <v>1568</v>
      </c>
      <c r="E290" s="131">
        <v>38127</v>
      </c>
      <c r="F290" s="131">
        <v>38145</v>
      </c>
      <c r="G290" s="132" t="s">
        <v>7430</v>
      </c>
      <c r="H290" s="132" t="s">
        <v>205</v>
      </c>
      <c r="I290" s="132" t="s">
        <v>1570</v>
      </c>
      <c r="J290" s="132" t="s">
        <v>1542</v>
      </c>
      <c r="K290" s="440" t="str">
        <f>HYPERLINK("https://okcountyrecords.com/detail/roger+mills/2004-002933","OKCountyRecords: 2004-002933")</f>
        <v>OKCountyRecords: 2004-002933</v>
      </c>
      <c r="L290" s="133" t="s">
        <v>1501</v>
      </c>
      <c r="M290" s="133"/>
      <c r="N290" s="133"/>
      <c r="O290" s="133" t="s">
        <v>1532</v>
      </c>
      <c r="P290" s="114" t="s">
        <v>9043</v>
      </c>
      <c r="Q290" s="114" t="s">
        <v>2701</v>
      </c>
      <c r="R290" s="114" t="s">
        <v>118</v>
      </c>
      <c r="S290" s="114" t="s">
        <v>2701</v>
      </c>
      <c r="T290" s="114" t="s">
        <v>118</v>
      </c>
      <c r="U290" s="114" t="s">
        <v>9242</v>
      </c>
      <c r="V290" s="114" t="s">
        <v>2701</v>
      </c>
      <c r="W290" s="114" t="s">
        <v>8906</v>
      </c>
      <c r="X290" s="114" t="s">
        <v>2701</v>
      </c>
      <c r="Y290" s="114" t="s">
        <v>8851</v>
      </c>
      <c r="Z290" s="114" t="s">
        <v>2701</v>
      </c>
      <c r="AA290" s="114" t="s">
        <v>9243</v>
      </c>
      <c r="AB290" s="114" t="s">
        <v>8871</v>
      </c>
    </row>
    <row r="291" spans="1:28" ht="72" x14ac:dyDescent="0.2">
      <c r="A291" s="133" t="s">
        <v>1571</v>
      </c>
      <c r="B291" s="130"/>
      <c r="C291" s="130" t="s">
        <v>1456</v>
      </c>
      <c r="D291" s="130" t="s">
        <v>1572</v>
      </c>
      <c r="E291" s="131">
        <v>38139</v>
      </c>
      <c r="F291" s="131">
        <v>38145</v>
      </c>
      <c r="G291" s="132" t="s">
        <v>205</v>
      </c>
      <c r="H291" s="132" t="s">
        <v>1573</v>
      </c>
      <c r="I291" s="132" t="s">
        <v>1570</v>
      </c>
      <c r="J291" s="132" t="s">
        <v>9573</v>
      </c>
      <c r="K291" s="440" t="str">
        <f>HYPERLINK("https://okcountyrecords.com/detail/roger+mills/2004-002934","OKCountyRecords: 2004-002934")</f>
        <v>OKCountyRecords: 2004-002934</v>
      </c>
      <c r="L291" s="133" t="s">
        <v>1501</v>
      </c>
      <c r="M291" s="133" t="s">
        <v>8756</v>
      </c>
      <c r="N291" s="133"/>
      <c r="O291" s="133" t="s">
        <v>1532</v>
      </c>
      <c r="P291" s="114" t="s">
        <v>9043</v>
      </c>
      <c r="Q291" s="114" t="s">
        <v>2701</v>
      </c>
      <c r="R291" s="114" t="s">
        <v>118</v>
      </c>
      <c r="S291" s="114" t="s">
        <v>2701</v>
      </c>
      <c r="T291" s="114" t="s">
        <v>118</v>
      </c>
      <c r="U291" s="114" t="s">
        <v>9242</v>
      </c>
      <c r="V291" s="114" t="s">
        <v>2701</v>
      </c>
      <c r="W291" s="114" t="s">
        <v>8906</v>
      </c>
      <c r="X291" s="114" t="s">
        <v>2701</v>
      </c>
      <c r="Y291" s="114" t="s">
        <v>8851</v>
      </c>
      <c r="Z291" s="114" t="s">
        <v>2701</v>
      </c>
      <c r="AA291" s="114" t="s">
        <v>9244</v>
      </c>
      <c r="AB291" s="114" t="s">
        <v>8871</v>
      </c>
    </row>
    <row r="292" spans="1:28" ht="48" x14ac:dyDescent="0.2">
      <c r="A292" s="133" t="s">
        <v>1575</v>
      </c>
      <c r="B292" s="130">
        <v>18</v>
      </c>
      <c r="C292" s="130" t="s">
        <v>202</v>
      </c>
      <c r="D292" s="130" t="s">
        <v>254</v>
      </c>
      <c r="E292" s="131">
        <v>38251</v>
      </c>
      <c r="F292" s="131">
        <v>38272</v>
      </c>
      <c r="G292" s="132" t="s">
        <v>8778</v>
      </c>
      <c r="H292" s="132" t="s">
        <v>205</v>
      </c>
      <c r="I292" s="132" t="s">
        <v>215</v>
      </c>
      <c r="J292" s="132" t="s">
        <v>216</v>
      </c>
      <c r="K292" s="440" t="str">
        <f>HYPERLINK("https://okcountyrecords.com/detail/roger+mills/2004-005686","OKCountyRecords: 2004-005686")</f>
        <v>OKCountyRecords: 2004-005686</v>
      </c>
      <c r="L292" s="133" t="s">
        <v>1501</v>
      </c>
      <c r="M292" s="133" t="s">
        <v>1491</v>
      </c>
      <c r="N292" s="133"/>
      <c r="O292" s="133" t="s">
        <v>381</v>
      </c>
      <c r="P292" s="114" t="s">
        <v>9209</v>
      </c>
      <c r="Q292" s="114" t="s">
        <v>89</v>
      </c>
      <c r="R292" s="114" t="s">
        <v>118</v>
      </c>
      <c r="S292" s="114" t="s">
        <v>89</v>
      </c>
      <c r="T292" s="114" t="s">
        <v>118</v>
      </c>
      <c r="U292" s="114" t="s">
        <v>8862</v>
      </c>
      <c r="V292" s="114" t="s">
        <v>3072</v>
      </c>
      <c r="W292" s="114" t="s">
        <v>8864</v>
      </c>
      <c r="X292" s="114" t="s">
        <v>2701</v>
      </c>
      <c r="Y292" s="114" t="s">
        <v>8851</v>
      </c>
      <c r="Z292" s="114" t="s">
        <v>2701</v>
      </c>
      <c r="AA292" s="114" t="s">
        <v>9245</v>
      </c>
      <c r="AB292" s="114" t="s">
        <v>8888</v>
      </c>
    </row>
    <row r="293" spans="1:28" ht="48" x14ac:dyDescent="0.2">
      <c r="A293" s="133" t="s">
        <v>1577</v>
      </c>
      <c r="B293" s="130">
        <v>19</v>
      </c>
      <c r="C293" s="130" t="s">
        <v>202</v>
      </c>
      <c r="D293" s="130" t="s">
        <v>256</v>
      </c>
      <c r="E293" s="131">
        <v>38251</v>
      </c>
      <c r="F293" s="131">
        <v>38272</v>
      </c>
      <c r="G293" s="132" t="s">
        <v>8779</v>
      </c>
      <c r="H293" s="132" t="s">
        <v>205</v>
      </c>
      <c r="I293" s="132" t="s">
        <v>215</v>
      </c>
      <c r="J293" s="132" t="s">
        <v>216</v>
      </c>
      <c r="K293" s="440" t="str">
        <f>HYPERLINK("https://okcountyrecords.com/detail/roger+mills/2004-005687","OKCountyRecords: 2004-005687")</f>
        <v>OKCountyRecords: 2004-005687</v>
      </c>
      <c r="L293" s="133" t="s">
        <v>1501</v>
      </c>
      <c r="M293" s="133" t="s">
        <v>1491</v>
      </c>
      <c r="N293" s="133"/>
      <c r="O293" s="133" t="s">
        <v>1492</v>
      </c>
      <c r="P293" s="114" t="s">
        <v>9209</v>
      </c>
      <c r="Q293" s="114" t="s">
        <v>89</v>
      </c>
      <c r="R293" s="114" t="s">
        <v>118</v>
      </c>
      <c r="S293" s="114" t="s">
        <v>89</v>
      </c>
      <c r="T293" s="114" t="s">
        <v>118</v>
      </c>
      <c r="U293" s="114" t="s">
        <v>8862</v>
      </c>
      <c r="V293" s="114" t="s">
        <v>3072</v>
      </c>
      <c r="W293" s="114" t="s">
        <v>9649</v>
      </c>
      <c r="X293" s="114" t="s">
        <v>2701</v>
      </c>
      <c r="Y293" s="114" t="s">
        <v>8851</v>
      </c>
      <c r="Z293" s="114" t="s">
        <v>2701</v>
      </c>
      <c r="AA293" s="114" t="s">
        <v>9246</v>
      </c>
      <c r="AB293" s="114" t="s">
        <v>8888</v>
      </c>
    </row>
    <row r="294" spans="1:28" ht="84" x14ac:dyDescent="0.2">
      <c r="A294" s="133" t="s">
        <v>1579</v>
      </c>
      <c r="B294" s="130">
        <v>20</v>
      </c>
      <c r="C294" s="130" t="s">
        <v>202</v>
      </c>
      <c r="D294" s="130" t="s">
        <v>258</v>
      </c>
      <c r="E294" s="131">
        <v>38251</v>
      </c>
      <c r="F294" s="131">
        <v>38272</v>
      </c>
      <c r="G294" s="132" t="s">
        <v>1580</v>
      </c>
      <c r="H294" s="132" t="s">
        <v>205</v>
      </c>
      <c r="I294" s="132" t="s">
        <v>215</v>
      </c>
      <c r="J294" s="132" t="s">
        <v>9574</v>
      </c>
      <c r="K294" s="440" t="str">
        <f>HYPERLINK("https://okcountyrecords.com/detail/roger+mills/2004-005689","OKCountyRecords: 2004-005689")</f>
        <v>OKCountyRecords: 2004-005689</v>
      </c>
      <c r="L294" s="133" t="s">
        <v>1501</v>
      </c>
      <c r="M294" s="133" t="s">
        <v>1491</v>
      </c>
      <c r="N294" s="133"/>
      <c r="O294" s="133" t="s">
        <v>422</v>
      </c>
      <c r="P294" s="114" t="s">
        <v>9209</v>
      </c>
      <c r="Q294" s="114" t="s">
        <v>89</v>
      </c>
      <c r="R294" s="114" t="s">
        <v>118</v>
      </c>
      <c r="S294" s="114" t="s">
        <v>89</v>
      </c>
      <c r="T294" s="114" t="s">
        <v>118</v>
      </c>
      <c r="U294" s="114" t="s">
        <v>9247</v>
      </c>
      <c r="V294" s="114" t="s">
        <v>2701</v>
      </c>
      <c r="W294" s="114" t="s">
        <v>8864</v>
      </c>
      <c r="X294" s="114" t="s">
        <v>2701</v>
      </c>
      <c r="Y294" s="114" t="s">
        <v>8851</v>
      </c>
      <c r="Z294" s="114" t="s">
        <v>2701</v>
      </c>
      <c r="AA294" s="114" t="s">
        <v>9248</v>
      </c>
      <c r="AB294" s="114" t="s">
        <v>9139</v>
      </c>
    </row>
    <row r="295" spans="1:28" ht="108" x14ac:dyDescent="0.2">
      <c r="A295" s="133" t="s">
        <v>1582</v>
      </c>
      <c r="B295" s="130"/>
      <c r="C295" s="130" t="s">
        <v>619</v>
      </c>
      <c r="D295" s="130" t="s">
        <v>1583</v>
      </c>
      <c r="E295" s="131">
        <v>38260</v>
      </c>
      <c r="F295" s="131">
        <v>38274</v>
      </c>
      <c r="G295" s="132" t="s">
        <v>1584</v>
      </c>
      <c r="H295" s="132" t="s">
        <v>1585</v>
      </c>
      <c r="I295" s="132" t="s">
        <v>1586</v>
      </c>
      <c r="J295" s="132" t="s">
        <v>8694</v>
      </c>
      <c r="K295" s="440" t="str">
        <f>HYPERLINK("https://okcountyrecords.com/detail/roger+mills/2004-005738","OKCountyRecords: 2004-005738")</f>
        <v>OKCountyRecords: 2004-005738</v>
      </c>
      <c r="L295" s="133" t="s">
        <v>412</v>
      </c>
      <c r="M295" s="133" t="s">
        <v>641</v>
      </c>
      <c r="N295" s="133" t="s">
        <v>8717</v>
      </c>
      <c r="O295" s="133" t="s">
        <v>428</v>
      </c>
      <c r="P295" s="114" t="s">
        <v>8934</v>
      </c>
      <c r="Q295" s="114" t="s">
        <v>118</v>
      </c>
      <c r="R295" s="114" t="s">
        <v>89</v>
      </c>
      <c r="S295" s="114" t="s">
        <v>118</v>
      </c>
      <c r="T295" s="114" t="s">
        <v>89</v>
      </c>
      <c r="U295" s="114" t="s">
        <v>9249</v>
      </c>
      <c r="V295" s="114" t="s">
        <v>2701</v>
      </c>
      <c r="W295" s="114" t="s">
        <v>8864</v>
      </c>
      <c r="X295" s="114" t="s">
        <v>8856</v>
      </c>
      <c r="Y295" s="114" t="s">
        <v>9250</v>
      </c>
      <c r="Z295" s="114" t="s">
        <v>8858</v>
      </c>
      <c r="AA295" s="114" t="s">
        <v>9251</v>
      </c>
      <c r="AB295" s="114" t="s">
        <v>8877</v>
      </c>
    </row>
    <row r="296" spans="1:28" ht="72" x14ac:dyDescent="0.2">
      <c r="A296" s="133" t="s">
        <v>1589</v>
      </c>
      <c r="B296" s="130"/>
      <c r="C296" s="130" t="s">
        <v>1456</v>
      </c>
      <c r="D296" s="130" t="s">
        <v>1590</v>
      </c>
      <c r="E296" s="131">
        <v>38266</v>
      </c>
      <c r="F296" s="131">
        <v>38272</v>
      </c>
      <c r="G296" s="132" t="s">
        <v>205</v>
      </c>
      <c r="H296" s="132" t="s">
        <v>775</v>
      </c>
      <c r="I296" s="132" t="s">
        <v>215</v>
      </c>
      <c r="J296" s="132" t="s">
        <v>9575</v>
      </c>
      <c r="K296" s="440" t="str">
        <f>HYPERLINK("https://okcountyrecords.com/detail/roger+mills/2004-005692","OKCountyRecords: 2004-005692")</f>
        <v>OKCountyRecords: 2004-005692</v>
      </c>
      <c r="L296" s="133" t="s">
        <v>1501</v>
      </c>
      <c r="M296" s="133" t="s">
        <v>8756</v>
      </c>
      <c r="N296" s="133"/>
      <c r="O296" s="133" t="s">
        <v>1532</v>
      </c>
      <c r="P296" s="114" t="s">
        <v>9043</v>
      </c>
      <c r="Q296" s="114" t="s">
        <v>2701</v>
      </c>
      <c r="R296" s="114" t="s">
        <v>118</v>
      </c>
      <c r="S296" s="114" t="s">
        <v>2701</v>
      </c>
      <c r="T296" s="114" t="s">
        <v>118</v>
      </c>
      <c r="U296" s="114" t="s">
        <v>8862</v>
      </c>
      <c r="V296" s="114" t="s">
        <v>3072</v>
      </c>
      <c r="W296" s="114" t="s">
        <v>8906</v>
      </c>
      <c r="X296" s="114" t="s">
        <v>2701</v>
      </c>
      <c r="Y296" s="114" t="s">
        <v>8851</v>
      </c>
      <c r="Z296" s="114" t="s">
        <v>2701</v>
      </c>
      <c r="AA296" s="114" t="s">
        <v>9252</v>
      </c>
      <c r="AB296" s="114" t="s">
        <v>8853</v>
      </c>
    </row>
    <row r="297" spans="1:28" ht="108" x14ac:dyDescent="0.2">
      <c r="A297" s="133" t="s">
        <v>1592</v>
      </c>
      <c r="B297" s="130"/>
      <c r="C297" s="130" t="s">
        <v>619</v>
      </c>
      <c r="D297" s="130" t="s">
        <v>1593</v>
      </c>
      <c r="E297" s="131">
        <v>38267</v>
      </c>
      <c r="F297" s="131">
        <v>38274</v>
      </c>
      <c r="G297" s="132" t="s">
        <v>1584</v>
      </c>
      <c r="H297" s="132" t="s">
        <v>1585</v>
      </c>
      <c r="I297" s="132" t="s">
        <v>1586</v>
      </c>
      <c r="J297" s="132" t="s">
        <v>8695</v>
      </c>
      <c r="K297" s="440" t="str">
        <f>HYPERLINK("https://okcountyrecords.com/detail/roger+mills/2004-005739","OKCountyRecords: 2004-005739")</f>
        <v>OKCountyRecords: 2004-005739</v>
      </c>
      <c r="L297" s="133" t="s">
        <v>412</v>
      </c>
      <c r="M297" s="133" t="s">
        <v>641</v>
      </c>
      <c r="N297" s="133" t="s">
        <v>8718</v>
      </c>
      <c r="O297" s="133" t="s">
        <v>428</v>
      </c>
      <c r="P297" s="114" t="s">
        <v>8934</v>
      </c>
      <c r="Q297" s="114" t="s">
        <v>118</v>
      </c>
      <c r="R297" s="114" t="s">
        <v>89</v>
      </c>
      <c r="S297" s="114" t="s">
        <v>118</v>
      </c>
      <c r="T297" s="114" t="s">
        <v>89</v>
      </c>
      <c r="U297" s="114" t="s">
        <v>9249</v>
      </c>
      <c r="V297" s="114" t="s">
        <v>2701</v>
      </c>
      <c r="W297" s="114" t="s">
        <v>8864</v>
      </c>
      <c r="X297" s="114" t="s">
        <v>8856</v>
      </c>
      <c r="Y297" s="114" t="s">
        <v>9253</v>
      </c>
      <c r="Z297" s="114" t="s">
        <v>8858</v>
      </c>
      <c r="AA297" s="114" t="s">
        <v>9254</v>
      </c>
      <c r="AB297" s="114" t="s">
        <v>8877</v>
      </c>
    </row>
    <row r="298" spans="1:28" ht="48" x14ac:dyDescent="0.2">
      <c r="A298" s="133" t="s">
        <v>1595</v>
      </c>
      <c r="B298" s="130"/>
      <c r="C298" s="130" t="s">
        <v>619</v>
      </c>
      <c r="D298" s="130" t="s">
        <v>1596</v>
      </c>
      <c r="E298" s="131">
        <v>38275</v>
      </c>
      <c r="F298" s="131">
        <v>38281</v>
      </c>
      <c r="G298" s="132" t="s">
        <v>1597</v>
      </c>
      <c r="H298" s="132" t="s">
        <v>1598</v>
      </c>
      <c r="I298" s="132" t="s">
        <v>1256</v>
      </c>
      <c r="J298" s="132" t="s">
        <v>63</v>
      </c>
      <c r="K298" s="440" t="str">
        <f>HYPERLINK("https://okcountyrecords.com/detail/roger+mills/2004-005901","OKCountyRecords: 2004-005901")</f>
        <v>OKCountyRecords: 2004-005901</v>
      </c>
      <c r="L298" s="133" t="s">
        <v>412</v>
      </c>
      <c r="M298" s="133" t="s">
        <v>405</v>
      </c>
      <c r="N298" s="133"/>
      <c r="O298" s="133" t="s">
        <v>422</v>
      </c>
      <c r="P298" s="114" t="s">
        <v>8934</v>
      </c>
      <c r="Q298" s="114" t="s">
        <v>118</v>
      </c>
      <c r="R298" s="114" t="s">
        <v>89</v>
      </c>
      <c r="S298" s="114" t="s">
        <v>118</v>
      </c>
      <c r="T298" s="114" t="s">
        <v>89</v>
      </c>
      <c r="U298" s="114" t="s">
        <v>8935</v>
      </c>
      <c r="V298" s="114" t="s">
        <v>2701</v>
      </c>
      <c r="W298" s="114" t="s">
        <v>9650</v>
      </c>
      <c r="X298" s="114" t="s">
        <v>8869</v>
      </c>
      <c r="Y298" s="114" t="s">
        <v>8857</v>
      </c>
      <c r="Z298" s="114" t="s">
        <v>8858</v>
      </c>
      <c r="AA298" s="114" t="s">
        <v>9255</v>
      </c>
      <c r="AB298" s="114" t="s">
        <v>8877</v>
      </c>
    </row>
    <row r="299" spans="1:28" ht="108" x14ac:dyDescent="0.2">
      <c r="A299" s="133" t="s">
        <v>1599</v>
      </c>
      <c r="B299" s="130"/>
      <c r="C299" s="130" t="s">
        <v>619</v>
      </c>
      <c r="D299" s="130" t="s">
        <v>1600</v>
      </c>
      <c r="E299" s="131">
        <v>38286</v>
      </c>
      <c r="F299" s="131">
        <v>39748</v>
      </c>
      <c r="G299" s="132" t="s">
        <v>1585</v>
      </c>
      <c r="H299" s="132" t="s">
        <v>119</v>
      </c>
      <c r="I299" s="132" t="s">
        <v>1586</v>
      </c>
      <c r="J299" s="132" t="s">
        <v>1601</v>
      </c>
      <c r="K299" s="440" t="str">
        <f>HYPERLINK("https://okcountyrecords.com/detail/roger+mills/2008-006536","OKCountyRecords: 2008-006536")</f>
        <v>OKCountyRecords: 2008-006536</v>
      </c>
      <c r="L299" s="133" t="s">
        <v>412</v>
      </c>
      <c r="M299" s="133" t="s">
        <v>641</v>
      </c>
      <c r="N299" s="133" t="s">
        <v>8718</v>
      </c>
      <c r="O299" s="133" t="s">
        <v>428</v>
      </c>
      <c r="P299" s="114" t="s">
        <v>8934</v>
      </c>
      <c r="Q299" s="114" t="s">
        <v>118</v>
      </c>
      <c r="R299" s="114" t="s">
        <v>89</v>
      </c>
      <c r="S299" s="114" t="s">
        <v>118</v>
      </c>
      <c r="T299" s="114" t="s">
        <v>89</v>
      </c>
      <c r="U299" s="114" t="s">
        <v>9249</v>
      </c>
      <c r="V299" s="114" t="s">
        <v>2701</v>
      </c>
      <c r="W299" s="114" t="s">
        <v>8906</v>
      </c>
      <c r="X299" s="114" t="s">
        <v>8856</v>
      </c>
      <c r="Y299" s="114" t="s">
        <v>9253</v>
      </c>
      <c r="Z299" s="114" t="s">
        <v>8858</v>
      </c>
      <c r="AA299" s="114" t="s">
        <v>9256</v>
      </c>
      <c r="AB299" s="114" t="s">
        <v>8879</v>
      </c>
    </row>
    <row r="300" spans="1:28" ht="96" x14ac:dyDescent="0.2">
      <c r="A300" s="133" t="s">
        <v>1602</v>
      </c>
      <c r="B300" s="130"/>
      <c r="C300" s="130" t="s">
        <v>619</v>
      </c>
      <c r="D300" s="130" t="s">
        <v>1603</v>
      </c>
      <c r="E300" s="131">
        <v>38292</v>
      </c>
      <c r="F300" s="131">
        <v>38308</v>
      </c>
      <c r="G300" s="132" t="s">
        <v>1604</v>
      </c>
      <c r="H300" s="132" t="s">
        <v>114</v>
      </c>
      <c r="I300" s="132" t="s">
        <v>1605</v>
      </c>
      <c r="J300" s="132" t="s">
        <v>8696</v>
      </c>
      <c r="K300" s="440" t="str">
        <f>HYPERLINK("https://okcountyrecords.com/detail/roger+mills/2004-006577","OKCountyRecords: 2004-006577")</f>
        <v>OKCountyRecords: 2004-006577</v>
      </c>
      <c r="L300" s="133" t="s">
        <v>412</v>
      </c>
      <c r="M300" s="133" t="s">
        <v>405</v>
      </c>
      <c r="N300" s="133"/>
      <c r="O300" s="133" t="s">
        <v>428</v>
      </c>
      <c r="P300" s="114" t="s">
        <v>8934</v>
      </c>
      <c r="Q300" s="114" t="s">
        <v>118</v>
      </c>
      <c r="R300" s="114" t="s">
        <v>89</v>
      </c>
      <c r="S300" s="114" t="s">
        <v>118</v>
      </c>
      <c r="T300" s="114" t="s">
        <v>89</v>
      </c>
      <c r="U300" s="114" t="s">
        <v>9230</v>
      </c>
      <c r="V300" s="114" t="s">
        <v>3072</v>
      </c>
      <c r="W300" s="114" t="s">
        <v>9651</v>
      </c>
      <c r="X300" s="114" t="s">
        <v>8873</v>
      </c>
      <c r="Y300" s="114" t="s">
        <v>8857</v>
      </c>
      <c r="Z300" s="114" t="s">
        <v>8858</v>
      </c>
      <c r="AA300" s="114" t="s">
        <v>9257</v>
      </c>
      <c r="AB300" s="114" t="s">
        <v>8867</v>
      </c>
    </row>
    <row r="301" spans="1:28" ht="72" x14ac:dyDescent="0.2">
      <c r="A301" s="133" t="s">
        <v>1606</v>
      </c>
      <c r="B301" s="130"/>
      <c r="C301" s="130" t="s">
        <v>1607</v>
      </c>
      <c r="D301" s="130" t="s">
        <v>1608</v>
      </c>
      <c r="E301" s="131">
        <v>38338</v>
      </c>
      <c r="F301" s="131">
        <v>38376</v>
      </c>
      <c r="G301" s="132" t="s">
        <v>1609</v>
      </c>
      <c r="H301" s="132" t="s">
        <v>1610</v>
      </c>
      <c r="I301" s="132" t="s">
        <v>1611</v>
      </c>
      <c r="J301" s="132" t="s">
        <v>63</v>
      </c>
      <c r="K301" s="440" t="str">
        <f>HYPERLINK("https://okcountyrecords.com/detail/roger+mills/2005-000347","OKCountyRecords: 2005-000347")</f>
        <v>OKCountyRecords: 2005-000347</v>
      </c>
      <c r="L301" s="133" t="s">
        <v>412</v>
      </c>
      <c r="M301" s="133" t="s">
        <v>405</v>
      </c>
      <c r="N301" s="133"/>
      <c r="O301" s="133" t="s">
        <v>422</v>
      </c>
      <c r="P301" s="114" t="s">
        <v>8854</v>
      </c>
      <c r="Q301" s="114" t="s">
        <v>118</v>
      </c>
      <c r="R301" s="114" t="s">
        <v>89</v>
      </c>
      <c r="S301" s="114" t="s">
        <v>2701</v>
      </c>
      <c r="T301" s="114" t="s">
        <v>89</v>
      </c>
      <c r="U301" s="114" t="s">
        <v>9258</v>
      </c>
      <c r="V301" s="114" t="s">
        <v>3072</v>
      </c>
      <c r="W301" s="114" t="s">
        <v>8864</v>
      </c>
      <c r="X301" s="114" t="s">
        <v>8873</v>
      </c>
      <c r="Y301" s="114" t="s">
        <v>8857</v>
      </c>
      <c r="Z301" s="114" t="s">
        <v>8858</v>
      </c>
      <c r="AA301" s="114" t="s">
        <v>9259</v>
      </c>
      <c r="AB301" s="114" t="s">
        <v>8867</v>
      </c>
    </row>
    <row r="302" spans="1:28" ht="36" x14ac:dyDescent="0.2">
      <c r="A302" s="133" t="s">
        <v>1612</v>
      </c>
      <c r="B302" s="130"/>
      <c r="C302" s="130" t="s">
        <v>619</v>
      </c>
      <c r="D302" s="130" t="s">
        <v>1613</v>
      </c>
      <c r="E302" s="131">
        <v>38362</v>
      </c>
      <c r="F302" s="131">
        <v>38365</v>
      </c>
      <c r="G302" s="132" t="s">
        <v>1614</v>
      </c>
      <c r="H302" s="132" t="s">
        <v>1615</v>
      </c>
      <c r="I302" s="132" t="s">
        <v>1256</v>
      </c>
      <c r="J302" s="132" t="s">
        <v>1616</v>
      </c>
      <c r="K302" s="440" t="str">
        <f>HYPERLINK("https://okcountyrecords.com/detail/roger+mills/2005-000158","OKCountyRecords: 2005-000158")</f>
        <v>OKCountyRecords: 2005-000158</v>
      </c>
      <c r="L302" s="133" t="s">
        <v>412</v>
      </c>
      <c r="M302" s="133" t="s">
        <v>405</v>
      </c>
      <c r="N302" s="133"/>
      <c r="O302" s="133" t="s">
        <v>422</v>
      </c>
      <c r="P302" s="114" t="s">
        <v>8934</v>
      </c>
      <c r="Q302" s="114" t="s">
        <v>118</v>
      </c>
      <c r="R302" s="114" t="s">
        <v>89</v>
      </c>
      <c r="S302" s="114" t="s">
        <v>118</v>
      </c>
      <c r="T302" s="114" t="s">
        <v>89</v>
      </c>
      <c r="U302" s="114" t="s">
        <v>8935</v>
      </c>
      <c r="V302" s="114" t="s">
        <v>2701</v>
      </c>
      <c r="W302" s="114" t="s">
        <v>8864</v>
      </c>
      <c r="X302" s="114" t="s">
        <v>8869</v>
      </c>
      <c r="Y302" s="114" t="s">
        <v>8857</v>
      </c>
      <c r="Z302" s="114" t="s">
        <v>8858</v>
      </c>
      <c r="AA302" s="114" t="s">
        <v>9260</v>
      </c>
      <c r="AB302" s="114" t="s">
        <v>8877</v>
      </c>
    </row>
    <row r="303" spans="1:28" ht="84" x14ac:dyDescent="0.2">
      <c r="A303" s="133" t="s">
        <v>1617</v>
      </c>
      <c r="B303" s="130">
        <v>13</v>
      </c>
      <c r="C303" s="130" t="s">
        <v>202</v>
      </c>
      <c r="D303" s="130" t="s">
        <v>240</v>
      </c>
      <c r="E303" s="131">
        <v>38407</v>
      </c>
      <c r="F303" s="131">
        <v>38420</v>
      </c>
      <c r="G303" s="132" t="s">
        <v>8780</v>
      </c>
      <c r="H303" s="132" t="s">
        <v>1619</v>
      </c>
      <c r="I303" s="132" t="s">
        <v>215</v>
      </c>
      <c r="J303" s="132" t="s">
        <v>9576</v>
      </c>
      <c r="K303" s="440" t="str">
        <f>HYPERLINK("https://okcountyrecords.com/detail/roger+mills/2005-001365","OKCountyRecords: 2005-001365")</f>
        <v>OKCountyRecords: 2005-001365</v>
      </c>
      <c r="L303" s="133" t="s">
        <v>1501</v>
      </c>
      <c r="M303" s="133" t="s">
        <v>1491</v>
      </c>
      <c r="N303" s="133"/>
      <c r="O303" s="133" t="s">
        <v>1620</v>
      </c>
      <c r="P303" s="114" t="s">
        <v>9209</v>
      </c>
      <c r="Q303" s="114" t="s">
        <v>89</v>
      </c>
      <c r="R303" s="114" t="s">
        <v>118</v>
      </c>
      <c r="S303" s="114" t="s">
        <v>89</v>
      </c>
      <c r="T303" s="114" t="s">
        <v>118</v>
      </c>
      <c r="U303" s="114" t="s">
        <v>8862</v>
      </c>
      <c r="V303" s="114" t="s">
        <v>3072</v>
      </c>
      <c r="W303" s="114" t="s">
        <v>8864</v>
      </c>
      <c r="X303" s="114" t="s">
        <v>2701</v>
      </c>
      <c r="Y303" s="114" t="s">
        <v>8851</v>
      </c>
      <c r="Z303" s="114" t="s">
        <v>2701</v>
      </c>
      <c r="AA303" s="114" t="s">
        <v>9261</v>
      </c>
      <c r="AB303" s="114" t="s">
        <v>8888</v>
      </c>
    </row>
    <row r="304" spans="1:28" ht="84" x14ac:dyDescent="0.2">
      <c r="A304" s="133" t="s">
        <v>1621</v>
      </c>
      <c r="B304" s="130">
        <v>14</v>
      </c>
      <c r="C304" s="130" t="s">
        <v>202</v>
      </c>
      <c r="D304" s="130" t="s">
        <v>245</v>
      </c>
      <c r="E304" s="131">
        <v>38408</v>
      </c>
      <c r="F304" s="131">
        <v>38432</v>
      </c>
      <c r="G304" s="132" t="s">
        <v>8781</v>
      </c>
      <c r="H304" s="132" t="s">
        <v>1619</v>
      </c>
      <c r="I304" s="132" t="s">
        <v>215</v>
      </c>
      <c r="J304" s="132" t="s">
        <v>9576</v>
      </c>
      <c r="K304" s="440" t="str">
        <f>HYPERLINK("https://okcountyrecords.com/detail/roger+mills/2005-001688","OKCountyRecords: 2005-001688")</f>
        <v>OKCountyRecords: 2005-001688</v>
      </c>
      <c r="L304" s="133" t="s">
        <v>1501</v>
      </c>
      <c r="M304" s="133" t="s">
        <v>1491</v>
      </c>
      <c r="N304" s="133"/>
      <c r="O304" s="133" t="s">
        <v>1620</v>
      </c>
      <c r="P304" s="114" t="s">
        <v>9209</v>
      </c>
      <c r="Q304" s="114" t="s">
        <v>89</v>
      </c>
      <c r="R304" s="114" t="s">
        <v>118</v>
      </c>
      <c r="S304" s="114" t="s">
        <v>89</v>
      </c>
      <c r="T304" s="114" t="s">
        <v>118</v>
      </c>
      <c r="U304" s="114" t="s">
        <v>8862</v>
      </c>
      <c r="V304" s="114" t="s">
        <v>3072</v>
      </c>
      <c r="W304" s="114" t="s">
        <v>8864</v>
      </c>
      <c r="X304" s="114" t="s">
        <v>2701</v>
      </c>
      <c r="Y304" s="114" t="s">
        <v>8851</v>
      </c>
      <c r="Z304" s="114" t="s">
        <v>2701</v>
      </c>
      <c r="AA304" s="114" t="s">
        <v>9262</v>
      </c>
      <c r="AB304" s="114" t="s">
        <v>8888</v>
      </c>
    </row>
    <row r="305" spans="1:28" ht="84" x14ac:dyDescent="0.2">
      <c r="A305" s="133" t="s">
        <v>1623</v>
      </c>
      <c r="B305" s="130">
        <v>16</v>
      </c>
      <c r="C305" s="130" t="s">
        <v>202</v>
      </c>
      <c r="D305" s="130" t="s">
        <v>250</v>
      </c>
      <c r="E305" s="131">
        <v>38412</v>
      </c>
      <c r="F305" s="131">
        <v>38432</v>
      </c>
      <c r="G305" s="132" t="s">
        <v>8782</v>
      </c>
      <c r="H305" s="132" t="s">
        <v>1619</v>
      </c>
      <c r="I305" s="132" t="s">
        <v>215</v>
      </c>
      <c r="J305" s="132" t="s">
        <v>9576</v>
      </c>
      <c r="K305" s="440" t="str">
        <f>HYPERLINK("https://okcountyrecords.com/detail/roger+mills/2005-001690","OKCountyRecords: 2005-001690")</f>
        <v>OKCountyRecords: 2005-001690</v>
      </c>
      <c r="L305" s="133" t="s">
        <v>1501</v>
      </c>
      <c r="M305" s="133" t="s">
        <v>1491</v>
      </c>
      <c r="N305" s="133"/>
      <c r="O305" s="133" t="s">
        <v>1620</v>
      </c>
      <c r="P305" s="114" t="s">
        <v>9209</v>
      </c>
      <c r="Q305" s="114" t="s">
        <v>89</v>
      </c>
      <c r="R305" s="114" t="s">
        <v>118</v>
      </c>
      <c r="S305" s="114" t="s">
        <v>89</v>
      </c>
      <c r="T305" s="114" t="s">
        <v>118</v>
      </c>
      <c r="U305" s="114" t="s">
        <v>8862</v>
      </c>
      <c r="V305" s="114" t="s">
        <v>3072</v>
      </c>
      <c r="W305" s="114" t="s">
        <v>8906</v>
      </c>
      <c r="X305" s="114" t="s">
        <v>2701</v>
      </c>
      <c r="Y305" s="114" t="s">
        <v>8851</v>
      </c>
      <c r="Z305" s="114" t="s">
        <v>2701</v>
      </c>
      <c r="AA305" s="114" t="s">
        <v>9263</v>
      </c>
      <c r="AB305" s="114" t="s">
        <v>8853</v>
      </c>
    </row>
    <row r="306" spans="1:28" ht="84" x14ac:dyDescent="0.2">
      <c r="A306" s="133" t="s">
        <v>1625</v>
      </c>
      <c r="B306" s="130">
        <v>15</v>
      </c>
      <c r="C306" s="130" t="s">
        <v>202</v>
      </c>
      <c r="D306" s="130" t="s">
        <v>247</v>
      </c>
      <c r="E306" s="131">
        <v>38412</v>
      </c>
      <c r="F306" s="131">
        <v>38426</v>
      </c>
      <c r="G306" s="132" t="s">
        <v>8783</v>
      </c>
      <c r="H306" s="132" t="s">
        <v>1619</v>
      </c>
      <c r="I306" s="132" t="s">
        <v>215</v>
      </c>
      <c r="J306" s="132" t="s">
        <v>9577</v>
      </c>
      <c r="K306" s="440" t="str">
        <f>HYPERLINK("https://okcountyrecords.com/detail/roger+mills/2005-001515","OKCountyRecords: 2005-001515")</f>
        <v>OKCountyRecords: 2005-001515</v>
      </c>
      <c r="L306" s="133" t="s">
        <v>1501</v>
      </c>
      <c r="M306" s="133" t="s">
        <v>1491</v>
      </c>
      <c r="N306" s="133"/>
      <c r="O306" s="133" t="s">
        <v>1620</v>
      </c>
      <c r="P306" s="114" t="s">
        <v>9209</v>
      </c>
      <c r="Q306" s="114" t="s">
        <v>89</v>
      </c>
      <c r="R306" s="114" t="s">
        <v>118</v>
      </c>
      <c r="S306" s="114" t="s">
        <v>89</v>
      </c>
      <c r="T306" s="114" t="s">
        <v>118</v>
      </c>
      <c r="U306" s="114" t="s">
        <v>8862</v>
      </c>
      <c r="V306" s="114" t="s">
        <v>3072</v>
      </c>
      <c r="W306" s="114" t="s">
        <v>8906</v>
      </c>
      <c r="X306" s="114" t="s">
        <v>2701</v>
      </c>
      <c r="Y306" s="114" t="s">
        <v>8851</v>
      </c>
      <c r="Z306" s="114" t="s">
        <v>2701</v>
      </c>
      <c r="AA306" s="114" t="s">
        <v>9264</v>
      </c>
      <c r="AB306" s="114" t="s">
        <v>8853</v>
      </c>
    </row>
    <row r="307" spans="1:28" ht="48" x14ac:dyDescent="0.2">
      <c r="A307" s="133" t="s">
        <v>1627</v>
      </c>
      <c r="B307" s="130">
        <v>21</v>
      </c>
      <c r="C307" s="130" t="s">
        <v>202</v>
      </c>
      <c r="D307" s="130" t="s">
        <v>260</v>
      </c>
      <c r="E307" s="131">
        <v>38419</v>
      </c>
      <c r="F307" s="131">
        <v>38457</v>
      </c>
      <c r="G307" s="132" t="s">
        <v>8402</v>
      </c>
      <c r="H307" s="132" t="s">
        <v>262</v>
      </c>
      <c r="I307" s="132" t="s">
        <v>263</v>
      </c>
      <c r="J307" s="132" t="s">
        <v>264</v>
      </c>
      <c r="K307" s="440" t="str">
        <f>HYPERLINK("https://okcountyrecords.com/detail/roger+mills/2005-002326","OKCountyRecords: 2005-002326")</f>
        <v>OKCountyRecords: 2005-002326</v>
      </c>
      <c r="L307" s="133" t="s">
        <v>1501</v>
      </c>
      <c r="M307" s="133" t="s">
        <v>1491</v>
      </c>
      <c r="N307" s="133"/>
      <c r="O307" s="133" t="s">
        <v>1492</v>
      </c>
      <c r="P307" s="114" t="s">
        <v>9209</v>
      </c>
      <c r="Q307" s="114" t="s">
        <v>89</v>
      </c>
      <c r="R307" s="114" t="s">
        <v>118</v>
      </c>
      <c r="S307" s="114" t="s">
        <v>89</v>
      </c>
      <c r="T307" s="114" t="s">
        <v>118</v>
      </c>
      <c r="U307" s="114" t="s">
        <v>8901</v>
      </c>
      <c r="V307" s="114" t="s">
        <v>3072</v>
      </c>
      <c r="W307" s="114" t="s">
        <v>8864</v>
      </c>
      <c r="X307" s="114" t="s">
        <v>2701</v>
      </c>
      <c r="Y307" s="114" t="s">
        <v>8851</v>
      </c>
      <c r="Z307" s="114" t="s">
        <v>2701</v>
      </c>
      <c r="AA307" s="114" t="s">
        <v>9265</v>
      </c>
      <c r="AB307" s="114" t="s">
        <v>8888</v>
      </c>
    </row>
    <row r="308" spans="1:28" ht="96" x14ac:dyDescent="0.2">
      <c r="A308" s="133" t="s">
        <v>1629</v>
      </c>
      <c r="B308" s="130">
        <v>22</v>
      </c>
      <c r="C308" s="130" t="s">
        <v>202</v>
      </c>
      <c r="D308" s="130" t="s">
        <v>265</v>
      </c>
      <c r="E308" s="131">
        <v>38419</v>
      </c>
      <c r="F308" s="131">
        <v>38457</v>
      </c>
      <c r="G308" s="132" t="s">
        <v>8784</v>
      </c>
      <c r="H308" s="132" t="s">
        <v>262</v>
      </c>
      <c r="I308" s="132" t="s">
        <v>263</v>
      </c>
      <c r="J308" s="132" t="s">
        <v>9578</v>
      </c>
      <c r="K308" s="440" t="str">
        <f>HYPERLINK("https://okcountyrecords.com/detail/roger+mills/2005-002328","OKCountyRecords: 2005-002328")</f>
        <v>OKCountyRecords: 2005-002328</v>
      </c>
      <c r="L308" s="133" t="s">
        <v>1501</v>
      </c>
      <c r="M308" s="133" t="s">
        <v>1491</v>
      </c>
      <c r="N308" s="133"/>
      <c r="O308" s="133" t="s">
        <v>422</v>
      </c>
      <c r="P308" s="114" t="s">
        <v>9209</v>
      </c>
      <c r="Q308" s="114" t="s">
        <v>89</v>
      </c>
      <c r="R308" s="114" t="s">
        <v>118</v>
      </c>
      <c r="S308" s="114" t="s">
        <v>89</v>
      </c>
      <c r="T308" s="114" t="s">
        <v>118</v>
      </c>
      <c r="U308" s="114" t="s">
        <v>8901</v>
      </c>
      <c r="V308" s="114" t="s">
        <v>3072</v>
      </c>
      <c r="W308" s="114" t="s">
        <v>8906</v>
      </c>
      <c r="X308" s="114" t="s">
        <v>2701</v>
      </c>
      <c r="Y308" s="114" t="s">
        <v>8851</v>
      </c>
      <c r="Z308" s="114" t="s">
        <v>2701</v>
      </c>
      <c r="AA308" s="114" t="s">
        <v>9266</v>
      </c>
      <c r="AB308" s="114" t="s">
        <v>8853</v>
      </c>
    </row>
    <row r="309" spans="1:28" ht="132" x14ac:dyDescent="0.2">
      <c r="A309" s="133" t="s">
        <v>1631</v>
      </c>
      <c r="B309" s="130">
        <v>23</v>
      </c>
      <c r="C309" s="130" t="s">
        <v>202</v>
      </c>
      <c r="D309" s="130" t="s">
        <v>267</v>
      </c>
      <c r="E309" s="131">
        <v>38420</v>
      </c>
      <c r="F309" s="131">
        <v>38457</v>
      </c>
      <c r="G309" s="132" t="s">
        <v>8785</v>
      </c>
      <c r="H309" s="132" t="s">
        <v>262</v>
      </c>
      <c r="I309" s="132" t="s">
        <v>1633</v>
      </c>
      <c r="J309" s="132" t="s">
        <v>9579</v>
      </c>
      <c r="K309" s="440" t="str">
        <f>HYPERLINK("https://okcountyrecords.com/detail/roger+mills/2005-002327","OKCountyRecords: 2005-002327")</f>
        <v>OKCountyRecords: 2005-002327</v>
      </c>
      <c r="L309" s="133" t="s">
        <v>1501</v>
      </c>
      <c r="M309" s="133" t="s">
        <v>1491</v>
      </c>
      <c r="N309" s="133"/>
      <c r="O309" s="133" t="s">
        <v>422</v>
      </c>
      <c r="P309" s="114" t="s">
        <v>9209</v>
      </c>
      <c r="Q309" s="114" t="s">
        <v>89</v>
      </c>
      <c r="R309" s="114" t="s">
        <v>118</v>
      </c>
      <c r="S309" s="114" t="s">
        <v>89</v>
      </c>
      <c r="T309" s="114" t="s">
        <v>118</v>
      </c>
      <c r="U309" s="114" t="s">
        <v>8930</v>
      </c>
      <c r="V309" s="114" t="s">
        <v>2701</v>
      </c>
      <c r="W309" s="114" t="s">
        <v>8864</v>
      </c>
      <c r="X309" s="114" t="s">
        <v>2701</v>
      </c>
      <c r="Y309" s="114" t="s">
        <v>8851</v>
      </c>
      <c r="Z309" s="114" t="s">
        <v>2701</v>
      </c>
      <c r="AA309" s="114" t="s">
        <v>9267</v>
      </c>
      <c r="AB309" s="114" t="s">
        <v>9139</v>
      </c>
    </row>
    <row r="310" spans="1:28" ht="72" x14ac:dyDescent="0.2">
      <c r="A310" s="133" t="s">
        <v>1634</v>
      </c>
      <c r="B310" s="130"/>
      <c r="C310" s="130" t="s">
        <v>1635</v>
      </c>
      <c r="D310" s="130" t="s">
        <v>1636</v>
      </c>
      <c r="E310" s="131">
        <v>38427</v>
      </c>
      <c r="F310" s="131">
        <v>38440</v>
      </c>
      <c r="G310" s="132" t="s">
        <v>1036</v>
      </c>
      <c r="H310" s="132" t="s">
        <v>1637</v>
      </c>
      <c r="I310" s="132" t="s">
        <v>1638</v>
      </c>
      <c r="J310" s="132" t="s">
        <v>63</v>
      </c>
      <c r="K310" s="440" t="str">
        <f>HYPERLINK("https://okcountyrecords.com/detail/roger+mills/2005-001839","OKCountyRecords: 2005-001839")</f>
        <v>OKCountyRecords: 2005-001839</v>
      </c>
      <c r="L310" s="133" t="s">
        <v>8711</v>
      </c>
      <c r="M310" s="133" t="s">
        <v>641</v>
      </c>
      <c r="N310" s="133" t="s">
        <v>8712</v>
      </c>
      <c r="O310" s="133" t="s">
        <v>422</v>
      </c>
      <c r="P310" s="114" t="s">
        <v>8886</v>
      </c>
      <c r="Q310" s="114" t="s">
        <v>118</v>
      </c>
      <c r="R310" s="114" t="s">
        <v>89</v>
      </c>
      <c r="S310" s="114" t="s">
        <v>118</v>
      </c>
      <c r="T310" s="114" t="s">
        <v>89</v>
      </c>
      <c r="U310" s="114" t="s">
        <v>8862</v>
      </c>
      <c r="V310" s="114" t="s">
        <v>3072</v>
      </c>
      <c r="W310" s="114" t="s">
        <v>8906</v>
      </c>
      <c r="X310" s="114" t="s">
        <v>2701</v>
      </c>
      <c r="Y310" s="114" t="s">
        <v>8857</v>
      </c>
      <c r="Z310" s="114" t="s">
        <v>8858</v>
      </c>
      <c r="AA310" s="114" t="s">
        <v>9268</v>
      </c>
    </row>
    <row r="311" spans="1:28" ht="108" x14ac:dyDescent="0.2">
      <c r="A311" s="133" t="s">
        <v>1639</v>
      </c>
      <c r="B311" s="130">
        <v>24</v>
      </c>
      <c r="C311" s="130" t="s">
        <v>202</v>
      </c>
      <c r="D311" s="130" t="s">
        <v>271</v>
      </c>
      <c r="E311" s="131">
        <v>38436</v>
      </c>
      <c r="F311" s="131">
        <v>38464</v>
      </c>
      <c r="G311" s="132" t="s">
        <v>8786</v>
      </c>
      <c r="H311" s="132" t="s">
        <v>1619</v>
      </c>
      <c r="I311" s="132" t="s">
        <v>222</v>
      </c>
      <c r="J311" s="132" t="s">
        <v>8697</v>
      </c>
      <c r="K311" s="440" t="str">
        <f>HYPERLINK("https://okcountyrecords.com/detail/roger+mills/2005-002646","OKCountyRecords: 2005-002646")</f>
        <v>OKCountyRecords: 2005-002646</v>
      </c>
      <c r="L311" s="133" t="s">
        <v>1501</v>
      </c>
      <c r="M311" s="133" t="s">
        <v>1491</v>
      </c>
      <c r="N311" s="133"/>
      <c r="O311" s="133" t="s">
        <v>422</v>
      </c>
      <c r="P311" s="114" t="s">
        <v>9209</v>
      </c>
      <c r="Q311" s="114" t="s">
        <v>89</v>
      </c>
      <c r="R311" s="114" t="s">
        <v>118</v>
      </c>
      <c r="S311" s="114" t="s">
        <v>89</v>
      </c>
      <c r="T311" s="114" t="s">
        <v>118</v>
      </c>
      <c r="U311" s="114" t="s">
        <v>8935</v>
      </c>
      <c r="V311" s="114" t="s">
        <v>2701</v>
      </c>
      <c r="W311" s="114" t="s">
        <v>8864</v>
      </c>
      <c r="X311" s="114" t="s">
        <v>2701</v>
      </c>
      <c r="Y311" s="114" t="s">
        <v>8851</v>
      </c>
      <c r="Z311" s="114" t="s">
        <v>2701</v>
      </c>
      <c r="AA311" s="114" t="s">
        <v>9269</v>
      </c>
      <c r="AB311" s="114" t="s">
        <v>9139</v>
      </c>
    </row>
    <row r="312" spans="1:28" ht="48" x14ac:dyDescent="0.2">
      <c r="A312" s="133" t="s">
        <v>1641</v>
      </c>
      <c r="B312" s="130">
        <v>36</v>
      </c>
      <c r="C312" s="130" t="s">
        <v>1642</v>
      </c>
      <c r="D312" s="130" t="s">
        <v>303</v>
      </c>
      <c r="E312" s="131">
        <v>38441</v>
      </c>
      <c r="F312" s="131">
        <v>38511</v>
      </c>
      <c r="G312" s="132" t="s">
        <v>8787</v>
      </c>
      <c r="H312" s="132" t="s">
        <v>262</v>
      </c>
      <c r="I312" s="132" t="s">
        <v>263</v>
      </c>
      <c r="J312" s="132" t="s">
        <v>302</v>
      </c>
      <c r="K312" s="440" t="str">
        <f>HYPERLINK("https://okcountyrecords.com/detail/roger+mills/2005-003940","OKCountyRecords: 2005-003940")</f>
        <v>OKCountyRecords: 2005-003940</v>
      </c>
      <c r="L312" s="133" t="s">
        <v>1501</v>
      </c>
      <c r="M312" s="133" t="s">
        <v>1491</v>
      </c>
      <c r="N312" s="133"/>
      <c r="O312" s="133" t="s">
        <v>526</v>
      </c>
      <c r="P312" s="114" t="s">
        <v>9270</v>
      </c>
      <c r="Q312" s="114" t="s">
        <v>89</v>
      </c>
      <c r="R312" s="114" t="s">
        <v>118</v>
      </c>
      <c r="S312" s="114" t="s">
        <v>89</v>
      </c>
      <c r="T312" s="114" t="s">
        <v>118</v>
      </c>
      <c r="U312" s="114" t="s">
        <v>8901</v>
      </c>
      <c r="V312" s="114" t="s">
        <v>3072</v>
      </c>
      <c r="W312" s="114" t="s">
        <v>8864</v>
      </c>
      <c r="X312" s="114" t="s">
        <v>2701</v>
      </c>
      <c r="Y312" s="114" t="s">
        <v>8851</v>
      </c>
      <c r="Z312" s="114" t="s">
        <v>2701</v>
      </c>
      <c r="AA312" s="114" t="s">
        <v>9271</v>
      </c>
      <c r="AB312" s="114" t="s">
        <v>8888</v>
      </c>
    </row>
    <row r="313" spans="1:28" ht="60" x14ac:dyDescent="0.2">
      <c r="A313" s="133" t="s">
        <v>1644</v>
      </c>
      <c r="B313" s="130">
        <v>34</v>
      </c>
      <c r="C313" s="130" t="s">
        <v>202</v>
      </c>
      <c r="D313" s="130" t="s">
        <v>298</v>
      </c>
      <c r="E313" s="131">
        <v>38441</v>
      </c>
      <c r="F313" s="131">
        <v>38504</v>
      </c>
      <c r="G313" s="132" t="s">
        <v>8788</v>
      </c>
      <c r="H313" s="132" t="s">
        <v>262</v>
      </c>
      <c r="I313" s="132" t="s">
        <v>263</v>
      </c>
      <c r="J313" s="132" t="s">
        <v>264</v>
      </c>
      <c r="K313" s="440" t="str">
        <f>HYPERLINK("https://okcountyrecords.com/detail/roger+mills/2005-003756","OKCountyRecords: 2005-003756")</f>
        <v>OKCountyRecords: 2005-003756</v>
      </c>
      <c r="L313" s="133" t="s">
        <v>1501</v>
      </c>
      <c r="M313" s="133" t="s">
        <v>1491</v>
      </c>
      <c r="N313" s="133"/>
      <c r="O313" s="133" t="s">
        <v>1492</v>
      </c>
      <c r="P313" s="114" t="s">
        <v>9209</v>
      </c>
      <c r="Q313" s="114" t="s">
        <v>89</v>
      </c>
      <c r="R313" s="114" t="s">
        <v>118</v>
      </c>
      <c r="S313" s="114" t="s">
        <v>89</v>
      </c>
      <c r="T313" s="114" t="s">
        <v>118</v>
      </c>
      <c r="U313" s="114" t="s">
        <v>8901</v>
      </c>
      <c r="V313" s="114" t="s">
        <v>3072</v>
      </c>
      <c r="W313" s="114" t="s">
        <v>9652</v>
      </c>
      <c r="X313" s="114" t="s">
        <v>2701</v>
      </c>
      <c r="Y313" s="114" t="s">
        <v>8851</v>
      </c>
      <c r="Z313" s="114" t="s">
        <v>2701</v>
      </c>
      <c r="AA313" s="114" t="s">
        <v>9272</v>
      </c>
      <c r="AB313" s="114" t="s">
        <v>8888</v>
      </c>
    </row>
    <row r="314" spans="1:28" ht="60" x14ac:dyDescent="0.2">
      <c r="A314" s="133" t="s">
        <v>1646</v>
      </c>
      <c r="B314" s="130">
        <v>35</v>
      </c>
      <c r="C314" s="130" t="s">
        <v>1647</v>
      </c>
      <c r="D314" s="130" t="s">
        <v>300</v>
      </c>
      <c r="E314" s="131">
        <v>38441</v>
      </c>
      <c r="F314" s="131">
        <v>38511</v>
      </c>
      <c r="G314" s="132" t="s">
        <v>8789</v>
      </c>
      <c r="H314" s="132" t="s">
        <v>262</v>
      </c>
      <c r="I314" s="132" t="s">
        <v>263</v>
      </c>
      <c r="J314" s="132" t="s">
        <v>8698</v>
      </c>
      <c r="K314" s="440" t="str">
        <f>HYPERLINK("https://okcountyrecords.com/detail/roger+mills/2005-003939","OKCountyRecords: 2005-003939")</f>
        <v>OKCountyRecords: 2005-003939</v>
      </c>
      <c r="L314" s="133" t="s">
        <v>1501</v>
      </c>
      <c r="M314" s="133" t="s">
        <v>1491</v>
      </c>
      <c r="N314" s="133"/>
      <c r="O314" s="133" t="s">
        <v>413</v>
      </c>
      <c r="P314" s="114" t="s">
        <v>9270</v>
      </c>
      <c r="Q314" s="114" t="s">
        <v>89</v>
      </c>
      <c r="R314" s="114" t="s">
        <v>118</v>
      </c>
      <c r="S314" s="114" t="s">
        <v>89</v>
      </c>
      <c r="T314" s="114" t="s">
        <v>118</v>
      </c>
      <c r="U314" s="114" t="s">
        <v>8901</v>
      </c>
      <c r="V314" s="114" t="s">
        <v>3072</v>
      </c>
      <c r="W314" s="114" t="s">
        <v>8855</v>
      </c>
      <c r="X314" s="114" t="s">
        <v>2701</v>
      </c>
      <c r="Y314" s="114" t="s">
        <v>8851</v>
      </c>
      <c r="Z314" s="114" t="s">
        <v>2701</v>
      </c>
      <c r="AA314" s="114" t="s">
        <v>9273</v>
      </c>
      <c r="AB314" s="114" t="s">
        <v>9274</v>
      </c>
    </row>
    <row r="315" spans="1:28" ht="48" x14ac:dyDescent="0.2">
      <c r="A315" s="133" t="s">
        <v>1649</v>
      </c>
      <c r="B315" s="130"/>
      <c r="C315" s="130" t="s">
        <v>619</v>
      </c>
      <c r="D315" s="130" t="s">
        <v>1650</v>
      </c>
      <c r="E315" s="131">
        <v>38446</v>
      </c>
      <c r="F315" s="131">
        <v>38446</v>
      </c>
      <c r="G315" s="132" t="s">
        <v>1651</v>
      </c>
      <c r="H315" s="132" t="s">
        <v>1652</v>
      </c>
      <c r="I315" s="132" t="s">
        <v>1280</v>
      </c>
      <c r="J315" s="132" t="s">
        <v>1653</v>
      </c>
      <c r="K315" s="440" t="str">
        <f>HYPERLINK("https://okcountyrecords.com/detail/roger+mills/2005-001909","OKCountyRecords: 2005-001909")</f>
        <v>OKCountyRecords: 2005-001909</v>
      </c>
      <c r="L315" s="133" t="s">
        <v>412</v>
      </c>
      <c r="M315" s="133" t="s">
        <v>405</v>
      </c>
      <c r="N315" s="133"/>
      <c r="O315" s="133" t="s">
        <v>422</v>
      </c>
      <c r="P315" s="114" t="s">
        <v>8934</v>
      </c>
      <c r="Q315" s="114" t="s">
        <v>118</v>
      </c>
      <c r="R315" s="114" t="s">
        <v>89</v>
      </c>
      <c r="S315" s="114" t="s">
        <v>118</v>
      </c>
      <c r="T315" s="114" t="s">
        <v>89</v>
      </c>
      <c r="U315" s="114" t="s">
        <v>8862</v>
      </c>
      <c r="V315" s="114" t="s">
        <v>3072</v>
      </c>
      <c r="W315" s="114" t="s">
        <v>9626</v>
      </c>
      <c r="X315" s="114" t="s">
        <v>2701</v>
      </c>
      <c r="Y315" s="114" t="s">
        <v>8857</v>
      </c>
      <c r="Z315" s="114" t="s">
        <v>8858</v>
      </c>
      <c r="AA315" s="114" t="s">
        <v>9275</v>
      </c>
      <c r="AB315" s="114" t="s">
        <v>8867</v>
      </c>
    </row>
    <row r="316" spans="1:28" ht="96" x14ac:dyDescent="0.2">
      <c r="A316" s="133" t="s">
        <v>1654</v>
      </c>
      <c r="B316" s="130">
        <v>25</v>
      </c>
      <c r="C316" s="130" t="s">
        <v>202</v>
      </c>
      <c r="D316" s="130" t="s">
        <v>273</v>
      </c>
      <c r="E316" s="131">
        <v>38447</v>
      </c>
      <c r="F316" s="131">
        <v>38462</v>
      </c>
      <c r="G316" s="132" t="s">
        <v>8790</v>
      </c>
      <c r="H316" s="132" t="s">
        <v>1656</v>
      </c>
      <c r="I316" s="132" t="s">
        <v>1657</v>
      </c>
      <c r="J316" s="132" t="s">
        <v>9580</v>
      </c>
      <c r="K316" s="440" t="str">
        <f>HYPERLINK("https://okcountyrecords.com/detail/roger+mills/2005-002552","OKCountyRecords: 2005-002552")</f>
        <v>OKCountyRecords: 2005-002552</v>
      </c>
      <c r="L316" s="133" t="s">
        <v>1501</v>
      </c>
      <c r="M316" s="133" t="s">
        <v>1491</v>
      </c>
      <c r="N316" s="133"/>
      <c r="O316" s="133" t="s">
        <v>1492</v>
      </c>
      <c r="P316" s="114" t="s">
        <v>9209</v>
      </c>
      <c r="Q316" s="114" t="s">
        <v>89</v>
      </c>
      <c r="R316" s="114" t="s">
        <v>118</v>
      </c>
      <c r="S316" s="114" t="s">
        <v>89</v>
      </c>
      <c r="T316" s="114" t="s">
        <v>118</v>
      </c>
      <c r="U316" s="114" t="s">
        <v>9276</v>
      </c>
      <c r="V316" s="114" t="s">
        <v>2701</v>
      </c>
      <c r="W316" s="114" t="s">
        <v>8864</v>
      </c>
      <c r="X316" s="114" t="s">
        <v>2701</v>
      </c>
      <c r="Y316" s="114" t="s">
        <v>8851</v>
      </c>
      <c r="Z316" s="114" t="s">
        <v>2701</v>
      </c>
      <c r="AA316" s="114" t="s">
        <v>9277</v>
      </c>
      <c r="AB316" s="114" t="s">
        <v>9139</v>
      </c>
    </row>
    <row r="317" spans="1:28" ht="60" x14ac:dyDescent="0.2">
      <c r="A317" s="133" t="s">
        <v>1659</v>
      </c>
      <c r="B317" s="130"/>
      <c r="C317" s="130" t="s">
        <v>1362</v>
      </c>
      <c r="D317" s="130" t="s">
        <v>1660</v>
      </c>
      <c r="E317" s="131">
        <v>38455</v>
      </c>
      <c r="F317" s="131">
        <v>38455</v>
      </c>
      <c r="G317" s="132" t="s">
        <v>1661</v>
      </c>
      <c r="H317" s="132" t="s">
        <v>1662</v>
      </c>
      <c r="I317" s="132" t="s">
        <v>1663</v>
      </c>
      <c r="J317" s="132" t="s">
        <v>1664</v>
      </c>
      <c r="K317" s="440" t="str">
        <f>HYPERLINK("https://okcountyrecords.com/detail/roger+mills/2005-002196","OKCountyRecords: 2005-002196")</f>
        <v>OKCountyRecords: 2005-002196</v>
      </c>
      <c r="L317" s="133" t="s">
        <v>412</v>
      </c>
      <c r="M317" s="133" t="s">
        <v>405</v>
      </c>
      <c r="N317" s="133"/>
      <c r="O317" s="133" t="s">
        <v>422</v>
      </c>
      <c r="P317" s="114" t="s">
        <v>8886</v>
      </c>
      <c r="Q317" s="114" t="s">
        <v>118</v>
      </c>
      <c r="R317" s="114" t="s">
        <v>89</v>
      </c>
      <c r="S317" s="114" t="s">
        <v>118</v>
      </c>
      <c r="T317" s="114" t="s">
        <v>89</v>
      </c>
      <c r="U317" s="114" t="s">
        <v>9230</v>
      </c>
      <c r="V317" s="114" t="s">
        <v>3072</v>
      </c>
      <c r="W317" s="114" t="s">
        <v>8864</v>
      </c>
      <c r="X317" s="114" t="s">
        <v>2701</v>
      </c>
      <c r="Y317" s="114" t="s">
        <v>8857</v>
      </c>
      <c r="Z317" s="114" t="s">
        <v>8858</v>
      </c>
      <c r="AA317" s="114" t="s">
        <v>9278</v>
      </c>
      <c r="AB317" s="114" t="s">
        <v>8867</v>
      </c>
    </row>
    <row r="318" spans="1:28" ht="48" x14ac:dyDescent="0.2">
      <c r="A318" s="133" t="s">
        <v>1665</v>
      </c>
      <c r="B318" s="130">
        <v>63</v>
      </c>
      <c r="C318" s="130" t="s">
        <v>202</v>
      </c>
      <c r="D318" s="130" t="s">
        <v>377</v>
      </c>
      <c r="E318" s="131">
        <v>38457</v>
      </c>
      <c r="F318" s="131">
        <v>38474</v>
      </c>
      <c r="G318" s="132" t="s">
        <v>114</v>
      </c>
      <c r="H318" s="132" t="s">
        <v>379</v>
      </c>
      <c r="I318" s="132" t="s">
        <v>263</v>
      </c>
      <c r="J318" s="132" t="s">
        <v>380</v>
      </c>
      <c r="K318" s="440" t="str">
        <f>HYPERLINK("https://okcountyrecords.com/detail/roger+mills/2005-002831","OKCountyRecords: 2005-002831")</f>
        <v>OKCountyRecords: 2005-002831</v>
      </c>
      <c r="L318" s="133" t="s">
        <v>1501</v>
      </c>
      <c r="M318" s="133" t="s">
        <v>1491</v>
      </c>
      <c r="N318" s="133"/>
      <c r="O318" s="133" t="s">
        <v>1492</v>
      </c>
      <c r="P318" s="114" t="s">
        <v>9209</v>
      </c>
      <c r="Q318" s="114" t="s">
        <v>89</v>
      </c>
      <c r="R318" s="114" t="s">
        <v>118</v>
      </c>
      <c r="S318" s="114" t="s">
        <v>89</v>
      </c>
      <c r="T318" s="114" t="s">
        <v>118</v>
      </c>
      <c r="U318" s="114" t="s">
        <v>8901</v>
      </c>
      <c r="V318" s="114" t="s">
        <v>3072</v>
      </c>
      <c r="W318" s="114" t="s">
        <v>8906</v>
      </c>
      <c r="X318" s="114" t="s">
        <v>2701</v>
      </c>
      <c r="Y318" s="114" t="s">
        <v>8851</v>
      </c>
      <c r="Z318" s="114" t="s">
        <v>2701</v>
      </c>
      <c r="AA318" s="114" t="s">
        <v>9279</v>
      </c>
      <c r="AB318" s="114" t="s">
        <v>8853</v>
      </c>
    </row>
    <row r="319" spans="1:28" ht="48" x14ac:dyDescent="0.2">
      <c r="A319" s="133" t="s">
        <v>1666</v>
      </c>
      <c r="B319" s="130">
        <v>26</v>
      </c>
      <c r="C319" s="130" t="s">
        <v>202</v>
      </c>
      <c r="D319" s="130" t="s">
        <v>278</v>
      </c>
      <c r="E319" s="131">
        <v>38468</v>
      </c>
      <c r="F319" s="131">
        <v>38551</v>
      </c>
      <c r="G319" s="132" t="s">
        <v>8791</v>
      </c>
      <c r="H319" s="132" t="s">
        <v>1656</v>
      </c>
      <c r="I319" s="132" t="s">
        <v>215</v>
      </c>
      <c r="J319" s="132" t="s">
        <v>216</v>
      </c>
      <c r="K319" s="440" t="str">
        <f>HYPERLINK("https://okcountyrecords.com/detail/roger+mills/2005-004817","OKCountyRecords: 2005-004817")</f>
        <v>OKCountyRecords: 2005-004817</v>
      </c>
      <c r="L319" s="133" t="s">
        <v>1501</v>
      </c>
      <c r="M319" s="133" t="s">
        <v>1491</v>
      </c>
      <c r="N319" s="133"/>
      <c r="O319" s="133" t="s">
        <v>1492</v>
      </c>
      <c r="P319" s="114" t="s">
        <v>9209</v>
      </c>
      <c r="Q319" s="114" t="s">
        <v>89</v>
      </c>
      <c r="R319" s="114" t="s">
        <v>118</v>
      </c>
      <c r="S319" s="114" t="s">
        <v>89</v>
      </c>
      <c r="T319" s="114" t="s">
        <v>118</v>
      </c>
      <c r="U319" s="114" t="s">
        <v>8862</v>
      </c>
      <c r="V319" s="114" t="s">
        <v>3072</v>
      </c>
      <c r="W319" s="114" t="s">
        <v>8864</v>
      </c>
      <c r="X319" s="114" t="s">
        <v>2701</v>
      </c>
      <c r="Y319" s="114" t="s">
        <v>8851</v>
      </c>
      <c r="Z319" s="114" t="s">
        <v>2701</v>
      </c>
      <c r="AA319" s="114" t="s">
        <v>9280</v>
      </c>
      <c r="AB319" s="114" t="s">
        <v>8888</v>
      </c>
    </row>
    <row r="320" spans="1:28" ht="72" x14ac:dyDescent="0.2">
      <c r="A320" s="133" t="s">
        <v>1668</v>
      </c>
      <c r="B320" s="130">
        <v>28</v>
      </c>
      <c r="C320" s="130" t="s">
        <v>202</v>
      </c>
      <c r="D320" s="130" t="s">
        <v>284</v>
      </c>
      <c r="E320" s="131">
        <v>38468</v>
      </c>
      <c r="F320" s="131">
        <v>38552</v>
      </c>
      <c r="G320" s="132" t="s">
        <v>8792</v>
      </c>
      <c r="H320" s="132" t="s">
        <v>1656</v>
      </c>
      <c r="I320" s="132" t="s">
        <v>215</v>
      </c>
      <c r="J320" s="132" t="s">
        <v>1670</v>
      </c>
      <c r="K320" s="440" t="str">
        <f>HYPERLINK("https://okcountyrecords.com/detail/roger+mills/2005-004863","OKCountyRecords: 2005-004863")</f>
        <v>OKCountyRecords: 2005-004863</v>
      </c>
      <c r="L320" s="133" t="s">
        <v>1501</v>
      </c>
      <c r="M320" s="133" t="s">
        <v>1491</v>
      </c>
      <c r="N320" s="133"/>
      <c r="O320" s="133" t="s">
        <v>1492</v>
      </c>
      <c r="P320" s="114" t="s">
        <v>9209</v>
      </c>
      <c r="Q320" s="114" t="s">
        <v>89</v>
      </c>
      <c r="R320" s="114" t="s">
        <v>118</v>
      </c>
      <c r="S320" s="114" t="s">
        <v>89</v>
      </c>
      <c r="T320" s="114" t="s">
        <v>118</v>
      </c>
      <c r="U320" s="114" t="s">
        <v>8862</v>
      </c>
      <c r="V320" s="114" t="s">
        <v>3072</v>
      </c>
      <c r="W320" s="114" t="s">
        <v>9653</v>
      </c>
      <c r="X320" s="114" t="s">
        <v>2701</v>
      </c>
      <c r="Y320" s="114" t="s">
        <v>8851</v>
      </c>
      <c r="Z320" s="114" t="s">
        <v>2701</v>
      </c>
      <c r="AA320" s="114" t="s">
        <v>9281</v>
      </c>
      <c r="AB320" s="114" t="s">
        <v>8888</v>
      </c>
    </row>
    <row r="321" spans="1:28" ht="72" x14ac:dyDescent="0.2">
      <c r="A321" s="133" t="s">
        <v>1671</v>
      </c>
      <c r="B321" s="130">
        <v>38</v>
      </c>
      <c r="C321" s="130" t="s">
        <v>202</v>
      </c>
      <c r="D321" s="130" t="s">
        <v>308</v>
      </c>
      <c r="E321" s="131">
        <v>38468</v>
      </c>
      <c r="F321" s="131">
        <v>38551</v>
      </c>
      <c r="G321" s="132" t="s">
        <v>8793</v>
      </c>
      <c r="H321" s="132" t="s">
        <v>1656</v>
      </c>
      <c r="I321" s="132" t="s">
        <v>215</v>
      </c>
      <c r="J321" s="132" t="s">
        <v>216</v>
      </c>
      <c r="K321" s="440" t="str">
        <f>HYPERLINK("https://okcountyrecords.com/detail/roger+mills/2005-004816","OKCountyRecords: 2005-004816")</f>
        <v>OKCountyRecords: 2005-004816</v>
      </c>
      <c r="L321" s="133" t="s">
        <v>1501</v>
      </c>
      <c r="M321" s="133" t="s">
        <v>1491</v>
      </c>
      <c r="N321" s="133"/>
      <c r="O321" s="133" t="s">
        <v>1492</v>
      </c>
      <c r="P321" s="114" t="s">
        <v>9209</v>
      </c>
      <c r="Q321" s="114" t="s">
        <v>89</v>
      </c>
      <c r="R321" s="114" t="s">
        <v>118</v>
      </c>
      <c r="S321" s="114" t="s">
        <v>89</v>
      </c>
      <c r="T321" s="114" t="s">
        <v>118</v>
      </c>
      <c r="U321" s="114" t="s">
        <v>8862</v>
      </c>
      <c r="V321" s="114" t="s">
        <v>3072</v>
      </c>
      <c r="W321" s="114" t="s">
        <v>9654</v>
      </c>
      <c r="X321" s="114" t="s">
        <v>2701</v>
      </c>
      <c r="Y321" s="114" t="s">
        <v>8851</v>
      </c>
      <c r="Z321" s="114" t="s">
        <v>2701</v>
      </c>
      <c r="AA321" s="114" t="s">
        <v>9282</v>
      </c>
      <c r="AB321" s="114" t="s">
        <v>8888</v>
      </c>
    </row>
    <row r="322" spans="1:28" ht="84" x14ac:dyDescent="0.2">
      <c r="A322" s="133" t="s">
        <v>1673</v>
      </c>
      <c r="B322" s="130">
        <v>27</v>
      </c>
      <c r="C322" s="130" t="s">
        <v>202</v>
      </c>
      <c r="D322" s="130" t="s">
        <v>281</v>
      </c>
      <c r="E322" s="131">
        <v>38468</v>
      </c>
      <c r="F322" s="131">
        <v>38551</v>
      </c>
      <c r="G322" s="132" t="s">
        <v>8794</v>
      </c>
      <c r="H322" s="132" t="s">
        <v>1656</v>
      </c>
      <c r="I322" s="132" t="s">
        <v>283</v>
      </c>
      <c r="J322" s="132" t="s">
        <v>216</v>
      </c>
      <c r="K322" s="440" t="str">
        <f>HYPERLINK("https://okcountyrecords.com/detail/roger+mills/2005-004818","OKCountyRecords: 2005-004818")</f>
        <v>OKCountyRecords: 2005-004818</v>
      </c>
      <c r="L322" s="133" t="s">
        <v>1501</v>
      </c>
      <c r="M322" s="133" t="s">
        <v>1491</v>
      </c>
      <c r="N322" s="133"/>
      <c r="O322" s="133" t="s">
        <v>422</v>
      </c>
      <c r="P322" s="114" t="s">
        <v>9209</v>
      </c>
      <c r="Q322" s="114" t="s">
        <v>89</v>
      </c>
      <c r="R322" s="114" t="s">
        <v>118</v>
      </c>
      <c r="S322" s="114" t="s">
        <v>89</v>
      </c>
      <c r="T322" s="114" t="s">
        <v>118</v>
      </c>
      <c r="U322" s="114" t="s">
        <v>8862</v>
      </c>
      <c r="V322" s="114" t="s">
        <v>3072</v>
      </c>
      <c r="W322" s="114" t="s">
        <v>9655</v>
      </c>
      <c r="X322" s="114" t="s">
        <v>2701</v>
      </c>
      <c r="Y322" s="114" t="s">
        <v>8851</v>
      </c>
      <c r="Z322" s="114" t="s">
        <v>2701</v>
      </c>
      <c r="AA322" s="114" t="s">
        <v>9283</v>
      </c>
      <c r="AB322" s="114" t="s">
        <v>8888</v>
      </c>
    </row>
    <row r="323" spans="1:28" ht="60" x14ac:dyDescent="0.2">
      <c r="A323" s="133" t="s">
        <v>1675</v>
      </c>
      <c r="B323" s="130"/>
      <c r="C323" s="130" t="s">
        <v>619</v>
      </c>
      <c r="D323" s="130" t="s">
        <v>1676</v>
      </c>
      <c r="E323" s="131">
        <v>38473</v>
      </c>
      <c r="F323" s="131">
        <v>38548</v>
      </c>
      <c r="G323" s="132" t="s">
        <v>114</v>
      </c>
      <c r="H323" s="132" t="s">
        <v>1677</v>
      </c>
      <c r="I323" s="132" t="s">
        <v>1663</v>
      </c>
      <c r="J323" s="132" t="s">
        <v>1678</v>
      </c>
      <c r="K323" s="440" t="str">
        <f>HYPERLINK("https://okcountyrecords.com/detail/roger+mills/2005-004793","OKCountyRecords: 2005-004793")</f>
        <v>OKCountyRecords: 2005-004793</v>
      </c>
      <c r="L323" s="133" t="s">
        <v>412</v>
      </c>
      <c r="M323" s="133" t="s">
        <v>641</v>
      </c>
      <c r="N323" s="133" t="s">
        <v>1679</v>
      </c>
      <c r="O323" s="133" t="s">
        <v>428</v>
      </c>
      <c r="P323" s="114" t="s">
        <v>8934</v>
      </c>
      <c r="Q323" s="114" t="s">
        <v>118</v>
      </c>
      <c r="R323" s="114" t="s">
        <v>89</v>
      </c>
      <c r="S323" s="114" t="s">
        <v>118</v>
      </c>
      <c r="T323" s="114" t="s">
        <v>89</v>
      </c>
      <c r="U323" s="114" t="s">
        <v>9230</v>
      </c>
      <c r="V323" s="114" t="s">
        <v>3072</v>
      </c>
      <c r="W323" s="114" t="s">
        <v>8906</v>
      </c>
      <c r="X323" s="114" t="s">
        <v>8873</v>
      </c>
      <c r="Y323" s="114" t="s">
        <v>9284</v>
      </c>
      <c r="Z323" s="114" t="s">
        <v>8858</v>
      </c>
      <c r="AA323" s="114" t="s">
        <v>9285</v>
      </c>
    </row>
    <row r="324" spans="1:28" ht="60" x14ac:dyDescent="0.2">
      <c r="A324" s="133" t="s">
        <v>1680</v>
      </c>
      <c r="B324" s="130"/>
      <c r="C324" s="130" t="s">
        <v>619</v>
      </c>
      <c r="D324" s="130" t="s">
        <v>1681</v>
      </c>
      <c r="E324" s="131">
        <v>38473</v>
      </c>
      <c r="F324" s="131">
        <v>38573</v>
      </c>
      <c r="G324" s="132" t="s">
        <v>114</v>
      </c>
      <c r="H324" s="132" t="s">
        <v>1677</v>
      </c>
      <c r="I324" s="132" t="s">
        <v>263</v>
      </c>
      <c r="J324" s="132" t="s">
        <v>1682</v>
      </c>
      <c r="K324" s="440" t="str">
        <f>HYPERLINK("https://okcountyrecords.com/detail/roger+mills/2005-005251","OKCountyRecords: 2005-005251")</f>
        <v>OKCountyRecords: 2005-005251</v>
      </c>
      <c r="L324" s="133" t="s">
        <v>412</v>
      </c>
      <c r="M324" s="133" t="s">
        <v>641</v>
      </c>
      <c r="N324" s="133" t="s">
        <v>1683</v>
      </c>
      <c r="O324" s="133" t="s">
        <v>428</v>
      </c>
      <c r="P324" s="114" t="s">
        <v>8934</v>
      </c>
      <c r="Q324" s="114" t="s">
        <v>118</v>
      </c>
      <c r="R324" s="114" t="s">
        <v>89</v>
      </c>
      <c r="S324" s="114" t="s">
        <v>118</v>
      </c>
      <c r="T324" s="114" t="s">
        <v>89</v>
      </c>
      <c r="U324" s="114" t="s">
        <v>8901</v>
      </c>
      <c r="V324" s="114" t="s">
        <v>3072</v>
      </c>
      <c r="W324" s="114" t="s">
        <v>8906</v>
      </c>
      <c r="X324" s="114" t="s">
        <v>8873</v>
      </c>
      <c r="Y324" s="114" t="s">
        <v>9286</v>
      </c>
      <c r="Z324" s="114" t="s">
        <v>8858</v>
      </c>
      <c r="AA324" s="114" t="s">
        <v>9287</v>
      </c>
    </row>
    <row r="325" spans="1:28" ht="60" x14ac:dyDescent="0.2">
      <c r="A325" s="133" t="s">
        <v>1684</v>
      </c>
      <c r="B325" s="130"/>
      <c r="C325" s="130" t="s">
        <v>619</v>
      </c>
      <c r="D325" s="130" t="s">
        <v>1685</v>
      </c>
      <c r="E325" s="131">
        <v>38483</v>
      </c>
      <c r="F325" s="131">
        <v>38490</v>
      </c>
      <c r="G325" s="132" t="s">
        <v>1686</v>
      </c>
      <c r="H325" s="132" t="s">
        <v>1687</v>
      </c>
      <c r="I325" s="132" t="s">
        <v>1280</v>
      </c>
      <c r="J325" s="132" t="s">
        <v>1688</v>
      </c>
      <c r="K325" s="440" t="str">
        <f>HYPERLINK("https://okcountyrecords.com/detail/roger+mills/2005-003389","OKCountyRecords: 2005-003389")</f>
        <v>OKCountyRecords: 2005-003389</v>
      </c>
      <c r="L325" s="133" t="s">
        <v>412</v>
      </c>
      <c r="M325" s="133" t="s">
        <v>405</v>
      </c>
      <c r="N325" s="133"/>
      <c r="O325" s="133" t="s">
        <v>422</v>
      </c>
      <c r="P325" s="114" t="s">
        <v>8934</v>
      </c>
      <c r="Q325" s="114" t="s">
        <v>118</v>
      </c>
      <c r="R325" s="114" t="s">
        <v>89</v>
      </c>
      <c r="S325" s="114" t="s">
        <v>118</v>
      </c>
      <c r="T325" s="114" t="s">
        <v>89</v>
      </c>
      <c r="U325" s="114" t="s">
        <v>8862</v>
      </c>
      <c r="V325" s="114" t="s">
        <v>3072</v>
      </c>
      <c r="W325" s="114" t="s">
        <v>9656</v>
      </c>
      <c r="X325" s="114" t="s">
        <v>8865</v>
      </c>
      <c r="Y325" s="114" t="s">
        <v>9017</v>
      </c>
      <c r="Z325" s="114" t="s">
        <v>8858</v>
      </c>
      <c r="AA325" s="114" t="s">
        <v>9288</v>
      </c>
      <c r="AB325" s="114" t="s">
        <v>8867</v>
      </c>
    </row>
    <row r="326" spans="1:28" ht="48" x14ac:dyDescent="0.2">
      <c r="A326" s="133" t="s">
        <v>1689</v>
      </c>
      <c r="B326" s="130"/>
      <c r="C326" s="130" t="s">
        <v>1690</v>
      </c>
      <c r="D326" s="130" t="s">
        <v>1691</v>
      </c>
      <c r="E326" s="131">
        <v>38497</v>
      </c>
      <c r="F326" s="131">
        <v>38499</v>
      </c>
      <c r="G326" s="132" t="s">
        <v>1619</v>
      </c>
      <c r="H326" s="132" t="s">
        <v>1692</v>
      </c>
      <c r="I326" s="132" t="s">
        <v>1693</v>
      </c>
      <c r="J326" s="132" t="s">
        <v>1694</v>
      </c>
      <c r="K326" s="440" t="str">
        <f>HYPERLINK("https://okcountyrecords.com/detail/roger+mills/2005-003691","OKCountyRecords: 2005-003691")</f>
        <v>OKCountyRecords: 2005-003691</v>
      </c>
      <c r="L326" s="133" t="s">
        <v>1501</v>
      </c>
      <c r="M326" s="133" t="s">
        <v>8756</v>
      </c>
      <c r="N326" s="133"/>
      <c r="O326" s="133" t="s">
        <v>422</v>
      </c>
      <c r="P326" s="114" t="s">
        <v>9195</v>
      </c>
      <c r="Q326" s="114" t="s">
        <v>89</v>
      </c>
      <c r="R326" s="114" t="s">
        <v>118</v>
      </c>
      <c r="S326" s="114" t="s">
        <v>2701</v>
      </c>
      <c r="T326" s="114" t="s">
        <v>118</v>
      </c>
      <c r="U326" s="114" t="s">
        <v>9289</v>
      </c>
      <c r="V326" s="114" t="s">
        <v>2701</v>
      </c>
      <c r="W326" s="114" t="s">
        <v>8906</v>
      </c>
      <c r="X326" s="114" t="s">
        <v>2701</v>
      </c>
      <c r="Y326" s="114" t="s">
        <v>8851</v>
      </c>
      <c r="Z326" s="114" t="s">
        <v>2701</v>
      </c>
      <c r="AA326" s="114" t="s">
        <v>9290</v>
      </c>
      <c r="AB326" s="114" t="s">
        <v>8871</v>
      </c>
    </row>
    <row r="327" spans="1:28" ht="120" x14ac:dyDescent="0.2">
      <c r="A327" s="133" t="s">
        <v>1695</v>
      </c>
      <c r="B327" s="130"/>
      <c r="C327" s="130" t="s">
        <v>619</v>
      </c>
      <c r="D327" s="130" t="s">
        <v>1696</v>
      </c>
      <c r="E327" s="131">
        <v>38516</v>
      </c>
      <c r="F327" s="131">
        <v>38517</v>
      </c>
      <c r="G327" s="132" t="s">
        <v>1697</v>
      </c>
      <c r="H327" s="132" t="s">
        <v>1698</v>
      </c>
      <c r="I327" s="132" t="s">
        <v>1699</v>
      </c>
      <c r="J327" s="132" t="s">
        <v>9581</v>
      </c>
      <c r="K327" s="440" t="str">
        <f>HYPERLINK("https://okcountyrecords.com/detail/roger+mills/2005-004044","OKCountyRecords: 2005-004044")</f>
        <v>OKCountyRecords: 2005-004044</v>
      </c>
      <c r="L327" s="133" t="s">
        <v>412</v>
      </c>
      <c r="M327" s="133" t="s">
        <v>405</v>
      </c>
      <c r="N327" s="133"/>
      <c r="O327" s="133" t="s">
        <v>428</v>
      </c>
      <c r="P327" s="114" t="s">
        <v>8934</v>
      </c>
      <c r="Q327" s="114" t="s">
        <v>118</v>
      </c>
      <c r="R327" s="114" t="s">
        <v>89</v>
      </c>
      <c r="S327" s="114" t="s">
        <v>118</v>
      </c>
      <c r="T327" s="114" t="s">
        <v>89</v>
      </c>
      <c r="U327" s="114" t="s">
        <v>9249</v>
      </c>
      <c r="V327" s="114" t="s">
        <v>2701</v>
      </c>
      <c r="W327" s="114" t="s">
        <v>8864</v>
      </c>
      <c r="X327" s="114" t="s">
        <v>8856</v>
      </c>
      <c r="Y327" s="114" t="s">
        <v>8857</v>
      </c>
      <c r="Z327" s="114" t="s">
        <v>8858</v>
      </c>
      <c r="AA327" s="114" t="s">
        <v>9291</v>
      </c>
      <c r="AB327" s="114" t="s">
        <v>8877</v>
      </c>
    </row>
    <row r="328" spans="1:28" ht="60" x14ac:dyDescent="0.2">
      <c r="A328" s="133" t="s">
        <v>1700</v>
      </c>
      <c r="B328" s="130">
        <v>31</v>
      </c>
      <c r="C328" s="130" t="s">
        <v>202</v>
      </c>
      <c r="D328" s="130" t="s">
        <v>292</v>
      </c>
      <c r="E328" s="131">
        <v>38522</v>
      </c>
      <c r="F328" s="131">
        <v>38554</v>
      </c>
      <c r="G328" s="132" t="s">
        <v>1701</v>
      </c>
      <c r="H328" s="132" t="s">
        <v>262</v>
      </c>
      <c r="I328" s="132" t="s">
        <v>215</v>
      </c>
      <c r="J328" s="132" t="s">
        <v>289</v>
      </c>
      <c r="K328" s="440" t="str">
        <f>HYPERLINK("https://okcountyrecords.com/detail/roger+mills/2005-004940","OKCountyRecords: 2005-004940")</f>
        <v>OKCountyRecords: 2005-004940</v>
      </c>
      <c r="L328" s="133" t="s">
        <v>1501</v>
      </c>
      <c r="M328" s="133" t="s">
        <v>1491</v>
      </c>
      <c r="N328" s="133"/>
      <c r="O328" s="133" t="s">
        <v>1702</v>
      </c>
      <c r="P328" s="114" t="s">
        <v>9209</v>
      </c>
      <c r="Q328" s="114" t="s">
        <v>89</v>
      </c>
      <c r="R328" s="114" t="s">
        <v>118</v>
      </c>
      <c r="S328" s="114" t="s">
        <v>89</v>
      </c>
      <c r="T328" s="114" t="s">
        <v>118</v>
      </c>
      <c r="U328" s="114" t="s">
        <v>8862</v>
      </c>
      <c r="V328" s="114" t="s">
        <v>3072</v>
      </c>
      <c r="W328" s="114" t="s">
        <v>8864</v>
      </c>
      <c r="X328" s="114" t="s">
        <v>2701</v>
      </c>
      <c r="Y328" s="114" t="s">
        <v>8851</v>
      </c>
      <c r="Z328" s="114" t="s">
        <v>2701</v>
      </c>
      <c r="AA328" s="114" t="s">
        <v>9292</v>
      </c>
      <c r="AB328" s="114" t="s">
        <v>8888</v>
      </c>
    </row>
    <row r="329" spans="1:28" ht="60" x14ac:dyDescent="0.2">
      <c r="A329" s="133" t="s">
        <v>1703</v>
      </c>
      <c r="B329" s="130">
        <v>30</v>
      </c>
      <c r="C329" s="130" t="s">
        <v>202</v>
      </c>
      <c r="D329" s="130" t="s">
        <v>290</v>
      </c>
      <c r="E329" s="131">
        <v>38522</v>
      </c>
      <c r="F329" s="131">
        <v>38554</v>
      </c>
      <c r="G329" s="132" t="s">
        <v>8795</v>
      </c>
      <c r="H329" s="132" t="s">
        <v>262</v>
      </c>
      <c r="I329" s="132" t="s">
        <v>215</v>
      </c>
      <c r="J329" s="132" t="s">
        <v>289</v>
      </c>
      <c r="K329" s="440" t="str">
        <f>HYPERLINK("https://okcountyrecords.com/detail/roger+mills/2005-004939","OKCountyRecords: 2005-004939")</f>
        <v>OKCountyRecords: 2005-004939</v>
      </c>
      <c r="L329" s="133" t="s">
        <v>1501</v>
      </c>
      <c r="M329" s="133" t="s">
        <v>1491</v>
      </c>
      <c r="N329" s="133"/>
      <c r="O329" s="133" t="s">
        <v>1702</v>
      </c>
      <c r="P329" s="114" t="s">
        <v>9209</v>
      </c>
      <c r="Q329" s="114" t="s">
        <v>89</v>
      </c>
      <c r="R329" s="114" t="s">
        <v>118</v>
      </c>
      <c r="S329" s="114" t="s">
        <v>89</v>
      </c>
      <c r="T329" s="114" t="s">
        <v>118</v>
      </c>
      <c r="U329" s="114" t="s">
        <v>8862</v>
      </c>
      <c r="V329" s="114" t="s">
        <v>3072</v>
      </c>
      <c r="W329" s="114" t="s">
        <v>8906</v>
      </c>
      <c r="X329" s="114" t="s">
        <v>2701</v>
      </c>
      <c r="Y329" s="114" t="s">
        <v>8851</v>
      </c>
      <c r="Z329" s="114" t="s">
        <v>2701</v>
      </c>
      <c r="AA329" s="114" t="s">
        <v>9293</v>
      </c>
      <c r="AB329" s="114" t="s">
        <v>8853</v>
      </c>
    </row>
    <row r="330" spans="1:28" ht="60" x14ac:dyDescent="0.2">
      <c r="A330" s="133" t="s">
        <v>1705</v>
      </c>
      <c r="B330" s="130">
        <v>29</v>
      </c>
      <c r="C330" s="130" t="s">
        <v>202</v>
      </c>
      <c r="D330" s="130" t="s">
        <v>287</v>
      </c>
      <c r="E330" s="131">
        <v>38522</v>
      </c>
      <c r="F330" s="131">
        <v>38554</v>
      </c>
      <c r="G330" s="132" t="s">
        <v>1706</v>
      </c>
      <c r="H330" s="132" t="s">
        <v>262</v>
      </c>
      <c r="I330" s="132" t="s">
        <v>215</v>
      </c>
      <c r="J330" s="132" t="s">
        <v>289</v>
      </c>
      <c r="K330" s="440" t="str">
        <f>HYPERLINK("https://okcountyrecords.com/detail/roger+mills/2005-004938","OKCountyRecords: 2005-004938")</f>
        <v>OKCountyRecords: 2005-004938</v>
      </c>
      <c r="L330" s="133" t="s">
        <v>1501</v>
      </c>
      <c r="M330" s="133" t="s">
        <v>1491</v>
      </c>
      <c r="N330" s="133"/>
      <c r="O330" s="133" t="s">
        <v>1702</v>
      </c>
      <c r="P330" s="114" t="s">
        <v>9209</v>
      </c>
      <c r="Q330" s="114" t="s">
        <v>89</v>
      </c>
      <c r="R330" s="114" t="s">
        <v>118</v>
      </c>
      <c r="S330" s="114" t="s">
        <v>89</v>
      </c>
      <c r="T330" s="114" t="s">
        <v>118</v>
      </c>
      <c r="U330" s="114" t="s">
        <v>8862</v>
      </c>
      <c r="V330" s="114" t="s">
        <v>3072</v>
      </c>
      <c r="W330" s="114" t="s">
        <v>8864</v>
      </c>
      <c r="X330" s="114" t="s">
        <v>2701</v>
      </c>
      <c r="Y330" s="114" t="s">
        <v>8851</v>
      </c>
      <c r="Z330" s="114" t="s">
        <v>2701</v>
      </c>
      <c r="AA330" s="114" t="s">
        <v>9294</v>
      </c>
      <c r="AB330" s="114" t="s">
        <v>8888</v>
      </c>
    </row>
    <row r="331" spans="1:28" ht="60" x14ac:dyDescent="0.2">
      <c r="A331" s="133" t="s">
        <v>1707</v>
      </c>
      <c r="B331" s="130">
        <v>33</v>
      </c>
      <c r="C331" s="130" t="s">
        <v>202</v>
      </c>
      <c r="D331" s="130" t="s">
        <v>296</v>
      </c>
      <c r="E331" s="131">
        <v>38522</v>
      </c>
      <c r="F331" s="131">
        <v>38555</v>
      </c>
      <c r="G331" s="132" t="s">
        <v>1708</v>
      </c>
      <c r="H331" s="132" t="s">
        <v>262</v>
      </c>
      <c r="I331" s="132" t="s">
        <v>215</v>
      </c>
      <c r="J331" s="132" t="s">
        <v>289</v>
      </c>
      <c r="K331" s="440" t="str">
        <f>HYPERLINK("https://okcountyrecords.com/detail/roger+mills/2005-004951","OKCountyRecords: 2005-004951")</f>
        <v>OKCountyRecords: 2005-004951</v>
      </c>
      <c r="L331" s="133" t="s">
        <v>1501</v>
      </c>
      <c r="M331" s="133" t="s">
        <v>1491</v>
      </c>
      <c r="N331" s="133"/>
      <c r="O331" s="133" t="s">
        <v>1702</v>
      </c>
      <c r="P331" s="114" t="s">
        <v>9209</v>
      </c>
      <c r="Q331" s="114" t="s">
        <v>89</v>
      </c>
      <c r="R331" s="114" t="s">
        <v>118</v>
      </c>
      <c r="S331" s="114" t="s">
        <v>89</v>
      </c>
      <c r="T331" s="114" t="s">
        <v>118</v>
      </c>
      <c r="U331" s="114" t="s">
        <v>8862</v>
      </c>
      <c r="V331" s="114" t="s">
        <v>3072</v>
      </c>
      <c r="W331" s="114" t="s">
        <v>8864</v>
      </c>
      <c r="X331" s="114" t="s">
        <v>2701</v>
      </c>
      <c r="Y331" s="114" t="s">
        <v>8851</v>
      </c>
      <c r="Z331" s="114" t="s">
        <v>2701</v>
      </c>
      <c r="AA331" s="114" t="s">
        <v>9295</v>
      </c>
      <c r="AB331" s="114" t="s">
        <v>8888</v>
      </c>
    </row>
    <row r="332" spans="1:28" ht="60" x14ac:dyDescent="0.2">
      <c r="A332" s="133" t="s">
        <v>1709</v>
      </c>
      <c r="B332" s="130">
        <v>32</v>
      </c>
      <c r="C332" s="130" t="s">
        <v>202</v>
      </c>
      <c r="D332" s="130" t="s">
        <v>294</v>
      </c>
      <c r="E332" s="131">
        <v>38522</v>
      </c>
      <c r="F332" s="131">
        <v>38554</v>
      </c>
      <c r="G332" s="132" t="s">
        <v>1710</v>
      </c>
      <c r="H332" s="132" t="s">
        <v>262</v>
      </c>
      <c r="I332" s="132" t="s">
        <v>215</v>
      </c>
      <c r="J332" s="132" t="s">
        <v>289</v>
      </c>
      <c r="K332" s="440" t="str">
        <f>HYPERLINK("https://okcountyrecords.com/detail/roger+mills/2005-004941","OKCountyRecords: 2005-004941")</f>
        <v>OKCountyRecords: 2005-004941</v>
      </c>
      <c r="L332" s="133" t="s">
        <v>1501</v>
      </c>
      <c r="M332" s="133" t="s">
        <v>1491</v>
      </c>
      <c r="N332" s="133"/>
      <c r="O332" s="133" t="s">
        <v>1702</v>
      </c>
      <c r="P332" s="114" t="s">
        <v>9209</v>
      </c>
      <c r="Q332" s="114" t="s">
        <v>89</v>
      </c>
      <c r="R332" s="114" t="s">
        <v>118</v>
      </c>
      <c r="S332" s="114" t="s">
        <v>89</v>
      </c>
      <c r="T332" s="114" t="s">
        <v>118</v>
      </c>
      <c r="U332" s="114" t="s">
        <v>8862</v>
      </c>
      <c r="V332" s="114" t="s">
        <v>3072</v>
      </c>
      <c r="W332" s="114" t="s">
        <v>8864</v>
      </c>
      <c r="X332" s="114" t="s">
        <v>2701</v>
      </c>
      <c r="Y332" s="114" t="s">
        <v>8851</v>
      </c>
      <c r="Z332" s="114" t="s">
        <v>2701</v>
      </c>
      <c r="AA332" s="114" t="s">
        <v>9296</v>
      </c>
      <c r="AB332" s="114" t="s">
        <v>8888</v>
      </c>
    </row>
    <row r="333" spans="1:28" ht="60" x14ac:dyDescent="0.2">
      <c r="A333" s="133" t="s">
        <v>1711</v>
      </c>
      <c r="B333" s="130">
        <v>37</v>
      </c>
      <c r="C333" s="130" t="s">
        <v>202</v>
      </c>
      <c r="D333" s="130" t="s">
        <v>305</v>
      </c>
      <c r="E333" s="131">
        <v>38522</v>
      </c>
      <c r="F333" s="131">
        <v>38541</v>
      </c>
      <c r="G333" s="132" t="s">
        <v>8796</v>
      </c>
      <c r="H333" s="132" t="s">
        <v>262</v>
      </c>
      <c r="I333" s="132" t="s">
        <v>215</v>
      </c>
      <c r="J333" s="132" t="s">
        <v>1713</v>
      </c>
      <c r="K333" s="440" t="str">
        <f>HYPERLINK("https://okcountyrecords.com/detail/roger+mills/2005-004681","OKCountyRecords: 2005-004681")</f>
        <v>OKCountyRecords: 2005-004681</v>
      </c>
      <c r="L333" s="133" t="s">
        <v>1501</v>
      </c>
      <c r="M333" s="133" t="s">
        <v>1491</v>
      </c>
      <c r="N333" s="133"/>
      <c r="O333" s="133" t="s">
        <v>1702</v>
      </c>
      <c r="P333" s="114" t="s">
        <v>9209</v>
      </c>
      <c r="Q333" s="114" t="s">
        <v>89</v>
      </c>
      <c r="R333" s="114" t="s">
        <v>118</v>
      </c>
      <c r="S333" s="114" t="s">
        <v>89</v>
      </c>
      <c r="T333" s="114" t="s">
        <v>118</v>
      </c>
      <c r="U333" s="114" t="s">
        <v>8862</v>
      </c>
      <c r="V333" s="114" t="s">
        <v>3072</v>
      </c>
      <c r="W333" s="114" t="s">
        <v>8864</v>
      </c>
      <c r="X333" s="114" t="s">
        <v>2701</v>
      </c>
      <c r="Y333" s="114" t="s">
        <v>8851</v>
      </c>
      <c r="Z333" s="114" t="s">
        <v>2701</v>
      </c>
      <c r="AA333" s="114" t="s">
        <v>9297</v>
      </c>
      <c r="AB333" s="114" t="s">
        <v>8888</v>
      </c>
    </row>
    <row r="334" spans="1:28" ht="48" x14ac:dyDescent="0.2">
      <c r="A334" s="133" t="s">
        <v>1714</v>
      </c>
      <c r="B334" s="130"/>
      <c r="C334" s="130" t="s">
        <v>1690</v>
      </c>
      <c r="D334" s="130" t="s">
        <v>1715</v>
      </c>
      <c r="E334" s="131">
        <v>38523</v>
      </c>
      <c r="F334" s="131">
        <v>38579</v>
      </c>
      <c r="G334" s="132" t="s">
        <v>1619</v>
      </c>
      <c r="H334" s="132" t="s">
        <v>1716</v>
      </c>
      <c r="I334" s="132" t="s">
        <v>1693</v>
      </c>
      <c r="J334" s="132" t="s">
        <v>1717</v>
      </c>
      <c r="K334" s="440" t="str">
        <f>HYPERLINK("https://okcountyrecords.com/detail/roger+mills/2005-005406","OKCountyRecords: 2005-005406")</f>
        <v>OKCountyRecords: 2005-005406</v>
      </c>
      <c r="L334" s="133" t="s">
        <v>1501</v>
      </c>
      <c r="M334" s="133" t="s">
        <v>8756</v>
      </c>
      <c r="N334" s="133"/>
      <c r="O334" s="133" t="s">
        <v>422</v>
      </c>
      <c r="P334" s="114" t="s">
        <v>9195</v>
      </c>
      <c r="Q334" s="114" t="s">
        <v>89</v>
      </c>
      <c r="R334" s="114" t="s">
        <v>118</v>
      </c>
      <c r="S334" s="114" t="s">
        <v>2701</v>
      </c>
      <c r="T334" s="114" t="s">
        <v>118</v>
      </c>
      <c r="U334" s="114" t="s">
        <v>9289</v>
      </c>
      <c r="V334" s="114" t="s">
        <v>2701</v>
      </c>
      <c r="W334" s="114" t="s">
        <v>8906</v>
      </c>
      <c r="X334" s="114" t="s">
        <v>2701</v>
      </c>
      <c r="Y334" s="114" t="s">
        <v>8851</v>
      </c>
      <c r="Z334" s="114" t="s">
        <v>2701</v>
      </c>
      <c r="AA334" s="114" t="s">
        <v>9298</v>
      </c>
      <c r="AB334" s="114" t="s">
        <v>8871</v>
      </c>
    </row>
    <row r="335" spans="1:28" ht="36" x14ac:dyDescent="0.2">
      <c r="A335" s="133" t="s">
        <v>1718</v>
      </c>
      <c r="B335" s="130"/>
      <c r="C335" s="130" t="s">
        <v>619</v>
      </c>
      <c r="D335" s="130" t="s">
        <v>1719</v>
      </c>
      <c r="E335" s="131">
        <v>38608</v>
      </c>
      <c r="F335" s="131">
        <v>38658</v>
      </c>
      <c r="G335" s="132" t="s">
        <v>295</v>
      </c>
      <c r="H335" s="132" t="s">
        <v>1720</v>
      </c>
      <c r="I335" s="132" t="s">
        <v>1280</v>
      </c>
      <c r="J335" s="132" t="s">
        <v>63</v>
      </c>
      <c r="K335" s="440" t="str">
        <f>HYPERLINK("https://okcountyrecords.com/detail/roger+mills/2005-007540","OKCountyRecords: 2005-007540")</f>
        <v>OKCountyRecords: 2005-007540</v>
      </c>
      <c r="L335" s="133" t="s">
        <v>412</v>
      </c>
      <c r="M335" s="133" t="s">
        <v>405</v>
      </c>
      <c r="N335" s="133"/>
      <c r="O335" s="133" t="s">
        <v>422</v>
      </c>
      <c r="P335" s="114" t="s">
        <v>8934</v>
      </c>
      <c r="Q335" s="114" t="s">
        <v>118</v>
      </c>
      <c r="R335" s="114" t="s">
        <v>89</v>
      </c>
      <c r="S335" s="114" t="s">
        <v>118</v>
      </c>
      <c r="T335" s="114" t="s">
        <v>89</v>
      </c>
      <c r="U335" s="114" t="s">
        <v>8862</v>
      </c>
      <c r="V335" s="114" t="s">
        <v>3072</v>
      </c>
      <c r="W335" s="114" t="s">
        <v>8864</v>
      </c>
      <c r="X335" s="114" t="s">
        <v>8865</v>
      </c>
      <c r="Y335" s="114" t="s">
        <v>8857</v>
      </c>
      <c r="Z335" s="114" t="s">
        <v>8858</v>
      </c>
      <c r="AA335" s="114" t="s">
        <v>9299</v>
      </c>
      <c r="AB335" s="114" t="s">
        <v>8867</v>
      </c>
    </row>
    <row r="336" spans="1:28" ht="96" x14ac:dyDescent="0.2">
      <c r="A336" s="133" t="s">
        <v>1721</v>
      </c>
      <c r="B336" s="130">
        <v>39</v>
      </c>
      <c r="C336" s="130" t="s">
        <v>202</v>
      </c>
      <c r="D336" s="130" t="s">
        <v>311</v>
      </c>
      <c r="E336" s="131">
        <v>38621</v>
      </c>
      <c r="F336" s="131">
        <v>38709</v>
      </c>
      <c r="G336" s="132" t="s">
        <v>8797</v>
      </c>
      <c r="H336" s="132" t="s">
        <v>1723</v>
      </c>
      <c r="I336" s="132" t="s">
        <v>215</v>
      </c>
      <c r="J336" s="132" t="s">
        <v>9582</v>
      </c>
      <c r="K336" s="440" t="str">
        <f>HYPERLINK("https://okcountyrecords.com/detail/roger+mills/2005-008722","OKCountyRecords: 2005-008722")</f>
        <v>OKCountyRecords: 2005-008722</v>
      </c>
      <c r="L336" s="133" t="s">
        <v>1501</v>
      </c>
      <c r="M336" s="133" t="s">
        <v>1491</v>
      </c>
      <c r="N336" s="133"/>
      <c r="O336" s="133" t="s">
        <v>1492</v>
      </c>
      <c r="P336" s="114" t="s">
        <v>9209</v>
      </c>
      <c r="Q336" s="114" t="s">
        <v>89</v>
      </c>
      <c r="R336" s="114" t="s">
        <v>118</v>
      </c>
      <c r="S336" s="114" t="s">
        <v>89</v>
      </c>
      <c r="T336" s="114" t="s">
        <v>118</v>
      </c>
      <c r="U336" s="114" t="s">
        <v>8862</v>
      </c>
      <c r="V336" s="114" t="s">
        <v>3072</v>
      </c>
      <c r="W336" s="114" t="s">
        <v>9657</v>
      </c>
      <c r="X336" s="114" t="s">
        <v>2701</v>
      </c>
      <c r="Y336" s="114" t="s">
        <v>8851</v>
      </c>
      <c r="Z336" s="114" t="s">
        <v>2701</v>
      </c>
      <c r="AA336" s="114" t="s">
        <v>9300</v>
      </c>
      <c r="AB336" s="114" t="s">
        <v>8888</v>
      </c>
    </row>
    <row r="337" spans="1:28" ht="60" x14ac:dyDescent="0.2">
      <c r="A337" s="133" t="s">
        <v>1724</v>
      </c>
      <c r="B337" s="130">
        <v>49</v>
      </c>
      <c r="C337" s="130" t="s">
        <v>202</v>
      </c>
      <c r="D337" s="130" t="s">
        <v>341</v>
      </c>
      <c r="E337" s="131">
        <v>38621</v>
      </c>
      <c r="F337" s="131">
        <v>38709</v>
      </c>
      <c r="G337" s="132" t="s">
        <v>8798</v>
      </c>
      <c r="H337" s="132" t="s">
        <v>1723</v>
      </c>
      <c r="I337" s="132" t="s">
        <v>222</v>
      </c>
      <c r="J337" s="132" t="s">
        <v>223</v>
      </c>
      <c r="K337" s="440" t="str">
        <f>HYPERLINK("https://okcountyrecords.com/detail/roger+mills/2005-008721","OKCountyRecords: 2005-008721")</f>
        <v>OKCountyRecords: 2005-008721</v>
      </c>
      <c r="L337" s="133" t="s">
        <v>1501</v>
      </c>
      <c r="M337" s="133" t="s">
        <v>1491</v>
      </c>
      <c r="N337" s="133"/>
      <c r="O337" s="133" t="s">
        <v>1492</v>
      </c>
      <c r="P337" s="114" t="s">
        <v>9209</v>
      </c>
      <c r="Q337" s="114" t="s">
        <v>89</v>
      </c>
      <c r="R337" s="114" t="s">
        <v>118</v>
      </c>
      <c r="S337" s="114" t="s">
        <v>89</v>
      </c>
      <c r="T337" s="114" t="s">
        <v>118</v>
      </c>
      <c r="U337" s="114" t="s">
        <v>8935</v>
      </c>
      <c r="V337" s="114" t="s">
        <v>2701</v>
      </c>
      <c r="W337" s="114" t="s">
        <v>9648</v>
      </c>
      <c r="X337" s="114" t="s">
        <v>2701</v>
      </c>
      <c r="Y337" s="114" t="s">
        <v>8851</v>
      </c>
      <c r="Z337" s="114" t="s">
        <v>2701</v>
      </c>
      <c r="AA337" s="114" t="s">
        <v>9301</v>
      </c>
      <c r="AB337" s="114" t="s">
        <v>9139</v>
      </c>
    </row>
    <row r="338" spans="1:28" ht="48" x14ac:dyDescent="0.2">
      <c r="A338" s="133" t="s">
        <v>1727</v>
      </c>
      <c r="B338" s="130"/>
      <c r="C338" s="130" t="s">
        <v>619</v>
      </c>
      <c r="D338" s="130" t="s">
        <v>1728</v>
      </c>
      <c r="E338" s="131">
        <v>38624</v>
      </c>
      <c r="F338" s="131">
        <v>38642</v>
      </c>
      <c r="G338" s="132" t="s">
        <v>293</v>
      </c>
      <c r="H338" s="132" t="s">
        <v>1729</v>
      </c>
      <c r="I338" s="132" t="s">
        <v>215</v>
      </c>
      <c r="J338" s="132" t="s">
        <v>1730</v>
      </c>
      <c r="K338" s="440" t="str">
        <f>HYPERLINK("https://okcountyrecords.com/detail/roger+mills/2005-007117","OKCountyRecords: 2005-007117")</f>
        <v>OKCountyRecords: 2005-007117</v>
      </c>
      <c r="L338" s="133" t="s">
        <v>412</v>
      </c>
      <c r="M338" s="133" t="s">
        <v>641</v>
      </c>
      <c r="N338" s="133" t="s">
        <v>8719</v>
      </c>
      <c r="O338" s="133" t="s">
        <v>428</v>
      </c>
      <c r="P338" s="114" t="s">
        <v>8934</v>
      </c>
      <c r="Q338" s="114" t="s">
        <v>118</v>
      </c>
      <c r="R338" s="114" t="s">
        <v>89</v>
      </c>
      <c r="S338" s="114" t="s">
        <v>118</v>
      </c>
      <c r="T338" s="114" t="s">
        <v>89</v>
      </c>
      <c r="U338" s="114" t="s">
        <v>8862</v>
      </c>
      <c r="V338" s="114" t="s">
        <v>3072</v>
      </c>
      <c r="W338" s="114" t="s">
        <v>8864</v>
      </c>
      <c r="X338" s="114" t="s">
        <v>8865</v>
      </c>
      <c r="Y338" s="114" t="s">
        <v>9302</v>
      </c>
      <c r="Z338" s="114" t="s">
        <v>8858</v>
      </c>
      <c r="AA338" s="114" t="s">
        <v>9303</v>
      </c>
      <c r="AB338" s="114" t="s">
        <v>8867</v>
      </c>
    </row>
    <row r="339" spans="1:28" ht="36" x14ac:dyDescent="0.2">
      <c r="A339" s="133" t="s">
        <v>1732</v>
      </c>
      <c r="B339" s="130"/>
      <c r="C339" s="130" t="s">
        <v>619</v>
      </c>
      <c r="D339" s="130" t="s">
        <v>1733</v>
      </c>
      <c r="E339" s="131">
        <v>38625</v>
      </c>
      <c r="F339" s="131">
        <v>38642</v>
      </c>
      <c r="G339" s="132" t="s">
        <v>306</v>
      </c>
      <c r="H339" s="132" t="s">
        <v>1729</v>
      </c>
      <c r="I339" s="132" t="s">
        <v>215</v>
      </c>
      <c r="J339" s="132" t="s">
        <v>1730</v>
      </c>
      <c r="K339" s="440" t="str">
        <f>HYPERLINK("https://okcountyrecords.com/detail/roger+mills/2005-007116","OKCountyRecords: 2005-007116")</f>
        <v>OKCountyRecords: 2005-007116</v>
      </c>
      <c r="L339" s="133" t="s">
        <v>412</v>
      </c>
      <c r="M339" s="133" t="s">
        <v>641</v>
      </c>
      <c r="N339" s="133" t="s">
        <v>8719</v>
      </c>
      <c r="O339" s="133" t="s">
        <v>428</v>
      </c>
      <c r="P339" s="114" t="s">
        <v>8934</v>
      </c>
      <c r="Q339" s="114" t="s">
        <v>118</v>
      </c>
      <c r="R339" s="114" t="s">
        <v>89</v>
      </c>
      <c r="S339" s="114" t="s">
        <v>118</v>
      </c>
      <c r="T339" s="114" t="s">
        <v>89</v>
      </c>
      <c r="U339" s="114" t="s">
        <v>8862</v>
      </c>
      <c r="V339" s="114" t="s">
        <v>3072</v>
      </c>
      <c r="W339" s="114" t="s">
        <v>8864</v>
      </c>
      <c r="X339" s="114" t="s">
        <v>8865</v>
      </c>
      <c r="Y339" s="114" t="s">
        <v>9302</v>
      </c>
      <c r="Z339" s="114" t="s">
        <v>8858</v>
      </c>
      <c r="AA339" s="114" t="s">
        <v>9304</v>
      </c>
      <c r="AB339" s="114" t="s">
        <v>8867</v>
      </c>
    </row>
    <row r="340" spans="1:28" ht="36" x14ac:dyDescent="0.2">
      <c r="A340" s="133" t="s">
        <v>1734</v>
      </c>
      <c r="B340" s="130"/>
      <c r="C340" s="130" t="s">
        <v>619</v>
      </c>
      <c r="D340" s="130" t="s">
        <v>1735</v>
      </c>
      <c r="E340" s="131">
        <v>38626</v>
      </c>
      <c r="F340" s="131">
        <v>38642</v>
      </c>
      <c r="G340" s="132" t="s">
        <v>1736</v>
      </c>
      <c r="H340" s="132" t="s">
        <v>1729</v>
      </c>
      <c r="I340" s="132" t="s">
        <v>215</v>
      </c>
      <c r="J340" s="132" t="s">
        <v>1730</v>
      </c>
      <c r="K340" s="440" t="str">
        <f>HYPERLINK("https://okcountyrecords.com/detail/roger+mills/2005-007119","OKCountyRecords: 2005-007119")</f>
        <v>OKCountyRecords: 2005-007119</v>
      </c>
      <c r="L340" s="133" t="s">
        <v>412</v>
      </c>
      <c r="M340" s="133" t="s">
        <v>641</v>
      </c>
      <c r="N340" s="133" t="s">
        <v>8719</v>
      </c>
      <c r="O340" s="133" t="s">
        <v>428</v>
      </c>
      <c r="P340" s="114" t="s">
        <v>8934</v>
      </c>
      <c r="Q340" s="114" t="s">
        <v>118</v>
      </c>
      <c r="R340" s="114" t="s">
        <v>89</v>
      </c>
      <c r="S340" s="114" t="s">
        <v>118</v>
      </c>
      <c r="T340" s="114" t="s">
        <v>89</v>
      </c>
      <c r="U340" s="114" t="s">
        <v>8862</v>
      </c>
      <c r="V340" s="114" t="s">
        <v>3072</v>
      </c>
      <c r="W340" s="114" t="s">
        <v>8864</v>
      </c>
      <c r="X340" s="114" t="s">
        <v>8865</v>
      </c>
      <c r="Y340" s="114" t="s">
        <v>9302</v>
      </c>
      <c r="Z340" s="114" t="s">
        <v>8858</v>
      </c>
      <c r="AA340" s="114" t="s">
        <v>9305</v>
      </c>
      <c r="AB340" s="114" t="s">
        <v>8867</v>
      </c>
    </row>
    <row r="341" spans="1:28" ht="36" x14ac:dyDescent="0.2">
      <c r="A341" s="133" t="s">
        <v>1737</v>
      </c>
      <c r="B341" s="130"/>
      <c r="C341" s="130" t="s">
        <v>619</v>
      </c>
      <c r="D341" s="130" t="s">
        <v>1738</v>
      </c>
      <c r="E341" s="131">
        <v>38626</v>
      </c>
      <c r="F341" s="131">
        <v>38642</v>
      </c>
      <c r="G341" s="132" t="s">
        <v>1736</v>
      </c>
      <c r="H341" s="132" t="s">
        <v>1729</v>
      </c>
      <c r="I341" s="132" t="s">
        <v>215</v>
      </c>
      <c r="J341" s="132" t="s">
        <v>1730</v>
      </c>
      <c r="K341" s="440" t="str">
        <f>HYPERLINK("https://okcountyrecords.com/detail/roger+mills/2005-007120","OKCountyRecords: 2005-007120")</f>
        <v>OKCountyRecords: 2005-007120</v>
      </c>
      <c r="L341" s="133" t="s">
        <v>412</v>
      </c>
      <c r="M341" s="133" t="s">
        <v>641</v>
      </c>
      <c r="N341" s="133" t="s">
        <v>8719</v>
      </c>
      <c r="O341" s="133" t="s">
        <v>428</v>
      </c>
      <c r="P341" s="114" t="s">
        <v>8934</v>
      </c>
      <c r="Q341" s="114" t="s">
        <v>118</v>
      </c>
      <c r="R341" s="114" t="s">
        <v>89</v>
      </c>
      <c r="S341" s="114" t="s">
        <v>118</v>
      </c>
      <c r="T341" s="114" t="s">
        <v>89</v>
      </c>
      <c r="U341" s="114" t="s">
        <v>8862</v>
      </c>
      <c r="V341" s="114" t="s">
        <v>3072</v>
      </c>
      <c r="W341" s="114" t="s">
        <v>8864</v>
      </c>
      <c r="X341" s="114" t="s">
        <v>8865</v>
      </c>
      <c r="Y341" s="114" t="s">
        <v>9302</v>
      </c>
      <c r="Z341" s="114" t="s">
        <v>8858</v>
      </c>
      <c r="AA341" s="114" t="s">
        <v>9306</v>
      </c>
      <c r="AB341" s="114" t="s">
        <v>8867</v>
      </c>
    </row>
    <row r="342" spans="1:28" ht="72" x14ac:dyDescent="0.2">
      <c r="A342" s="133" t="s">
        <v>1739</v>
      </c>
      <c r="B342" s="130"/>
      <c r="C342" s="130" t="s">
        <v>1740</v>
      </c>
      <c r="D342" s="130" t="s">
        <v>1741</v>
      </c>
      <c r="E342" s="131">
        <v>38629</v>
      </c>
      <c r="F342" s="131">
        <v>38632</v>
      </c>
      <c r="G342" s="132" t="s">
        <v>8799</v>
      </c>
      <c r="H342" s="132" t="s">
        <v>1743</v>
      </c>
      <c r="I342" s="132" t="s">
        <v>1256</v>
      </c>
      <c r="J342" s="132" t="s">
        <v>1744</v>
      </c>
      <c r="K342" s="440" t="str">
        <f>HYPERLINK("https://okcountyrecords.com/detail/roger+mills/2005-006992","OKCountyRecords: 2005-006992")</f>
        <v>OKCountyRecords: 2005-006992</v>
      </c>
      <c r="L342" s="133" t="s">
        <v>1501</v>
      </c>
      <c r="M342" s="133" t="s">
        <v>8756</v>
      </c>
      <c r="N342" s="133"/>
      <c r="O342" s="133" t="s">
        <v>422</v>
      </c>
      <c r="P342" s="114" t="s">
        <v>8934</v>
      </c>
      <c r="Q342" s="114" t="s">
        <v>118</v>
      </c>
      <c r="R342" s="114" t="s">
        <v>89</v>
      </c>
      <c r="S342" s="114" t="s">
        <v>118</v>
      </c>
      <c r="T342" s="114" t="s">
        <v>89</v>
      </c>
      <c r="U342" s="114" t="s">
        <v>8935</v>
      </c>
      <c r="V342" s="114" t="s">
        <v>2701</v>
      </c>
      <c r="W342" s="114" t="s">
        <v>9658</v>
      </c>
      <c r="X342" s="114" t="s">
        <v>2701</v>
      </c>
      <c r="Y342" s="114" t="s">
        <v>8851</v>
      </c>
      <c r="Z342" s="114" t="s">
        <v>2701</v>
      </c>
      <c r="AA342" s="114" t="s">
        <v>9307</v>
      </c>
      <c r="AB342" s="114" t="s">
        <v>9139</v>
      </c>
    </row>
    <row r="343" spans="1:28" ht="84" x14ac:dyDescent="0.2">
      <c r="A343" s="133" t="s">
        <v>1745</v>
      </c>
      <c r="B343" s="130">
        <v>40</v>
      </c>
      <c r="C343" s="130" t="s">
        <v>202</v>
      </c>
      <c r="D343" s="130" t="s">
        <v>314</v>
      </c>
      <c r="E343" s="131">
        <v>38632</v>
      </c>
      <c r="F343" s="131">
        <v>38644</v>
      </c>
      <c r="G343" s="132" t="s">
        <v>8800</v>
      </c>
      <c r="H343" s="132" t="s">
        <v>1747</v>
      </c>
      <c r="I343" s="132" t="s">
        <v>222</v>
      </c>
      <c r="J343" s="132" t="s">
        <v>9583</v>
      </c>
      <c r="K343" s="440" t="str">
        <f>HYPERLINK("https://okcountyrecords.com/detail/roger+mills/2005-007202","OKCountyRecords: 2005-007202")</f>
        <v>OKCountyRecords: 2005-007202</v>
      </c>
      <c r="L343" s="133" t="s">
        <v>1501</v>
      </c>
      <c r="M343" s="133" t="s">
        <v>1491</v>
      </c>
      <c r="N343" s="133"/>
      <c r="O343" s="133" t="s">
        <v>1620</v>
      </c>
      <c r="P343" s="114" t="s">
        <v>9209</v>
      </c>
      <c r="Q343" s="114" t="s">
        <v>89</v>
      </c>
      <c r="R343" s="114" t="s">
        <v>118</v>
      </c>
      <c r="S343" s="114" t="s">
        <v>89</v>
      </c>
      <c r="T343" s="114" t="s">
        <v>118</v>
      </c>
      <c r="U343" s="114" t="s">
        <v>8935</v>
      </c>
      <c r="V343" s="114" t="s">
        <v>2701</v>
      </c>
      <c r="W343" s="114" t="s">
        <v>9659</v>
      </c>
      <c r="X343" s="114" t="s">
        <v>8856</v>
      </c>
      <c r="Y343" s="114" t="s">
        <v>8851</v>
      </c>
      <c r="Z343" s="114" t="s">
        <v>2701</v>
      </c>
      <c r="AA343" s="114" t="s">
        <v>9308</v>
      </c>
      <c r="AB343" s="114" t="s">
        <v>9139</v>
      </c>
    </row>
    <row r="344" spans="1:28" ht="96" x14ac:dyDescent="0.2">
      <c r="A344" s="133" t="s">
        <v>1748</v>
      </c>
      <c r="B344" s="130">
        <v>46</v>
      </c>
      <c r="C344" s="130" t="s">
        <v>202</v>
      </c>
      <c r="D344" s="130" t="s">
        <v>334</v>
      </c>
      <c r="E344" s="131">
        <v>38636</v>
      </c>
      <c r="F344" s="131">
        <v>38701</v>
      </c>
      <c r="G344" s="132" t="s">
        <v>1749</v>
      </c>
      <c r="H344" s="132" t="s">
        <v>1750</v>
      </c>
      <c r="I344" s="132" t="s">
        <v>1751</v>
      </c>
      <c r="J344" s="132" t="s">
        <v>9584</v>
      </c>
      <c r="K344" s="440" t="str">
        <f>HYPERLINK("https://okcountyrecords.com/detail/roger+mills/2005-008517","OKCountyRecords: 2005-008517")</f>
        <v>OKCountyRecords: 2005-008517</v>
      </c>
      <c r="L344" s="133" t="s">
        <v>1490</v>
      </c>
      <c r="M344" s="133" t="s">
        <v>1491</v>
      </c>
      <c r="N344" s="133"/>
      <c r="O344" s="133" t="s">
        <v>1492</v>
      </c>
      <c r="P344" s="114" t="s">
        <v>9209</v>
      </c>
      <c r="Q344" s="114" t="s">
        <v>89</v>
      </c>
      <c r="R344" s="114" t="s">
        <v>118</v>
      </c>
      <c r="S344" s="114" t="s">
        <v>89</v>
      </c>
      <c r="T344" s="114" t="s">
        <v>118</v>
      </c>
      <c r="U344" s="114" t="s">
        <v>9309</v>
      </c>
      <c r="V344" s="114" t="s">
        <v>2701</v>
      </c>
      <c r="W344" s="114" t="s">
        <v>8906</v>
      </c>
      <c r="X344" s="114" t="s">
        <v>2701</v>
      </c>
      <c r="Y344" s="114" t="s">
        <v>8851</v>
      </c>
      <c r="Z344" s="114" t="s">
        <v>2701</v>
      </c>
      <c r="AA344" s="114" t="s">
        <v>9310</v>
      </c>
      <c r="AB344" s="114" t="s">
        <v>8871</v>
      </c>
    </row>
    <row r="345" spans="1:28" ht="96" x14ac:dyDescent="0.2">
      <c r="A345" s="133" t="s">
        <v>1752</v>
      </c>
      <c r="B345" s="130">
        <v>47</v>
      </c>
      <c r="C345" s="130" t="s">
        <v>202</v>
      </c>
      <c r="D345" s="130" t="s">
        <v>336</v>
      </c>
      <c r="E345" s="131">
        <v>38636</v>
      </c>
      <c r="F345" s="131">
        <v>38701</v>
      </c>
      <c r="G345" s="132" t="s">
        <v>8801</v>
      </c>
      <c r="H345" s="132" t="s">
        <v>1750</v>
      </c>
      <c r="I345" s="132" t="s">
        <v>263</v>
      </c>
      <c r="J345" s="132" t="s">
        <v>9585</v>
      </c>
      <c r="K345" s="440" t="str">
        <f>HYPERLINK("https://okcountyrecords.com/detail/roger+mills/2005-008515","OKCountyRecords: 2005-008515")</f>
        <v>OKCountyRecords: 2005-008515</v>
      </c>
      <c r="L345" s="133" t="s">
        <v>1501</v>
      </c>
      <c r="M345" s="133" t="s">
        <v>1491</v>
      </c>
      <c r="N345" s="133"/>
      <c r="O345" s="133" t="s">
        <v>413</v>
      </c>
      <c r="P345" s="114" t="s">
        <v>9209</v>
      </c>
      <c r="Q345" s="114" t="s">
        <v>89</v>
      </c>
      <c r="R345" s="114" t="s">
        <v>118</v>
      </c>
      <c r="S345" s="114" t="s">
        <v>89</v>
      </c>
      <c r="T345" s="114" t="s">
        <v>118</v>
      </c>
      <c r="U345" s="114" t="s">
        <v>8901</v>
      </c>
      <c r="V345" s="114" t="s">
        <v>3072</v>
      </c>
      <c r="W345" s="114" t="s">
        <v>8855</v>
      </c>
      <c r="X345" s="114" t="s">
        <v>2701</v>
      </c>
      <c r="Y345" s="114" t="s">
        <v>8851</v>
      </c>
      <c r="Z345" s="114" t="s">
        <v>2701</v>
      </c>
      <c r="AA345" s="114" t="s">
        <v>9311</v>
      </c>
      <c r="AB345" s="114" t="s">
        <v>9274</v>
      </c>
    </row>
    <row r="346" spans="1:28" ht="60" x14ac:dyDescent="0.2">
      <c r="A346" s="133" t="s">
        <v>1754</v>
      </c>
      <c r="B346" s="130">
        <v>32</v>
      </c>
      <c r="C346" s="130" t="s">
        <v>202</v>
      </c>
      <c r="D346" s="130" t="s">
        <v>1755</v>
      </c>
      <c r="E346" s="131">
        <v>38637</v>
      </c>
      <c r="F346" s="131">
        <v>38701</v>
      </c>
      <c r="G346" s="132" t="s">
        <v>1756</v>
      </c>
      <c r="H346" s="132" t="s">
        <v>1750</v>
      </c>
      <c r="I346" s="132" t="s">
        <v>238</v>
      </c>
      <c r="J346" s="132" t="s">
        <v>216</v>
      </c>
      <c r="K346" s="440" t="str">
        <f>HYPERLINK("https://okcountyrecords.com/detail/roger+mills/2005-008528","OKCountyRecords: 2005-008528")</f>
        <v>OKCountyRecords: 2005-008528</v>
      </c>
      <c r="L346" s="133" t="s">
        <v>1490</v>
      </c>
      <c r="M346" s="133" t="s">
        <v>1491</v>
      </c>
      <c r="N346" s="133"/>
      <c r="O346" s="133" t="s">
        <v>1492</v>
      </c>
      <c r="P346" s="114" t="s">
        <v>9209</v>
      </c>
      <c r="Q346" s="114" t="s">
        <v>89</v>
      </c>
      <c r="R346" s="114" t="s">
        <v>118</v>
      </c>
      <c r="S346" s="114" t="s">
        <v>89</v>
      </c>
      <c r="T346" s="114" t="s">
        <v>118</v>
      </c>
      <c r="U346" s="114" t="s">
        <v>8896</v>
      </c>
      <c r="V346" s="114" t="s">
        <v>3386</v>
      </c>
      <c r="W346" s="114" t="s">
        <v>9660</v>
      </c>
      <c r="X346" s="114" t="s">
        <v>2701</v>
      </c>
      <c r="Y346" s="114" t="s">
        <v>8851</v>
      </c>
      <c r="Z346" s="114" t="s">
        <v>2701</v>
      </c>
      <c r="AA346" s="114" t="s">
        <v>9312</v>
      </c>
      <c r="AB346" s="114" t="s">
        <v>8888</v>
      </c>
    </row>
    <row r="347" spans="1:28" ht="36" x14ac:dyDescent="0.2">
      <c r="A347" s="133" t="s">
        <v>1757</v>
      </c>
      <c r="B347" s="130"/>
      <c r="C347" s="130" t="s">
        <v>619</v>
      </c>
      <c r="D347" s="130" t="s">
        <v>1758</v>
      </c>
      <c r="E347" s="131">
        <v>38650</v>
      </c>
      <c r="F347" s="131">
        <v>38658</v>
      </c>
      <c r="G347" s="132" t="s">
        <v>1260</v>
      </c>
      <c r="H347" s="132" t="s">
        <v>1615</v>
      </c>
      <c r="I347" s="132" t="s">
        <v>1256</v>
      </c>
      <c r="J347" s="132" t="s">
        <v>63</v>
      </c>
      <c r="K347" s="440" t="str">
        <f>HYPERLINK("https://okcountyrecords.com/detail/roger+mills/2005-007551","OKCountyRecords: 2005-007551")</f>
        <v>OKCountyRecords: 2005-007551</v>
      </c>
      <c r="L347" s="133" t="s">
        <v>412</v>
      </c>
      <c r="M347" s="133" t="s">
        <v>405</v>
      </c>
      <c r="N347" s="133"/>
      <c r="O347" s="133" t="s">
        <v>422</v>
      </c>
      <c r="P347" s="114" t="s">
        <v>8934</v>
      </c>
      <c r="Q347" s="114" t="s">
        <v>118</v>
      </c>
      <c r="R347" s="114" t="s">
        <v>89</v>
      </c>
      <c r="S347" s="114" t="s">
        <v>118</v>
      </c>
      <c r="T347" s="114" t="s">
        <v>89</v>
      </c>
      <c r="U347" s="114" t="s">
        <v>8935</v>
      </c>
      <c r="V347" s="114" t="s">
        <v>2701</v>
      </c>
      <c r="W347" s="114" t="s">
        <v>8864</v>
      </c>
      <c r="X347" s="114" t="s">
        <v>8869</v>
      </c>
      <c r="Y347" s="114" t="s">
        <v>8857</v>
      </c>
      <c r="Z347" s="114" t="s">
        <v>8858</v>
      </c>
      <c r="AA347" s="114" t="s">
        <v>9313</v>
      </c>
      <c r="AB347" s="114" t="s">
        <v>8877</v>
      </c>
    </row>
    <row r="348" spans="1:28" ht="60" x14ac:dyDescent="0.2">
      <c r="A348" s="133" t="s">
        <v>1759</v>
      </c>
      <c r="B348" s="130"/>
      <c r="C348" s="130" t="s">
        <v>1760</v>
      </c>
      <c r="D348" s="130" t="s">
        <v>1761</v>
      </c>
      <c r="E348" s="131">
        <v>38651</v>
      </c>
      <c r="F348" s="131">
        <v>38749</v>
      </c>
      <c r="G348" s="132" t="s">
        <v>1750</v>
      </c>
      <c r="H348" s="132" t="s">
        <v>8815</v>
      </c>
      <c r="I348" s="132" t="s">
        <v>1763</v>
      </c>
      <c r="J348" s="132" t="s">
        <v>1764</v>
      </c>
      <c r="K348" s="440" t="str">
        <f>HYPERLINK("https://okcountyrecords.com/detail/roger+mills/2006-000767","OKCountyRecords: 2006-000767")</f>
        <v>OKCountyRecords: 2006-000767</v>
      </c>
      <c r="L348" s="133" t="s">
        <v>1501</v>
      </c>
      <c r="M348" s="133" t="s">
        <v>8756</v>
      </c>
      <c r="N348" s="133"/>
      <c r="O348" s="133" t="s">
        <v>1492</v>
      </c>
      <c r="P348" s="114" t="s">
        <v>9209</v>
      </c>
      <c r="Q348" s="114" t="s">
        <v>89</v>
      </c>
      <c r="R348" s="114" t="s">
        <v>118</v>
      </c>
      <c r="S348" s="114" t="s">
        <v>89</v>
      </c>
      <c r="T348" s="114" t="s">
        <v>118</v>
      </c>
      <c r="U348" s="114" t="s">
        <v>8901</v>
      </c>
      <c r="V348" s="114" t="s">
        <v>3072</v>
      </c>
      <c r="W348" s="114" t="s">
        <v>8906</v>
      </c>
      <c r="X348" s="114" t="s">
        <v>2701</v>
      </c>
      <c r="Y348" s="114" t="s">
        <v>8851</v>
      </c>
      <c r="Z348" s="114" t="s">
        <v>2701</v>
      </c>
      <c r="AA348" s="114" t="s">
        <v>9314</v>
      </c>
      <c r="AB348" s="114" t="s">
        <v>8853</v>
      </c>
    </row>
    <row r="349" spans="1:28" ht="84" x14ac:dyDescent="0.2">
      <c r="A349" s="133" t="s">
        <v>1765</v>
      </c>
      <c r="B349" s="130">
        <v>41</v>
      </c>
      <c r="C349" s="130" t="s">
        <v>202</v>
      </c>
      <c r="D349" s="130" t="s">
        <v>318</v>
      </c>
      <c r="E349" s="131">
        <v>38653</v>
      </c>
      <c r="F349" s="131">
        <v>38701</v>
      </c>
      <c r="G349" s="132" t="s">
        <v>8802</v>
      </c>
      <c r="H349" s="132" t="s">
        <v>1750</v>
      </c>
      <c r="I349" s="132" t="s">
        <v>321</v>
      </c>
      <c r="J349" s="132" t="s">
        <v>8699</v>
      </c>
      <c r="K349" s="440" t="str">
        <f>HYPERLINK("https://okcountyrecords.com/detail/roger+mills/2005-008530","OKCountyRecords: 2005-008530")</f>
        <v>OKCountyRecords: 2005-008530</v>
      </c>
      <c r="L349" s="133" t="s">
        <v>1501</v>
      </c>
      <c r="M349" s="133" t="s">
        <v>1491</v>
      </c>
      <c r="N349" s="133"/>
      <c r="O349" s="133" t="s">
        <v>422</v>
      </c>
      <c r="P349" s="114" t="s">
        <v>9209</v>
      </c>
      <c r="Q349" s="114" t="s">
        <v>89</v>
      </c>
      <c r="R349" s="114" t="s">
        <v>118</v>
      </c>
      <c r="S349" s="114" t="s">
        <v>89</v>
      </c>
      <c r="T349" s="114" t="s">
        <v>118</v>
      </c>
      <c r="U349" s="114" t="s">
        <v>8862</v>
      </c>
      <c r="V349" s="114" t="s">
        <v>3072</v>
      </c>
      <c r="W349" s="114" t="s">
        <v>8864</v>
      </c>
      <c r="X349" s="114" t="s">
        <v>2701</v>
      </c>
      <c r="Y349" s="114" t="s">
        <v>8851</v>
      </c>
      <c r="Z349" s="114" t="s">
        <v>2701</v>
      </c>
      <c r="AA349" s="114" t="s">
        <v>9315</v>
      </c>
      <c r="AB349" s="114" t="s">
        <v>8888</v>
      </c>
    </row>
    <row r="350" spans="1:28" ht="48" x14ac:dyDescent="0.2">
      <c r="A350" s="133" t="s">
        <v>1767</v>
      </c>
      <c r="B350" s="130"/>
      <c r="C350" s="130" t="s">
        <v>619</v>
      </c>
      <c r="D350" s="130" t="s">
        <v>1768</v>
      </c>
      <c r="E350" s="131">
        <v>38655</v>
      </c>
      <c r="F350" s="131">
        <v>38658</v>
      </c>
      <c r="G350" s="132" t="s">
        <v>1720</v>
      </c>
      <c r="H350" s="132" t="s">
        <v>1769</v>
      </c>
      <c r="I350" s="132" t="s">
        <v>1280</v>
      </c>
      <c r="J350" s="132" t="s">
        <v>1770</v>
      </c>
      <c r="K350" s="440" t="str">
        <f>HYPERLINK("https://okcountyrecords.com/detail/roger+mills/2005-007541","OKCountyRecords: 2005-007541")</f>
        <v>OKCountyRecords: 2005-007541</v>
      </c>
      <c r="L350" s="133" t="s">
        <v>412</v>
      </c>
      <c r="M350" s="133" t="s">
        <v>405</v>
      </c>
      <c r="N350" s="133"/>
      <c r="O350" s="133" t="s">
        <v>422</v>
      </c>
      <c r="P350" s="114" t="s">
        <v>8934</v>
      </c>
      <c r="Q350" s="114" t="s">
        <v>118</v>
      </c>
      <c r="R350" s="114" t="s">
        <v>89</v>
      </c>
      <c r="S350" s="114" t="s">
        <v>118</v>
      </c>
      <c r="T350" s="114" t="s">
        <v>89</v>
      </c>
      <c r="U350" s="114" t="s">
        <v>8862</v>
      </c>
      <c r="V350" s="114" t="s">
        <v>3072</v>
      </c>
      <c r="W350" s="114" t="s">
        <v>8906</v>
      </c>
      <c r="X350" s="114" t="s">
        <v>8865</v>
      </c>
      <c r="Y350" s="114" t="s">
        <v>9316</v>
      </c>
      <c r="Z350" s="114" t="s">
        <v>8858</v>
      </c>
      <c r="AA350" s="114" t="s">
        <v>9317</v>
      </c>
    </row>
    <row r="351" spans="1:28" ht="72" x14ac:dyDescent="0.2">
      <c r="A351" s="133" t="s">
        <v>1771</v>
      </c>
      <c r="B351" s="130"/>
      <c r="C351" s="130" t="s">
        <v>1772</v>
      </c>
      <c r="D351" s="130" t="s">
        <v>1773</v>
      </c>
      <c r="E351" s="131">
        <v>38657</v>
      </c>
      <c r="F351" s="131">
        <v>38692</v>
      </c>
      <c r="G351" s="132" t="s">
        <v>1774</v>
      </c>
      <c r="H351" s="132" t="s">
        <v>1775</v>
      </c>
      <c r="I351" s="132" t="s">
        <v>1256</v>
      </c>
      <c r="J351" s="132" t="s">
        <v>63</v>
      </c>
      <c r="K351" s="440" t="str">
        <f>HYPERLINK("https://okcountyrecords.com/detail/roger+mills/2005-008247","OKCountyRecords: 2005-008247")</f>
        <v>OKCountyRecords: 2005-008247</v>
      </c>
      <c r="L351" s="133" t="s">
        <v>1501</v>
      </c>
      <c r="M351" s="133" t="s">
        <v>8756</v>
      </c>
      <c r="N351" s="133"/>
      <c r="O351" s="133" t="s">
        <v>422</v>
      </c>
      <c r="P351" s="114" t="s">
        <v>9195</v>
      </c>
      <c r="Q351" s="114" t="s">
        <v>89</v>
      </c>
      <c r="R351" s="114" t="s">
        <v>118</v>
      </c>
      <c r="S351" s="114" t="s">
        <v>2701</v>
      </c>
      <c r="T351" s="114" t="s">
        <v>118</v>
      </c>
      <c r="U351" s="114" t="s">
        <v>8935</v>
      </c>
      <c r="V351" s="114" t="s">
        <v>2701</v>
      </c>
      <c r="W351" s="114" t="s">
        <v>8864</v>
      </c>
      <c r="X351" s="114" t="s">
        <v>2701</v>
      </c>
      <c r="Y351" s="114" t="s">
        <v>8851</v>
      </c>
      <c r="Z351" s="114" t="s">
        <v>2701</v>
      </c>
      <c r="AA351" s="114" t="s">
        <v>9318</v>
      </c>
      <c r="AB351" s="114" t="s">
        <v>9139</v>
      </c>
    </row>
    <row r="352" spans="1:28" ht="48" x14ac:dyDescent="0.2">
      <c r="A352" s="133" t="s">
        <v>1776</v>
      </c>
      <c r="B352" s="130">
        <v>42</v>
      </c>
      <c r="C352" s="130" t="s">
        <v>202</v>
      </c>
      <c r="D352" s="130" t="s">
        <v>322</v>
      </c>
      <c r="E352" s="131">
        <v>38657</v>
      </c>
      <c r="F352" s="131">
        <v>38701</v>
      </c>
      <c r="G352" s="132" t="s">
        <v>8803</v>
      </c>
      <c r="H352" s="132" t="s">
        <v>1750</v>
      </c>
      <c r="I352" s="132" t="s">
        <v>321</v>
      </c>
      <c r="J352" s="132" t="s">
        <v>325</v>
      </c>
      <c r="K352" s="440" t="str">
        <f>HYPERLINK("https://okcountyrecords.com/detail/roger+mills/2005-008523","OKCountyRecords: 2005-008523")</f>
        <v>OKCountyRecords: 2005-008523</v>
      </c>
      <c r="L352" s="133" t="s">
        <v>1501</v>
      </c>
      <c r="M352" s="133" t="s">
        <v>1491</v>
      </c>
      <c r="N352" s="133"/>
      <c r="O352" s="133" t="s">
        <v>1492</v>
      </c>
      <c r="P352" s="114" t="s">
        <v>9209</v>
      </c>
      <c r="Q352" s="114" t="s">
        <v>89</v>
      </c>
      <c r="R352" s="114" t="s">
        <v>118</v>
      </c>
      <c r="S352" s="114" t="s">
        <v>89</v>
      </c>
      <c r="T352" s="114" t="s">
        <v>118</v>
      </c>
      <c r="U352" s="114" t="s">
        <v>8862</v>
      </c>
      <c r="V352" s="114" t="s">
        <v>3072</v>
      </c>
      <c r="W352" s="114" t="s">
        <v>9661</v>
      </c>
      <c r="X352" s="114" t="s">
        <v>2701</v>
      </c>
      <c r="Y352" s="114" t="s">
        <v>8851</v>
      </c>
      <c r="Z352" s="114" t="s">
        <v>2701</v>
      </c>
      <c r="AA352" s="114" t="s">
        <v>9319</v>
      </c>
      <c r="AB352" s="114" t="s">
        <v>8888</v>
      </c>
    </row>
    <row r="353" spans="1:28" ht="84" x14ac:dyDescent="0.2">
      <c r="A353" s="133" t="s">
        <v>1777</v>
      </c>
      <c r="B353" s="130">
        <v>59</v>
      </c>
      <c r="C353" s="130" t="s">
        <v>202</v>
      </c>
      <c r="D353" s="130" t="s">
        <v>367</v>
      </c>
      <c r="E353" s="131">
        <v>38658</v>
      </c>
      <c r="F353" s="131">
        <v>38754</v>
      </c>
      <c r="G353" s="132" t="s">
        <v>1778</v>
      </c>
      <c r="H353" s="132" t="s">
        <v>1750</v>
      </c>
      <c r="I353" s="132" t="s">
        <v>1779</v>
      </c>
      <c r="J353" s="132" t="s">
        <v>8700</v>
      </c>
      <c r="K353" s="440" t="str">
        <f>HYPERLINK("https://okcountyrecords.com/detail/roger+mills/2006-000936","OKCountyRecords: 2006-000936")</f>
        <v>OKCountyRecords: 2006-000936</v>
      </c>
      <c r="L353" s="133" t="s">
        <v>1501</v>
      </c>
      <c r="M353" s="133" t="s">
        <v>1491</v>
      </c>
      <c r="N353" s="133"/>
      <c r="O353" s="133" t="s">
        <v>422</v>
      </c>
      <c r="P353" s="114" t="s">
        <v>9209</v>
      </c>
      <c r="Q353" s="114" t="s">
        <v>89</v>
      </c>
      <c r="R353" s="114" t="s">
        <v>118</v>
      </c>
      <c r="S353" s="114" t="s">
        <v>89</v>
      </c>
      <c r="T353" s="114" t="s">
        <v>118</v>
      </c>
      <c r="U353" s="114" t="s">
        <v>8862</v>
      </c>
      <c r="V353" s="114" t="s">
        <v>3072</v>
      </c>
      <c r="W353" s="114" t="s">
        <v>8906</v>
      </c>
      <c r="X353" s="114" t="s">
        <v>2701</v>
      </c>
      <c r="Y353" s="114" t="s">
        <v>8851</v>
      </c>
      <c r="Z353" s="114" t="s">
        <v>2701</v>
      </c>
      <c r="AA353" s="114" t="s">
        <v>9320</v>
      </c>
      <c r="AB353" s="114" t="s">
        <v>8853</v>
      </c>
    </row>
    <row r="354" spans="1:28" ht="96" x14ac:dyDescent="0.2">
      <c r="A354" s="133" t="s">
        <v>1780</v>
      </c>
      <c r="B354" s="130">
        <v>44</v>
      </c>
      <c r="C354" s="130" t="s">
        <v>202</v>
      </c>
      <c r="D354" s="130" t="s">
        <v>328</v>
      </c>
      <c r="E354" s="131">
        <v>38658</v>
      </c>
      <c r="F354" s="131">
        <v>38754</v>
      </c>
      <c r="G354" s="132" t="s">
        <v>1781</v>
      </c>
      <c r="H354" s="132" t="s">
        <v>1750</v>
      </c>
      <c r="I354" s="132" t="s">
        <v>1779</v>
      </c>
      <c r="J354" s="132" t="s">
        <v>8701</v>
      </c>
      <c r="K354" s="440" t="str">
        <f>HYPERLINK("https://okcountyrecords.com/detail/roger+mills/2006-000939","OKCountyRecords: 2006-000939")</f>
        <v>OKCountyRecords: 2006-000939</v>
      </c>
      <c r="L354" s="133" t="s">
        <v>1501</v>
      </c>
      <c r="M354" s="133" t="s">
        <v>1491</v>
      </c>
      <c r="N354" s="133"/>
      <c r="O354" s="133" t="s">
        <v>422</v>
      </c>
      <c r="P354" s="114" t="s">
        <v>9209</v>
      </c>
      <c r="Q354" s="114" t="s">
        <v>89</v>
      </c>
      <c r="R354" s="114" t="s">
        <v>118</v>
      </c>
      <c r="S354" s="114" t="s">
        <v>89</v>
      </c>
      <c r="T354" s="114" t="s">
        <v>118</v>
      </c>
      <c r="U354" s="114" t="s">
        <v>8862</v>
      </c>
      <c r="V354" s="114" t="s">
        <v>3072</v>
      </c>
      <c r="W354" s="114" t="s">
        <v>8906</v>
      </c>
      <c r="X354" s="114" t="s">
        <v>2701</v>
      </c>
      <c r="Y354" s="114" t="s">
        <v>8851</v>
      </c>
      <c r="Z354" s="114" t="s">
        <v>2701</v>
      </c>
      <c r="AA354" s="114" t="s">
        <v>9321</v>
      </c>
      <c r="AB354" s="114" t="s">
        <v>8853</v>
      </c>
    </row>
    <row r="355" spans="1:28" ht="48" x14ac:dyDescent="0.2">
      <c r="A355" s="133" t="s">
        <v>1782</v>
      </c>
      <c r="B355" s="130">
        <v>43</v>
      </c>
      <c r="C355" s="130" t="s">
        <v>202</v>
      </c>
      <c r="D355" s="130" t="s">
        <v>326</v>
      </c>
      <c r="E355" s="131">
        <v>38658</v>
      </c>
      <c r="F355" s="131">
        <v>38754</v>
      </c>
      <c r="G355" s="132" t="s">
        <v>8804</v>
      </c>
      <c r="H355" s="132" t="s">
        <v>1750</v>
      </c>
      <c r="I355" s="132" t="s">
        <v>1779</v>
      </c>
      <c r="J355" s="132" t="s">
        <v>216</v>
      </c>
      <c r="K355" s="440" t="str">
        <f>HYPERLINK("https://okcountyrecords.com/detail/roger+mills/2006-000937","OKCountyRecords: 2006-000937")</f>
        <v>OKCountyRecords: 2006-000937</v>
      </c>
      <c r="L355" s="133" t="s">
        <v>1501</v>
      </c>
      <c r="M355" s="133" t="s">
        <v>1491</v>
      </c>
      <c r="N355" s="133"/>
      <c r="O355" s="133" t="s">
        <v>1492</v>
      </c>
      <c r="P355" s="114" t="s">
        <v>9209</v>
      </c>
      <c r="Q355" s="114" t="s">
        <v>89</v>
      </c>
      <c r="R355" s="114" t="s">
        <v>118</v>
      </c>
      <c r="S355" s="114" t="s">
        <v>89</v>
      </c>
      <c r="T355" s="114" t="s">
        <v>118</v>
      </c>
      <c r="U355" s="114" t="s">
        <v>8862</v>
      </c>
      <c r="V355" s="114" t="s">
        <v>3072</v>
      </c>
      <c r="W355" s="114" t="s">
        <v>8864</v>
      </c>
      <c r="X355" s="114" t="s">
        <v>2701</v>
      </c>
      <c r="Y355" s="114" t="s">
        <v>8851</v>
      </c>
      <c r="Z355" s="114" t="s">
        <v>2701</v>
      </c>
      <c r="AA355" s="114" t="s">
        <v>9322</v>
      </c>
      <c r="AB355" s="114" t="s">
        <v>8888</v>
      </c>
    </row>
    <row r="356" spans="1:28" ht="48" x14ac:dyDescent="0.2">
      <c r="A356" s="133" t="s">
        <v>1784</v>
      </c>
      <c r="B356" s="130"/>
      <c r="C356" s="130" t="s">
        <v>1456</v>
      </c>
      <c r="D356" s="130" t="s">
        <v>1785</v>
      </c>
      <c r="E356" s="131">
        <v>38666</v>
      </c>
      <c r="F356" s="131">
        <v>38749</v>
      </c>
      <c r="G356" s="132" t="s">
        <v>1750</v>
      </c>
      <c r="H356" s="132" t="s">
        <v>8815</v>
      </c>
      <c r="I356" s="132" t="s">
        <v>1786</v>
      </c>
      <c r="J356" s="132" t="s">
        <v>1787</v>
      </c>
      <c r="K356" s="440" t="str">
        <f>HYPERLINK("https://okcountyrecords.com/detail/roger+mills/2006-000776","OKCountyRecords: 2006-000776")</f>
        <v>OKCountyRecords: 2006-000776</v>
      </c>
      <c r="L356" s="133" t="s">
        <v>1501</v>
      </c>
      <c r="M356" s="133" t="s">
        <v>8756</v>
      </c>
      <c r="N356" s="133"/>
      <c r="O356" s="133" t="s">
        <v>1532</v>
      </c>
      <c r="P356" s="114" t="s">
        <v>9043</v>
      </c>
      <c r="Q356" s="114" t="s">
        <v>2701</v>
      </c>
      <c r="R356" s="114" t="s">
        <v>118</v>
      </c>
      <c r="S356" s="114" t="s">
        <v>2701</v>
      </c>
      <c r="T356" s="114" t="s">
        <v>118</v>
      </c>
      <c r="U356" s="114" t="s">
        <v>8862</v>
      </c>
      <c r="V356" s="114" t="s">
        <v>3072</v>
      </c>
      <c r="W356" s="114" t="s">
        <v>8906</v>
      </c>
      <c r="X356" s="114" t="s">
        <v>2701</v>
      </c>
      <c r="Y356" s="114" t="s">
        <v>8851</v>
      </c>
      <c r="Z356" s="114" t="s">
        <v>2701</v>
      </c>
      <c r="AA356" s="114" t="s">
        <v>9323</v>
      </c>
      <c r="AB356" s="114" t="s">
        <v>8853</v>
      </c>
    </row>
    <row r="357" spans="1:28" ht="48" x14ac:dyDescent="0.2">
      <c r="A357" s="133" t="s">
        <v>1788</v>
      </c>
      <c r="B357" s="130"/>
      <c r="C357" s="130" t="s">
        <v>1456</v>
      </c>
      <c r="D357" s="130" t="s">
        <v>1789</v>
      </c>
      <c r="E357" s="131">
        <v>38666</v>
      </c>
      <c r="F357" s="131">
        <v>38749</v>
      </c>
      <c r="G357" s="132" t="s">
        <v>1750</v>
      </c>
      <c r="H357" s="132" t="s">
        <v>8815</v>
      </c>
      <c r="I357" s="132" t="s">
        <v>1786</v>
      </c>
      <c r="J357" s="132" t="s">
        <v>1790</v>
      </c>
      <c r="K357" s="440" t="str">
        <f>HYPERLINK("https://okcountyrecords.com/detail/roger+mills/2006-000778","OKCountyRecords: 2006-000778")</f>
        <v>OKCountyRecords: 2006-000778</v>
      </c>
      <c r="L357" s="133" t="s">
        <v>1501</v>
      </c>
      <c r="M357" s="133" t="s">
        <v>8756</v>
      </c>
      <c r="N357" s="133"/>
      <c r="O357" s="133" t="s">
        <v>1532</v>
      </c>
      <c r="P357" s="114" t="s">
        <v>9043</v>
      </c>
      <c r="Q357" s="114" t="s">
        <v>2701</v>
      </c>
      <c r="R357" s="114" t="s">
        <v>118</v>
      </c>
      <c r="S357" s="114" t="s">
        <v>2701</v>
      </c>
      <c r="T357" s="114" t="s">
        <v>118</v>
      </c>
      <c r="U357" s="114" t="s">
        <v>8862</v>
      </c>
      <c r="V357" s="114" t="s">
        <v>3072</v>
      </c>
      <c r="W357" s="114" t="s">
        <v>8906</v>
      </c>
      <c r="X357" s="114" t="s">
        <v>2701</v>
      </c>
      <c r="Y357" s="114" t="s">
        <v>8851</v>
      </c>
      <c r="Z357" s="114" t="s">
        <v>2701</v>
      </c>
      <c r="AA357" s="114" t="s">
        <v>9324</v>
      </c>
      <c r="AB357" s="114" t="s">
        <v>8853</v>
      </c>
    </row>
    <row r="358" spans="1:28" ht="120" x14ac:dyDescent="0.2">
      <c r="A358" s="133" t="s">
        <v>1791</v>
      </c>
      <c r="B358" s="130">
        <v>48</v>
      </c>
      <c r="C358" s="130" t="s">
        <v>202</v>
      </c>
      <c r="D358" s="130" t="s">
        <v>338</v>
      </c>
      <c r="E358" s="131">
        <v>38670</v>
      </c>
      <c r="F358" s="131">
        <v>38701</v>
      </c>
      <c r="G358" s="132" t="s">
        <v>8805</v>
      </c>
      <c r="H358" s="132" t="s">
        <v>1750</v>
      </c>
      <c r="I358" s="132" t="s">
        <v>1792</v>
      </c>
      <c r="J358" s="132" t="s">
        <v>8702</v>
      </c>
      <c r="K358" s="440" t="str">
        <f>HYPERLINK("https://okcountyrecords.com/detail/roger+mills/2005-008522","OKCountyRecords: 2005-008522")</f>
        <v>OKCountyRecords: 2005-008522</v>
      </c>
      <c r="L358" s="133" t="s">
        <v>1501</v>
      </c>
      <c r="M358" s="133" t="s">
        <v>1491</v>
      </c>
      <c r="N358" s="133"/>
      <c r="O358" s="133" t="s">
        <v>422</v>
      </c>
      <c r="P358" s="114" t="s">
        <v>9209</v>
      </c>
      <c r="Q358" s="114" t="s">
        <v>89</v>
      </c>
      <c r="R358" s="114" t="s">
        <v>118</v>
      </c>
      <c r="S358" s="114" t="s">
        <v>89</v>
      </c>
      <c r="T358" s="114" t="s">
        <v>118</v>
      </c>
      <c r="U358" s="114" t="s">
        <v>9325</v>
      </c>
      <c r="V358" s="114" t="s">
        <v>2701</v>
      </c>
      <c r="W358" s="114" t="s">
        <v>9662</v>
      </c>
      <c r="X358" s="114" t="s">
        <v>2701</v>
      </c>
      <c r="Y358" s="114" t="s">
        <v>8851</v>
      </c>
      <c r="Z358" s="114" t="s">
        <v>2701</v>
      </c>
      <c r="AA358" s="114" t="s">
        <v>9326</v>
      </c>
      <c r="AB358" s="114" t="s">
        <v>9139</v>
      </c>
    </row>
    <row r="359" spans="1:28" ht="60" x14ac:dyDescent="0.2">
      <c r="A359" s="133" t="s">
        <v>1793</v>
      </c>
      <c r="B359" s="130"/>
      <c r="C359" s="130" t="s">
        <v>1760</v>
      </c>
      <c r="D359" s="130" t="s">
        <v>1794</v>
      </c>
      <c r="E359" s="131">
        <v>38677</v>
      </c>
      <c r="F359" s="131">
        <v>38749</v>
      </c>
      <c r="G359" s="132" t="s">
        <v>1750</v>
      </c>
      <c r="H359" s="132" t="s">
        <v>8815</v>
      </c>
      <c r="I359" s="132" t="s">
        <v>263</v>
      </c>
      <c r="J359" s="132" t="s">
        <v>1795</v>
      </c>
      <c r="K359" s="440" t="str">
        <f>HYPERLINK("https://okcountyrecords.com/detail/roger+mills/2006-000766","OKCountyRecords: 2006-000766")</f>
        <v>OKCountyRecords: 2006-000766</v>
      </c>
      <c r="L359" s="133" t="s">
        <v>1501</v>
      </c>
      <c r="M359" s="133" t="s">
        <v>8756</v>
      </c>
      <c r="N359" s="133"/>
      <c r="O359" s="133" t="s">
        <v>1492</v>
      </c>
      <c r="P359" s="114" t="s">
        <v>9209</v>
      </c>
      <c r="Q359" s="114" t="s">
        <v>89</v>
      </c>
      <c r="R359" s="114" t="s">
        <v>118</v>
      </c>
      <c r="S359" s="114" t="s">
        <v>89</v>
      </c>
      <c r="T359" s="114" t="s">
        <v>118</v>
      </c>
      <c r="U359" s="114" t="s">
        <v>8901</v>
      </c>
      <c r="V359" s="114" t="s">
        <v>3072</v>
      </c>
      <c r="W359" s="114" t="s">
        <v>8906</v>
      </c>
      <c r="X359" s="114" t="s">
        <v>2701</v>
      </c>
      <c r="Y359" s="114" t="s">
        <v>8851</v>
      </c>
      <c r="Z359" s="114" t="s">
        <v>2701</v>
      </c>
      <c r="AA359" s="114" t="s">
        <v>9327</v>
      </c>
      <c r="AB359" s="114" t="s">
        <v>8853</v>
      </c>
    </row>
    <row r="360" spans="1:28" ht="84" x14ac:dyDescent="0.2">
      <c r="A360" s="133" t="s">
        <v>1796</v>
      </c>
      <c r="B360" s="130">
        <v>45</v>
      </c>
      <c r="C360" s="130" t="s">
        <v>202</v>
      </c>
      <c r="D360" s="130" t="s">
        <v>330</v>
      </c>
      <c r="E360" s="131">
        <v>38678</v>
      </c>
      <c r="F360" s="131">
        <v>38754</v>
      </c>
      <c r="G360" s="132" t="s">
        <v>8806</v>
      </c>
      <c r="H360" s="132" t="s">
        <v>1750</v>
      </c>
      <c r="I360" s="132" t="s">
        <v>332</v>
      </c>
      <c r="J360" s="132" t="s">
        <v>8703</v>
      </c>
      <c r="K360" s="440" t="str">
        <f>HYPERLINK("https://okcountyrecords.com/detail/roger+mills/2006-000938","OKCountyRecords: 2006-000938")</f>
        <v>OKCountyRecords: 2006-000938</v>
      </c>
      <c r="L360" s="133" t="s">
        <v>1501</v>
      </c>
      <c r="M360" s="133" t="s">
        <v>1491</v>
      </c>
      <c r="N360" s="133"/>
      <c r="O360" s="133" t="s">
        <v>422</v>
      </c>
      <c r="P360" s="114" t="s">
        <v>9209</v>
      </c>
      <c r="Q360" s="114" t="s">
        <v>89</v>
      </c>
      <c r="R360" s="114" t="s">
        <v>118</v>
      </c>
      <c r="S360" s="114" t="s">
        <v>89</v>
      </c>
      <c r="T360" s="114" t="s">
        <v>118</v>
      </c>
      <c r="U360" s="114" t="s">
        <v>8986</v>
      </c>
      <c r="V360" s="114" t="s">
        <v>3072</v>
      </c>
      <c r="W360" s="114" t="s">
        <v>8864</v>
      </c>
      <c r="X360" s="114" t="s">
        <v>2701</v>
      </c>
      <c r="Y360" s="114" t="s">
        <v>8851</v>
      </c>
      <c r="Z360" s="114" t="s">
        <v>2701</v>
      </c>
      <c r="AA360" s="114" t="s">
        <v>9328</v>
      </c>
      <c r="AB360" s="114" t="s">
        <v>8888</v>
      </c>
    </row>
    <row r="361" spans="1:28" ht="48" x14ac:dyDescent="0.2">
      <c r="A361" s="133" t="s">
        <v>1798</v>
      </c>
      <c r="B361" s="130"/>
      <c r="C361" s="130" t="s">
        <v>1456</v>
      </c>
      <c r="D361" s="130" t="s">
        <v>1799</v>
      </c>
      <c r="E361" s="131">
        <v>38686</v>
      </c>
      <c r="F361" s="131">
        <v>38749</v>
      </c>
      <c r="G361" s="132" t="s">
        <v>1750</v>
      </c>
      <c r="H361" s="132" t="s">
        <v>8815</v>
      </c>
      <c r="I361" s="132" t="s">
        <v>1792</v>
      </c>
      <c r="J361" s="132" t="s">
        <v>1800</v>
      </c>
      <c r="K361" s="440" t="str">
        <f>HYPERLINK("https://okcountyrecords.com/detail/roger+mills/2006-000770","OKCountyRecords: 2006-000770")</f>
        <v>OKCountyRecords: 2006-000770</v>
      </c>
      <c r="L361" s="133" t="s">
        <v>1501</v>
      </c>
      <c r="M361" s="133" t="s">
        <v>8756</v>
      </c>
      <c r="N361" s="133"/>
      <c r="O361" s="133" t="s">
        <v>1532</v>
      </c>
      <c r="P361" s="114" t="s">
        <v>9043</v>
      </c>
      <c r="Q361" s="114" t="s">
        <v>2701</v>
      </c>
      <c r="R361" s="114" t="s">
        <v>118</v>
      </c>
      <c r="S361" s="114" t="s">
        <v>2701</v>
      </c>
      <c r="T361" s="114" t="s">
        <v>118</v>
      </c>
      <c r="U361" s="114" t="s">
        <v>8930</v>
      </c>
      <c r="V361" s="114" t="s">
        <v>2701</v>
      </c>
      <c r="W361" s="114" t="s">
        <v>8906</v>
      </c>
      <c r="X361" s="114" t="s">
        <v>2701</v>
      </c>
      <c r="Y361" s="114" t="s">
        <v>8851</v>
      </c>
      <c r="Z361" s="114" t="s">
        <v>2701</v>
      </c>
      <c r="AA361" s="114" t="s">
        <v>9329</v>
      </c>
      <c r="AB361" s="114" t="s">
        <v>8871</v>
      </c>
    </row>
    <row r="362" spans="1:28" ht="60" x14ac:dyDescent="0.2">
      <c r="A362" s="133" t="s">
        <v>1801</v>
      </c>
      <c r="B362" s="130"/>
      <c r="C362" s="130" t="s">
        <v>1760</v>
      </c>
      <c r="D362" s="130" t="s">
        <v>1802</v>
      </c>
      <c r="E362" s="131">
        <v>38687</v>
      </c>
      <c r="F362" s="131">
        <v>38806</v>
      </c>
      <c r="G362" s="132" t="s">
        <v>1750</v>
      </c>
      <c r="H362" s="132" t="s">
        <v>8815</v>
      </c>
      <c r="I362" s="132" t="s">
        <v>1779</v>
      </c>
      <c r="J362" s="132" t="s">
        <v>1803</v>
      </c>
      <c r="K362" s="440" t="str">
        <f>HYPERLINK("https://okcountyrecords.com/detail/roger+mills/2006-002436","OKCountyRecords: 2006-002436")</f>
        <v>OKCountyRecords: 2006-002436</v>
      </c>
      <c r="L362" s="133" t="s">
        <v>1501</v>
      </c>
      <c r="M362" s="133" t="s">
        <v>8756</v>
      </c>
      <c r="N362" s="133"/>
      <c r="O362" s="133" t="s">
        <v>1492</v>
      </c>
      <c r="P362" s="114" t="s">
        <v>9209</v>
      </c>
      <c r="Q362" s="114" t="s">
        <v>89</v>
      </c>
      <c r="R362" s="114" t="s">
        <v>118</v>
      </c>
      <c r="S362" s="114" t="s">
        <v>89</v>
      </c>
      <c r="T362" s="114" t="s">
        <v>118</v>
      </c>
      <c r="U362" s="114" t="s">
        <v>8862</v>
      </c>
      <c r="V362" s="114" t="s">
        <v>3072</v>
      </c>
      <c r="W362" s="114" t="s">
        <v>8906</v>
      </c>
      <c r="X362" s="114" t="s">
        <v>2701</v>
      </c>
      <c r="Y362" s="114" t="s">
        <v>8851</v>
      </c>
      <c r="Z362" s="114" t="s">
        <v>2701</v>
      </c>
      <c r="AA362" s="114" t="s">
        <v>9330</v>
      </c>
      <c r="AB362" s="114" t="s">
        <v>8853</v>
      </c>
    </row>
    <row r="363" spans="1:28" ht="60" x14ac:dyDescent="0.2">
      <c r="A363" s="133" t="s">
        <v>1804</v>
      </c>
      <c r="B363" s="130"/>
      <c r="C363" s="130" t="s">
        <v>1760</v>
      </c>
      <c r="D363" s="130" t="s">
        <v>1805</v>
      </c>
      <c r="E363" s="131">
        <v>38687</v>
      </c>
      <c r="F363" s="131">
        <v>38806</v>
      </c>
      <c r="G363" s="132" t="s">
        <v>1750</v>
      </c>
      <c r="H363" s="132" t="s">
        <v>8815</v>
      </c>
      <c r="I363" s="132" t="s">
        <v>1779</v>
      </c>
      <c r="J363" s="132" t="s">
        <v>1806</v>
      </c>
      <c r="K363" s="440" t="str">
        <f>HYPERLINK("https://okcountyrecords.com/detail/roger+mills/2006-002437","OKCountyRecords: 2006-002437")</f>
        <v>OKCountyRecords: 2006-002437</v>
      </c>
      <c r="L363" s="133" t="s">
        <v>1501</v>
      </c>
      <c r="M363" s="133" t="s">
        <v>8756</v>
      </c>
      <c r="N363" s="133"/>
      <c r="O363" s="133" t="s">
        <v>1492</v>
      </c>
      <c r="P363" s="114" t="s">
        <v>9209</v>
      </c>
      <c r="Q363" s="114" t="s">
        <v>89</v>
      </c>
      <c r="R363" s="114" t="s">
        <v>118</v>
      </c>
      <c r="S363" s="114" t="s">
        <v>89</v>
      </c>
      <c r="T363" s="114" t="s">
        <v>118</v>
      </c>
      <c r="U363" s="114" t="s">
        <v>8862</v>
      </c>
      <c r="V363" s="114" t="s">
        <v>3072</v>
      </c>
      <c r="W363" s="114" t="s">
        <v>8906</v>
      </c>
      <c r="X363" s="114" t="s">
        <v>2701</v>
      </c>
      <c r="Y363" s="114" t="s">
        <v>8851</v>
      </c>
      <c r="Z363" s="114" t="s">
        <v>2701</v>
      </c>
      <c r="AA363" s="114" t="s">
        <v>9331</v>
      </c>
      <c r="AB363" s="114" t="s">
        <v>8853</v>
      </c>
    </row>
    <row r="364" spans="1:28" ht="60" x14ac:dyDescent="0.2">
      <c r="A364" s="133" t="s">
        <v>1807</v>
      </c>
      <c r="B364" s="130"/>
      <c r="C364" s="130" t="s">
        <v>521</v>
      </c>
      <c r="D364" s="130" t="s">
        <v>1808</v>
      </c>
      <c r="E364" s="131">
        <v>38691</v>
      </c>
      <c r="F364" s="131">
        <v>38807</v>
      </c>
      <c r="G364" s="132" t="s">
        <v>331</v>
      </c>
      <c r="H364" s="132" t="s">
        <v>320</v>
      </c>
      <c r="I364" s="132" t="s">
        <v>238</v>
      </c>
      <c r="J364" s="132" t="s">
        <v>1809</v>
      </c>
      <c r="K364" s="440" t="str">
        <f>HYPERLINK("https://okcountyrecords.com/detail/roger+mills/2006-002508","OKCountyRecords: 2006-002508")</f>
        <v>OKCountyRecords: 2006-002508</v>
      </c>
      <c r="L364" s="133" t="s">
        <v>503</v>
      </c>
      <c r="M364" s="133"/>
      <c r="N364" s="133"/>
      <c r="O364" s="133" t="s">
        <v>526</v>
      </c>
      <c r="P364" s="114" t="s">
        <v>8903</v>
      </c>
      <c r="Q364" s="114" t="s">
        <v>2701</v>
      </c>
      <c r="R364" s="114" t="s">
        <v>2701</v>
      </c>
      <c r="S364" s="114" t="s">
        <v>2701</v>
      </c>
      <c r="T364" s="114" t="s">
        <v>2701</v>
      </c>
      <c r="U364" s="114" t="s">
        <v>8896</v>
      </c>
      <c r="V364" s="114" t="s">
        <v>3386</v>
      </c>
      <c r="W364" s="114" t="s">
        <v>8864</v>
      </c>
      <c r="X364" s="114" t="s">
        <v>2701</v>
      </c>
      <c r="Y364" s="114" t="s">
        <v>8851</v>
      </c>
      <c r="Z364" s="114" t="s">
        <v>2701</v>
      </c>
      <c r="AA364" s="114" t="s">
        <v>9332</v>
      </c>
      <c r="AB364" s="114" t="s">
        <v>8905</v>
      </c>
    </row>
    <row r="365" spans="1:28" ht="108" x14ac:dyDescent="0.2">
      <c r="A365" s="133" t="s">
        <v>1810</v>
      </c>
      <c r="B365" s="130">
        <v>60</v>
      </c>
      <c r="C365" s="130" t="s">
        <v>202</v>
      </c>
      <c r="D365" s="130" t="s">
        <v>369</v>
      </c>
      <c r="E365" s="131">
        <v>38693</v>
      </c>
      <c r="F365" s="131">
        <v>38754</v>
      </c>
      <c r="G365" s="132" t="s">
        <v>1811</v>
      </c>
      <c r="H365" s="132" t="s">
        <v>1750</v>
      </c>
      <c r="I365" s="132" t="s">
        <v>332</v>
      </c>
      <c r="J365" s="132" t="s">
        <v>8704</v>
      </c>
      <c r="K365" s="440" t="str">
        <f>HYPERLINK("https://okcountyrecords.com/detail/roger+mills/2006-000931","OKCountyRecords: 2006-000931")</f>
        <v>OKCountyRecords: 2006-000931</v>
      </c>
      <c r="L365" s="133" t="s">
        <v>1501</v>
      </c>
      <c r="M365" s="133" t="s">
        <v>1491</v>
      </c>
      <c r="N365" s="133"/>
      <c r="O365" s="133" t="s">
        <v>422</v>
      </c>
      <c r="P365" s="114" t="s">
        <v>9209</v>
      </c>
      <c r="Q365" s="114" t="s">
        <v>89</v>
      </c>
      <c r="R365" s="114" t="s">
        <v>118</v>
      </c>
      <c r="S365" s="114" t="s">
        <v>89</v>
      </c>
      <c r="T365" s="114" t="s">
        <v>118</v>
      </c>
      <c r="U365" s="114" t="s">
        <v>8986</v>
      </c>
      <c r="V365" s="114" t="s">
        <v>3072</v>
      </c>
      <c r="W365" s="114" t="s">
        <v>8864</v>
      </c>
      <c r="X365" s="114" t="s">
        <v>2701</v>
      </c>
      <c r="Y365" s="114" t="s">
        <v>8851</v>
      </c>
      <c r="Z365" s="114" t="s">
        <v>2701</v>
      </c>
      <c r="AA365" s="114" t="s">
        <v>9333</v>
      </c>
      <c r="AB365" s="114" t="s">
        <v>8888</v>
      </c>
    </row>
    <row r="366" spans="1:28" ht="72" x14ac:dyDescent="0.2">
      <c r="A366" s="133" t="s">
        <v>1812</v>
      </c>
      <c r="B366" s="130"/>
      <c r="C366" s="130" t="s">
        <v>1813</v>
      </c>
      <c r="D366" s="130" t="s">
        <v>1814</v>
      </c>
      <c r="E366" s="131">
        <v>38694</v>
      </c>
      <c r="F366" s="131">
        <v>38727</v>
      </c>
      <c r="G366" s="132" t="s">
        <v>335</v>
      </c>
      <c r="H366" s="132" t="s">
        <v>102</v>
      </c>
      <c r="I366" s="132" t="s">
        <v>1815</v>
      </c>
      <c r="J366" s="132" t="s">
        <v>1816</v>
      </c>
      <c r="K366" s="440" t="str">
        <f>HYPERLINK("https://okcountyrecords.com/detail/roger+mills/2006-000153","OKCountyRecords: 2006-000153")</f>
        <v>OKCountyRecords: 2006-000153</v>
      </c>
      <c r="L366" s="133" t="s">
        <v>1817</v>
      </c>
      <c r="M366" s="133" t="s">
        <v>467</v>
      </c>
      <c r="N366" s="133" t="s">
        <v>1818</v>
      </c>
      <c r="O366" s="133" t="s">
        <v>428</v>
      </c>
      <c r="P366" s="114" t="s">
        <v>8886</v>
      </c>
      <c r="Q366" s="114" t="s">
        <v>118</v>
      </c>
      <c r="R366" s="114" t="s">
        <v>89</v>
      </c>
      <c r="S366" s="114" t="s">
        <v>118</v>
      </c>
      <c r="T366" s="114" t="s">
        <v>89</v>
      </c>
      <c r="U366" s="114" t="s">
        <v>8901</v>
      </c>
      <c r="V366" s="114" t="s">
        <v>3072</v>
      </c>
      <c r="W366" s="114" t="s">
        <v>8906</v>
      </c>
      <c r="X366" s="114" t="s">
        <v>8873</v>
      </c>
      <c r="Y366" s="114" t="s">
        <v>8851</v>
      </c>
      <c r="Z366" s="114" t="s">
        <v>2701</v>
      </c>
      <c r="AA366" s="114" t="s">
        <v>9334</v>
      </c>
      <c r="AB366" s="114" t="s">
        <v>8853</v>
      </c>
    </row>
    <row r="367" spans="1:28" ht="48" x14ac:dyDescent="0.2">
      <c r="A367" s="133" t="s">
        <v>1819</v>
      </c>
      <c r="B367" s="130"/>
      <c r="C367" s="130" t="s">
        <v>1465</v>
      </c>
      <c r="D367" s="130" t="s">
        <v>1820</v>
      </c>
      <c r="E367" s="131">
        <v>38698</v>
      </c>
      <c r="F367" s="131">
        <v>38727</v>
      </c>
      <c r="G367" s="132" t="s">
        <v>8757</v>
      </c>
      <c r="H367" s="132" t="s">
        <v>1822</v>
      </c>
      <c r="I367" s="132" t="s">
        <v>1280</v>
      </c>
      <c r="J367" s="132" t="s">
        <v>9586</v>
      </c>
      <c r="K367" s="440" t="str">
        <f>HYPERLINK("https://okcountyrecords.com/detail/roger+mills/2006-000151","OKCountyRecords: 2006-000151")</f>
        <v>OKCountyRecords: 2006-000151</v>
      </c>
      <c r="L367" s="133" t="s">
        <v>466</v>
      </c>
      <c r="M367" s="133"/>
      <c r="N367" s="133"/>
      <c r="O367" s="133" t="s">
        <v>422</v>
      </c>
      <c r="P367" s="114" t="s">
        <v>8886</v>
      </c>
      <c r="Q367" s="114" t="s">
        <v>118</v>
      </c>
      <c r="R367" s="114" t="s">
        <v>89</v>
      </c>
      <c r="S367" s="114" t="s">
        <v>118</v>
      </c>
      <c r="T367" s="114" t="s">
        <v>89</v>
      </c>
      <c r="U367" s="114" t="s">
        <v>8862</v>
      </c>
      <c r="V367" s="114" t="s">
        <v>3072</v>
      </c>
      <c r="W367" s="114" t="s">
        <v>8864</v>
      </c>
      <c r="X367" s="114" t="s">
        <v>2701</v>
      </c>
      <c r="Y367" s="114" t="s">
        <v>8851</v>
      </c>
      <c r="Z367" s="114" t="s">
        <v>2701</v>
      </c>
      <c r="AA367" s="114" t="s">
        <v>9335</v>
      </c>
      <c r="AB367" s="114" t="s">
        <v>8888</v>
      </c>
    </row>
    <row r="368" spans="1:28" ht="72" x14ac:dyDescent="0.2">
      <c r="A368" s="133" t="s">
        <v>1824</v>
      </c>
      <c r="B368" s="130"/>
      <c r="C368" s="130" t="s">
        <v>1813</v>
      </c>
      <c r="D368" s="130" t="s">
        <v>1825</v>
      </c>
      <c r="E368" s="131">
        <v>38699</v>
      </c>
      <c r="F368" s="131">
        <v>38727</v>
      </c>
      <c r="G368" s="132" t="s">
        <v>1826</v>
      </c>
      <c r="H368" s="132" t="s">
        <v>102</v>
      </c>
      <c r="I368" s="132" t="s">
        <v>222</v>
      </c>
      <c r="J368" s="132" t="s">
        <v>1827</v>
      </c>
      <c r="K368" s="440" t="str">
        <f>HYPERLINK("https://okcountyrecords.com/detail/roger+mills/2006-000154","OKCountyRecords: 2006-000154")</f>
        <v>OKCountyRecords: 2006-000154</v>
      </c>
      <c r="L368" s="133" t="s">
        <v>1817</v>
      </c>
      <c r="M368" s="133" t="s">
        <v>467</v>
      </c>
      <c r="N368" s="133" t="s">
        <v>1818</v>
      </c>
      <c r="O368" s="133" t="s">
        <v>428</v>
      </c>
      <c r="P368" s="114" t="s">
        <v>8886</v>
      </c>
      <c r="Q368" s="114" t="s">
        <v>118</v>
      </c>
      <c r="R368" s="114" t="s">
        <v>89</v>
      </c>
      <c r="S368" s="114" t="s">
        <v>118</v>
      </c>
      <c r="T368" s="114" t="s">
        <v>89</v>
      </c>
      <c r="U368" s="114" t="s">
        <v>8935</v>
      </c>
      <c r="V368" s="114" t="s">
        <v>2701</v>
      </c>
      <c r="W368" s="114" t="s">
        <v>8864</v>
      </c>
      <c r="X368" s="114" t="s">
        <v>8869</v>
      </c>
      <c r="Y368" s="114" t="s">
        <v>8851</v>
      </c>
      <c r="Z368" s="114" t="s">
        <v>2701</v>
      </c>
      <c r="AA368" s="114" t="s">
        <v>9336</v>
      </c>
      <c r="AB368" s="114" t="s">
        <v>9139</v>
      </c>
    </row>
    <row r="369" spans="1:28" ht="48" x14ac:dyDescent="0.2">
      <c r="A369" s="133" t="s">
        <v>1828</v>
      </c>
      <c r="B369" s="130"/>
      <c r="C369" s="130" t="s">
        <v>1456</v>
      </c>
      <c r="D369" s="130" t="s">
        <v>1829</v>
      </c>
      <c r="E369" s="131">
        <v>38701</v>
      </c>
      <c r="F369" s="131">
        <v>39833</v>
      </c>
      <c r="G369" s="132" t="s">
        <v>1750</v>
      </c>
      <c r="H369" s="132" t="s">
        <v>8815</v>
      </c>
      <c r="I369" s="132" t="s">
        <v>321</v>
      </c>
      <c r="J369" s="132" t="s">
        <v>1830</v>
      </c>
      <c r="K369" s="440" t="str">
        <f>HYPERLINK("https://okcountyrecords.com/detail/roger+mills/2009-000272","OKCountyRecords: 2009-000272")</f>
        <v>OKCountyRecords: 2009-000272</v>
      </c>
      <c r="L369" s="133" t="s">
        <v>1501</v>
      </c>
      <c r="M369" s="133" t="s">
        <v>8756</v>
      </c>
      <c r="N369" s="133"/>
      <c r="O369" s="133" t="s">
        <v>1532</v>
      </c>
      <c r="P369" s="114" t="s">
        <v>9043</v>
      </c>
      <c r="Q369" s="114" t="s">
        <v>2701</v>
      </c>
      <c r="R369" s="114" t="s">
        <v>118</v>
      </c>
      <c r="S369" s="114" t="s">
        <v>2701</v>
      </c>
      <c r="T369" s="114" t="s">
        <v>118</v>
      </c>
      <c r="U369" s="114" t="s">
        <v>8862</v>
      </c>
      <c r="V369" s="114" t="s">
        <v>3072</v>
      </c>
      <c r="W369" s="114" t="s">
        <v>8906</v>
      </c>
      <c r="X369" s="114" t="s">
        <v>2701</v>
      </c>
      <c r="Y369" s="114" t="s">
        <v>8851</v>
      </c>
      <c r="Z369" s="114" t="s">
        <v>2701</v>
      </c>
      <c r="AA369" s="114" t="s">
        <v>9337</v>
      </c>
      <c r="AB369" s="114" t="s">
        <v>8853</v>
      </c>
    </row>
    <row r="370" spans="1:28" ht="60" x14ac:dyDescent="0.2">
      <c r="A370" s="133" t="s">
        <v>1832</v>
      </c>
      <c r="B370" s="130"/>
      <c r="C370" s="130" t="s">
        <v>1760</v>
      </c>
      <c r="D370" s="130" t="s">
        <v>1833</v>
      </c>
      <c r="E370" s="131">
        <v>38702</v>
      </c>
      <c r="F370" s="131">
        <v>38806</v>
      </c>
      <c r="G370" s="132" t="s">
        <v>1750</v>
      </c>
      <c r="H370" s="132" t="s">
        <v>8815</v>
      </c>
      <c r="I370" s="132" t="s">
        <v>332</v>
      </c>
      <c r="J370" s="132" t="s">
        <v>1834</v>
      </c>
      <c r="K370" s="440" t="str">
        <f>HYPERLINK("https://okcountyrecords.com/detail/roger+mills/2006-002438","OKCountyRecords: 2006-002438")</f>
        <v>OKCountyRecords: 2006-002438</v>
      </c>
      <c r="L370" s="133" t="s">
        <v>1501</v>
      </c>
      <c r="M370" s="133" t="s">
        <v>8756</v>
      </c>
      <c r="N370" s="133"/>
      <c r="O370" s="133" t="s">
        <v>1492</v>
      </c>
      <c r="P370" s="114" t="s">
        <v>9209</v>
      </c>
      <c r="Q370" s="114" t="s">
        <v>89</v>
      </c>
      <c r="R370" s="114" t="s">
        <v>118</v>
      </c>
      <c r="S370" s="114" t="s">
        <v>89</v>
      </c>
      <c r="T370" s="114" t="s">
        <v>118</v>
      </c>
      <c r="U370" s="114" t="s">
        <v>8986</v>
      </c>
      <c r="V370" s="114" t="s">
        <v>3072</v>
      </c>
      <c r="W370" s="114" t="s">
        <v>8906</v>
      </c>
      <c r="X370" s="114" t="s">
        <v>2701</v>
      </c>
      <c r="Y370" s="114" t="s">
        <v>8851</v>
      </c>
      <c r="Z370" s="114" t="s">
        <v>2701</v>
      </c>
      <c r="AA370" s="114" t="s">
        <v>9338</v>
      </c>
      <c r="AB370" s="114" t="s">
        <v>8853</v>
      </c>
    </row>
    <row r="371" spans="1:28" ht="84" x14ac:dyDescent="0.2">
      <c r="A371" s="133" t="s">
        <v>1835</v>
      </c>
      <c r="B371" s="130">
        <v>55</v>
      </c>
      <c r="C371" s="130" t="s">
        <v>202</v>
      </c>
      <c r="D371" s="130" t="s">
        <v>356</v>
      </c>
      <c r="E371" s="131">
        <v>38709</v>
      </c>
      <c r="F371" s="131">
        <v>38733</v>
      </c>
      <c r="G371" s="132" t="s">
        <v>1836</v>
      </c>
      <c r="H371" s="132" t="s">
        <v>8816</v>
      </c>
      <c r="I371" s="132" t="s">
        <v>215</v>
      </c>
      <c r="J371" s="132" t="s">
        <v>8705</v>
      </c>
      <c r="K371" s="440" t="str">
        <f>HYPERLINK("https://okcountyrecords.com/detail/roger+mills/2006-000321","OKCountyRecords: 2006-000321")</f>
        <v>OKCountyRecords: 2006-000321</v>
      </c>
      <c r="L371" s="133" t="s">
        <v>1501</v>
      </c>
      <c r="M371" s="133" t="s">
        <v>1491</v>
      </c>
      <c r="N371" s="133"/>
      <c r="O371" s="133" t="s">
        <v>422</v>
      </c>
      <c r="P371" s="114" t="s">
        <v>9209</v>
      </c>
      <c r="Q371" s="114" t="s">
        <v>89</v>
      </c>
      <c r="R371" s="114" t="s">
        <v>118</v>
      </c>
      <c r="S371" s="114" t="s">
        <v>89</v>
      </c>
      <c r="T371" s="114" t="s">
        <v>118</v>
      </c>
      <c r="U371" s="114" t="s">
        <v>8862</v>
      </c>
      <c r="V371" s="114" t="s">
        <v>3072</v>
      </c>
      <c r="W371" s="114" t="s">
        <v>8906</v>
      </c>
      <c r="X371" s="114" t="s">
        <v>2701</v>
      </c>
      <c r="Y371" s="114" t="s">
        <v>8851</v>
      </c>
      <c r="Z371" s="114" t="s">
        <v>2701</v>
      </c>
      <c r="AA371" s="114" t="s">
        <v>9339</v>
      </c>
      <c r="AB371" s="114" t="s">
        <v>8853</v>
      </c>
    </row>
    <row r="372" spans="1:28" ht="180" x14ac:dyDescent="0.2">
      <c r="A372" s="133" t="s">
        <v>1838</v>
      </c>
      <c r="B372" s="130"/>
      <c r="C372" s="130" t="s">
        <v>1839</v>
      </c>
      <c r="D372" s="130" t="s">
        <v>1840</v>
      </c>
      <c r="E372" s="131">
        <v>38717</v>
      </c>
      <c r="F372" s="131">
        <v>38982</v>
      </c>
      <c r="G372" s="132" t="s">
        <v>8807</v>
      </c>
      <c r="H372" s="132" t="s">
        <v>8817</v>
      </c>
      <c r="I372" s="132" t="s">
        <v>332</v>
      </c>
      <c r="J372" s="132" t="s">
        <v>1843</v>
      </c>
      <c r="K372" s="440" t="str">
        <f>HYPERLINK("https://okcountyrecords.com/detail/roger+mills/2006-006475","OKCountyRecords: 2006-006475")</f>
        <v>OKCountyRecords: 2006-006475</v>
      </c>
      <c r="L372" s="133" t="s">
        <v>1501</v>
      </c>
      <c r="M372" s="133" t="s">
        <v>8756</v>
      </c>
      <c r="N372" s="133"/>
      <c r="O372" s="133" t="s">
        <v>428</v>
      </c>
      <c r="P372" s="114" t="s">
        <v>8934</v>
      </c>
      <c r="Q372" s="114" t="s">
        <v>118</v>
      </c>
      <c r="R372" s="114" t="s">
        <v>89</v>
      </c>
      <c r="S372" s="114" t="s">
        <v>118</v>
      </c>
      <c r="T372" s="114" t="s">
        <v>89</v>
      </c>
      <c r="U372" s="114" t="s">
        <v>8986</v>
      </c>
      <c r="V372" s="114" t="s">
        <v>3072</v>
      </c>
      <c r="W372" s="114" t="s">
        <v>8864</v>
      </c>
      <c r="X372" s="114" t="s">
        <v>2701</v>
      </c>
      <c r="Y372" s="114" t="s">
        <v>8851</v>
      </c>
      <c r="Z372" s="114" t="s">
        <v>2701</v>
      </c>
      <c r="AA372" s="114" t="s">
        <v>9340</v>
      </c>
      <c r="AB372" s="114" t="s">
        <v>8888</v>
      </c>
    </row>
    <row r="373" spans="1:28" ht="84" x14ac:dyDescent="0.2">
      <c r="A373" s="133" t="s">
        <v>1844</v>
      </c>
      <c r="B373" s="130">
        <v>50</v>
      </c>
      <c r="C373" s="130" t="s">
        <v>1845</v>
      </c>
      <c r="D373" s="130" t="s">
        <v>344</v>
      </c>
      <c r="E373" s="131">
        <v>38720</v>
      </c>
      <c r="F373" s="131">
        <v>38785</v>
      </c>
      <c r="G373" s="132" t="s">
        <v>8808</v>
      </c>
      <c r="H373" s="132" t="s">
        <v>1750</v>
      </c>
      <c r="I373" s="132" t="s">
        <v>222</v>
      </c>
      <c r="J373" s="132" t="s">
        <v>346</v>
      </c>
      <c r="K373" s="440" t="str">
        <f>HYPERLINK("https://okcountyrecords.com/detail/roger+mills/2006-001886","OKCountyRecords: 2006-001886")</f>
        <v>OKCountyRecords: 2006-001886</v>
      </c>
      <c r="L373" s="133" t="s">
        <v>1501</v>
      </c>
      <c r="M373" s="133" t="s">
        <v>1491</v>
      </c>
      <c r="N373" s="133"/>
      <c r="O373" s="133" t="s">
        <v>1492</v>
      </c>
      <c r="P373" s="114" t="s">
        <v>9270</v>
      </c>
      <c r="Q373" s="114" t="s">
        <v>89</v>
      </c>
      <c r="R373" s="114" t="s">
        <v>118</v>
      </c>
      <c r="S373" s="114" t="s">
        <v>89</v>
      </c>
      <c r="T373" s="114" t="s">
        <v>118</v>
      </c>
      <c r="U373" s="114" t="s">
        <v>8935</v>
      </c>
      <c r="V373" s="114" t="s">
        <v>2701</v>
      </c>
      <c r="W373" s="114" t="s">
        <v>9663</v>
      </c>
      <c r="X373" s="114" t="s">
        <v>2701</v>
      </c>
      <c r="Y373" s="114" t="s">
        <v>8851</v>
      </c>
      <c r="Z373" s="114" t="s">
        <v>2701</v>
      </c>
      <c r="AA373" s="114" t="s">
        <v>9341</v>
      </c>
      <c r="AB373" s="114" t="s">
        <v>9139</v>
      </c>
    </row>
    <row r="374" spans="1:28" ht="48" x14ac:dyDescent="0.2">
      <c r="A374" s="133" t="s">
        <v>1847</v>
      </c>
      <c r="B374" s="130"/>
      <c r="C374" s="130" t="s">
        <v>1456</v>
      </c>
      <c r="D374" s="130" t="s">
        <v>1848</v>
      </c>
      <c r="E374" s="131">
        <v>38723</v>
      </c>
      <c r="F374" s="131">
        <v>38749</v>
      </c>
      <c r="G374" s="132" t="s">
        <v>237</v>
      </c>
      <c r="H374" s="132" t="s">
        <v>8815</v>
      </c>
      <c r="I374" s="132" t="s">
        <v>1550</v>
      </c>
      <c r="J374" s="132" t="s">
        <v>1849</v>
      </c>
      <c r="K374" s="440" t="str">
        <f>HYPERLINK("https://okcountyrecords.com/detail/roger+mills/2006-000762","OKCountyRecords: 2006-000762")</f>
        <v>OKCountyRecords: 2006-000762</v>
      </c>
      <c r="L374" s="133" t="s">
        <v>1501</v>
      </c>
      <c r="M374" s="133" t="s">
        <v>8756</v>
      </c>
      <c r="N374" s="133"/>
      <c r="O374" s="133" t="s">
        <v>1532</v>
      </c>
      <c r="P374" s="114" t="s">
        <v>9043</v>
      </c>
      <c r="Q374" s="114" t="s">
        <v>2701</v>
      </c>
      <c r="R374" s="114" t="s">
        <v>118</v>
      </c>
      <c r="S374" s="114" t="s">
        <v>2701</v>
      </c>
      <c r="T374" s="114" t="s">
        <v>118</v>
      </c>
      <c r="U374" s="114" t="s">
        <v>8901</v>
      </c>
      <c r="V374" s="114" t="s">
        <v>3072</v>
      </c>
      <c r="W374" s="114" t="s">
        <v>8906</v>
      </c>
      <c r="X374" s="114" t="s">
        <v>2701</v>
      </c>
      <c r="Y374" s="114" t="s">
        <v>8851</v>
      </c>
      <c r="Z374" s="114" t="s">
        <v>2701</v>
      </c>
      <c r="AA374" s="114" t="s">
        <v>9342</v>
      </c>
      <c r="AB374" s="114" t="s">
        <v>8853</v>
      </c>
    </row>
    <row r="375" spans="1:28" ht="108" x14ac:dyDescent="0.2">
      <c r="A375" s="133" t="s">
        <v>1850</v>
      </c>
      <c r="B375" s="130">
        <v>56</v>
      </c>
      <c r="C375" s="130" t="s">
        <v>202</v>
      </c>
      <c r="D375" s="130" t="s">
        <v>359</v>
      </c>
      <c r="E375" s="131">
        <v>38726</v>
      </c>
      <c r="F375" s="131">
        <v>38742</v>
      </c>
      <c r="G375" s="132" t="s">
        <v>8809</v>
      </c>
      <c r="H375" s="132" t="s">
        <v>8816</v>
      </c>
      <c r="I375" s="132" t="s">
        <v>215</v>
      </c>
      <c r="J375" s="132" t="s">
        <v>9587</v>
      </c>
      <c r="K375" s="440" t="str">
        <f>HYPERLINK("https://okcountyrecords.com/detail/roger+mills/2006-000583","OKCountyRecords: 2006-000583")</f>
        <v>OKCountyRecords: 2006-000583</v>
      </c>
      <c r="L375" s="133" t="s">
        <v>1501</v>
      </c>
      <c r="M375" s="133" t="s">
        <v>1491</v>
      </c>
      <c r="N375" s="133"/>
      <c r="O375" s="133" t="s">
        <v>1492</v>
      </c>
      <c r="P375" s="114" t="s">
        <v>9209</v>
      </c>
      <c r="Q375" s="114" t="s">
        <v>89</v>
      </c>
      <c r="R375" s="114" t="s">
        <v>118</v>
      </c>
      <c r="S375" s="114" t="s">
        <v>89</v>
      </c>
      <c r="T375" s="114" t="s">
        <v>118</v>
      </c>
      <c r="U375" s="114" t="s">
        <v>8862</v>
      </c>
      <c r="V375" s="114" t="s">
        <v>3072</v>
      </c>
      <c r="W375" s="114" t="s">
        <v>8864</v>
      </c>
      <c r="X375" s="114" t="s">
        <v>2701</v>
      </c>
      <c r="Y375" s="114" t="s">
        <v>8851</v>
      </c>
      <c r="Z375" s="114" t="s">
        <v>2701</v>
      </c>
      <c r="AA375" s="114" t="s">
        <v>9343</v>
      </c>
      <c r="AB375" s="114" t="s">
        <v>8888</v>
      </c>
    </row>
    <row r="376" spans="1:28" ht="72" x14ac:dyDescent="0.2">
      <c r="A376" s="133" t="s">
        <v>1852</v>
      </c>
      <c r="B376" s="130"/>
      <c r="C376" s="130" t="s">
        <v>1186</v>
      </c>
      <c r="D376" s="130" t="s">
        <v>1853</v>
      </c>
      <c r="E376" s="131">
        <v>38733</v>
      </c>
      <c r="F376" s="131">
        <v>38751</v>
      </c>
      <c r="G376" s="132" t="s">
        <v>114</v>
      </c>
      <c r="H376" s="132" t="s">
        <v>1677</v>
      </c>
      <c r="I376" s="132" t="s">
        <v>263</v>
      </c>
      <c r="J376" s="132" t="s">
        <v>1854</v>
      </c>
      <c r="K376" s="440" t="str">
        <f>HYPERLINK("https://okcountyrecords.com/detail/roger+mills/2006-000870","OKCountyRecords: 2006-000870")</f>
        <v>OKCountyRecords: 2006-000870</v>
      </c>
      <c r="L376" s="133" t="s">
        <v>412</v>
      </c>
      <c r="M376" s="133" t="s">
        <v>641</v>
      </c>
      <c r="N376" s="133" t="s">
        <v>1683</v>
      </c>
      <c r="O376" s="133" t="s">
        <v>428</v>
      </c>
      <c r="P376" s="114" t="s">
        <v>8934</v>
      </c>
      <c r="Q376" s="114" t="s">
        <v>118</v>
      </c>
      <c r="R376" s="114" t="s">
        <v>89</v>
      </c>
      <c r="S376" s="114" t="s">
        <v>118</v>
      </c>
      <c r="T376" s="114" t="s">
        <v>89</v>
      </c>
      <c r="U376" s="114" t="s">
        <v>8901</v>
      </c>
      <c r="V376" s="114" t="s">
        <v>3072</v>
      </c>
      <c r="W376" s="114" t="s">
        <v>8906</v>
      </c>
      <c r="X376" s="114" t="s">
        <v>8873</v>
      </c>
      <c r="Y376" s="114" t="s">
        <v>9286</v>
      </c>
      <c r="Z376" s="114" t="s">
        <v>8858</v>
      </c>
      <c r="AA376" s="114" t="s">
        <v>9344</v>
      </c>
    </row>
    <row r="377" spans="1:28" ht="96" x14ac:dyDescent="0.2">
      <c r="A377" s="133" t="s">
        <v>1855</v>
      </c>
      <c r="B377" s="130">
        <v>58</v>
      </c>
      <c r="C377" s="130" t="s">
        <v>202</v>
      </c>
      <c r="D377" s="130" t="s">
        <v>364</v>
      </c>
      <c r="E377" s="131">
        <v>38733</v>
      </c>
      <c r="F377" s="131">
        <v>38747</v>
      </c>
      <c r="G377" s="132" t="s">
        <v>8810</v>
      </c>
      <c r="H377" s="132" t="s">
        <v>8816</v>
      </c>
      <c r="I377" s="132" t="s">
        <v>215</v>
      </c>
      <c r="J377" s="132" t="s">
        <v>9588</v>
      </c>
      <c r="K377" s="440" t="str">
        <f>HYPERLINK("https://okcountyrecords.com/detail/roger+mills/2006-000702","OKCountyRecords: 2006-000702")</f>
        <v>OKCountyRecords: 2006-000702</v>
      </c>
      <c r="L377" s="133" t="s">
        <v>1501</v>
      </c>
      <c r="M377" s="133" t="s">
        <v>1491</v>
      </c>
      <c r="N377" s="133"/>
      <c r="O377" s="133" t="s">
        <v>1492</v>
      </c>
      <c r="P377" s="114" t="s">
        <v>9209</v>
      </c>
      <c r="Q377" s="114" t="s">
        <v>89</v>
      </c>
      <c r="R377" s="114" t="s">
        <v>118</v>
      </c>
      <c r="S377" s="114" t="s">
        <v>89</v>
      </c>
      <c r="T377" s="114" t="s">
        <v>118</v>
      </c>
      <c r="U377" s="114" t="s">
        <v>8862</v>
      </c>
      <c r="V377" s="114" t="s">
        <v>3072</v>
      </c>
      <c r="W377" s="114" t="s">
        <v>9664</v>
      </c>
      <c r="X377" s="114" t="s">
        <v>2701</v>
      </c>
      <c r="Y377" s="114" t="s">
        <v>8851</v>
      </c>
      <c r="Z377" s="114" t="s">
        <v>2701</v>
      </c>
      <c r="AA377" s="114" t="s">
        <v>9345</v>
      </c>
      <c r="AB377" s="114" t="s">
        <v>8888</v>
      </c>
    </row>
    <row r="378" spans="1:28" ht="84" x14ac:dyDescent="0.2">
      <c r="A378" s="133" t="s">
        <v>1857</v>
      </c>
      <c r="B378" s="130">
        <v>62</v>
      </c>
      <c r="C378" s="130" t="s">
        <v>202</v>
      </c>
      <c r="D378" s="130" t="s">
        <v>373</v>
      </c>
      <c r="E378" s="131">
        <v>38734</v>
      </c>
      <c r="F378" s="131">
        <v>38824</v>
      </c>
      <c r="G378" s="132" t="s">
        <v>191</v>
      </c>
      <c r="H378" s="132" t="s">
        <v>8818</v>
      </c>
      <c r="I378" s="132" t="s">
        <v>375</v>
      </c>
      <c r="J378" s="132" t="s">
        <v>9589</v>
      </c>
      <c r="K378" s="440" t="str">
        <f>HYPERLINK("https://okcountyrecords.com/detail/roger+mills/2006-002915","OKCountyRecords: 2006-002915")</f>
        <v>OKCountyRecords: 2006-002915</v>
      </c>
      <c r="L378" s="133" t="s">
        <v>1501</v>
      </c>
      <c r="M378" s="133" t="s">
        <v>1491</v>
      </c>
      <c r="N378" s="133"/>
      <c r="O378" s="133" t="s">
        <v>1492</v>
      </c>
      <c r="P378" s="114" t="s">
        <v>9209</v>
      </c>
      <c r="Q378" s="114" t="s">
        <v>89</v>
      </c>
      <c r="R378" s="114" t="s">
        <v>118</v>
      </c>
      <c r="S378" s="114" t="s">
        <v>89</v>
      </c>
      <c r="T378" s="114" t="s">
        <v>118</v>
      </c>
      <c r="U378" s="114" t="s">
        <v>8901</v>
      </c>
      <c r="V378" s="114" t="s">
        <v>3072</v>
      </c>
      <c r="W378" s="114" t="s">
        <v>8864</v>
      </c>
      <c r="X378" s="114" t="s">
        <v>2701</v>
      </c>
      <c r="Y378" s="114" t="s">
        <v>8851</v>
      </c>
      <c r="Z378" s="114" t="s">
        <v>2701</v>
      </c>
      <c r="AA378" s="114" t="s">
        <v>9346</v>
      </c>
      <c r="AB378" s="114" t="s">
        <v>8888</v>
      </c>
    </row>
    <row r="379" spans="1:28" ht="60" x14ac:dyDescent="0.2">
      <c r="A379" s="133" t="s">
        <v>1859</v>
      </c>
      <c r="B379" s="130"/>
      <c r="C379" s="130" t="s">
        <v>1760</v>
      </c>
      <c r="D379" s="130" t="s">
        <v>1860</v>
      </c>
      <c r="E379" s="131">
        <v>38737</v>
      </c>
      <c r="F379" s="131">
        <v>38789</v>
      </c>
      <c r="G379" s="132" t="s">
        <v>1750</v>
      </c>
      <c r="H379" s="132" t="s">
        <v>8815</v>
      </c>
      <c r="I379" s="132" t="s">
        <v>332</v>
      </c>
      <c r="J379" s="132" t="s">
        <v>1861</v>
      </c>
      <c r="K379" s="440" t="str">
        <f>HYPERLINK("https://okcountyrecords.com/detail/roger+mills/2006-001930","OKCountyRecords: 2006-001930")</f>
        <v>OKCountyRecords: 2006-001930</v>
      </c>
      <c r="L379" s="133" t="s">
        <v>1501</v>
      </c>
      <c r="M379" s="133" t="s">
        <v>8756</v>
      </c>
      <c r="N379" s="133"/>
      <c r="O379" s="133" t="s">
        <v>1492</v>
      </c>
      <c r="P379" s="114" t="s">
        <v>9209</v>
      </c>
      <c r="Q379" s="114" t="s">
        <v>89</v>
      </c>
      <c r="R379" s="114" t="s">
        <v>118</v>
      </c>
      <c r="S379" s="114" t="s">
        <v>89</v>
      </c>
      <c r="T379" s="114" t="s">
        <v>118</v>
      </c>
      <c r="U379" s="114" t="s">
        <v>8986</v>
      </c>
      <c r="V379" s="114" t="s">
        <v>3072</v>
      </c>
      <c r="W379" s="114" t="s">
        <v>8906</v>
      </c>
      <c r="X379" s="114" t="s">
        <v>2701</v>
      </c>
      <c r="Y379" s="114" t="s">
        <v>8851</v>
      </c>
      <c r="Z379" s="114" t="s">
        <v>2701</v>
      </c>
      <c r="AA379" s="114" t="s">
        <v>9347</v>
      </c>
      <c r="AB379" s="114" t="s">
        <v>8853</v>
      </c>
    </row>
    <row r="380" spans="1:28" ht="60" x14ac:dyDescent="0.2">
      <c r="A380" s="133" t="s">
        <v>1862</v>
      </c>
      <c r="B380" s="130"/>
      <c r="C380" s="130" t="s">
        <v>1760</v>
      </c>
      <c r="D380" s="130" t="s">
        <v>1863</v>
      </c>
      <c r="E380" s="131">
        <v>38748</v>
      </c>
      <c r="F380" s="131">
        <v>38810</v>
      </c>
      <c r="G380" s="132" t="s">
        <v>119</v>
      </c>
      <c r="H380" s="132" t="s">
        <v>8815</v>
      </c>
      <c r="I380" s="132" t="s">
        <v>222</v>
      </c>
      <c r="J380" s="132" t="s">
        <v>1864</v>
      </c>
      <c r="K380" s="440" t="str">
        <f>HYPERLINK("https://okcountyrecords.com/detail/roger+mills/2006-002590","OKCountyRecords: 2006-002590")</f>
        <v>OKCountyRecords: 2006-002590</v>
      </c>
      <c r="L380" s="133" t="s">
        <v>1501</v>
      </c>
      <c r="M380" s="133" t="s">
        <v>8756</v>
      </c>
      <c r="N380" s="133"/>
      <c r="O380" s="133" t="s">
        <v>1492</v>
      </c>
      <c r="P380" s="114" t="s">
        <v>9209</v>
      </c>
      <c r="Q380" s="114" t="s">
        <v>89</v>
      </c>
      <c r="R380" s="114" t="s">
        <v>118</v>
      </c>
      <c r="S380" s="114" t="s">
        <v>89</v>
      </c>
      <c r="T380" s="114" t="s">
        <v>118</v>
      </c>
      <c r="U380" s="114" t="s">
        <v>8935</v>
      </c>
      <c r="V380" s="114" t="s">
        <v>2701</v>
      </c>
      <c r="W380" s="114" t="s">
        <v>8906</v>
      </c>
      <c r="X380" s="114" t="s">
        <v>2701</v>
      </c>
      <c r="Y380" s="114" t="s">
        <v>8851</v>
      </c>
      <c r="Z380" s="114" t="s">
        <v>2701</v>
      </c>
      <c r="AA380" s="114" t="s">
        <v>9348</v>
      </c>
      <c r="AB380" s="114" t="s">
        <v>8871</v>
      </c>
    </row>
    <row r="381" spans="1:28" ht="60" x14ac:dyDescent="0.2">
      <c r="A381" s="133" t="s">
        <v>1865</v>
      </c>
      <c r="B381" s="130"/>
      <c r="C381" s="130" t="s">
        <v>1760</v>
      </c>
      <c r="D381" s="130" t="s">
        <v>1866</v>
      </c>
      <c r="E381" s="131">
        <v>38748</v>
      </c>
      <c r="F381" s="131">
        <v>38765</v>
      </c>
      <c r="G381" s="132" t="s">
        <v>343</v>
      </c>
      <c r="H381" s="132" t="s">
        <v>8819</v>
      </c>
      <c r="I381" s="132" t="s">
        <v>1868</v>
      </c>
      <c r="J381" s="132" t="s">
        <v>1869</v>
      </c>
      <c r="K381" s="440" t="str">
        <f>HYPERLINK("https://okcountyrecords.com/detail/roger+mills/2006-001349","OKCountyRecords: 2006-001349")</f>
        <v>OKCountyRecords: 2006-001349</v>
      </c>
      <c r="L381" s="133" t="s">
        <v>1501</v>
      </c>
      <c r="M381" s="133" t="s">
        <v>8756</v>
      </c>
      <c r="N381" s="133"/>
      <c r="O381" s="133" t="s">
        <v>1492</v>
      </c>
      <c r="P381" s="114" t="s">
        <v>9209</v>
      </c>
      <c r="Q381" s="114" t="s">
        <v>89</v>
      </c>
      <c r="R381" s="114" t="s">
        <v>118</v>
      </c>
      <c r="S381" s="114" t="s">
        <v>89</v>
      </c>
      <c r="T381" s="114" t="s">
        <v>118</v>
      </c>
      <c r="U381" s="114" t="s">
        <v>9349</v>
      </c>
      <c r="V381" s="114" t="s">
        <v>2701</v>
      </c>
      <c r="W381" s="114" t="s">
        <v>8906</v>
      </c>
      <c r="X381" s="114" t="s">
        <v>2701</v>
      </c>
      <c r="Y381" s="114" t="s">
        <v>8851</v>
      </c>
      <c r="Z381" s="114" t="s">
        <v>2701</v>
      </c>
      <c r="AA381" s="114" t="s">
        <v>9350</v>
      </c>
      <c r="AB381" s="114" t="s">
        <v>8871</v>
      </c>
    </row>
    <row r="382" spans="1:28" ht="60" x14ac:dyDescent="0.2">
      <c r="A382" s="133" t="s">
        <v>1871</v>
      </c>
      <c r="B382" s="130"/>
      <c r="C382" s="130" t="s">
        <v>1872</v>
      </c>
      <c r="D382" s="130" t="s">
        <v>1873</v>
      </c>
      <c r="E382" s="131">
        <v>38757</v>
      </c>
      <c r="F382" s="131">
        <v>38804</v>
      </c>
      <c r="G382" s="132" t="s">
        <v>1529</v>
      </c>
      <c r="H382" s="132" t="s">
        <v>1874</v>
      </c>
      <c r="I382" s="132" t="s">
        <v>215</v>
      </c>
      <c r="J382" s="132" t="s">
        <v>1875</v>
      </c>
      <c r="K382" s="440" t="str">
        <f>HYPERLINK("https://okcountyrecords.com/detail/roger+mills/2006-002339","OKCountyRecords: 2006-002339")</f>
        <v>OKCountyRecords: 2006-002339</v>
      </c>
      <c r="L382" s="133" t="s">
        <v>1501</v>
      </c>
      <c r="M382" s="133" t="s">
        <v>8756</v>
      </c>
      <c r="N382" s="133"/>
      <c r="O382" s="133" t="s">
        <v>1492</v>
      </c>
      <c r="P382" s="114" t="s">
        <v>9209</v>
      </c>
      <c r="Q382" s="114" t="s">
        <v>89</v>
      </c>
      <c r="R382" s="114" t="s">
        <v>118</v>
      </c>
      <c r="S382" s="114" t="s">
        <v>89</v>
      </c>
      <c r="T382" s="114" t="s">
        <v>118</v>
      </c>
      <c r="U382" s="114" t="s">
        <v>8862</v>
      </c>
      <c r="V382" s="114" t="s">
        <v>3072</v>
      </c>
      <c r="W382" s="114" t="s">
        <v>8906</v>
      </c>
      <c r="X382" s="114" t="s">
        <v>2701</v>
      </c>
      <c r="Y382" s="114" t="s">
        <v>8851</v>
      </c>
      <c r="Z382" s="114" t="s">
        <v>2701</v>
      </c>
      <c r="AA382" s="114" t="s">
        <v>9351</v>
      </c>
      <c r="AB382" s="114" t="s">
        <v>8853</v>
      </c>
    </row>
    <row r="383" spans="1:28" ht="48" x14ac:dyDescent="0.2">
      <c r="A383" s="133" t="s">
        <v>1876</v>
      </c>
      <c r="B383" s="130"/>
      <c r="C383" s="130" t="s">
        <v>1456</v>
      </c>
      <c r="D383" s="130" t="s">
        <v>1877</v>
      </c>
      <c r="E383" s="131">
        <v>38760</v>
      </c>
      <c r="F383" s="131">
        <v>39833</v>
      </c>
      <c r="G383" s="132" t="s">
        <v>1750</v>
      </c>
      <c r="H383" s="132" t="s">
        <v>8815</v>
      </c>
      <c r="I383" s="132" t="s">
        <v>1878</v>
      </c>
      <c r="J383" s="132" t="s">
        <v>1879</v>
      </c>
      <c r="K383" s="440" t="str">
        <f>HYPERLINK("https://okcountyrecords.com/detail/roger+mills/2009-000273","OKCountyRecords: 2009-000273")</f>
        <v>OKCountyRecords: 2009-000273</v>
      </c>
      <c r="L383" s="133" t="s">
        <v>1501</v>
      </c>
      <c r="M383" s="133" t="s">
        <v>8756</v>
      </c>
      <c r="N383" s="133"/>
      <c r="O383" s="133" t="s">
        <v>1532</v>
      </c>
      <c r="P383" s="114" t="s">
        <v>9043</v>
      </c>
      <c r="Q383" s="114" t="s">
        <v>2701</v>
      </c>
      <c r="R383" s="114" t="s">
        <v>118</v>
      </c>
      <c r="S383" s="114" t="s">
        <v>2701</v>
      </c>
      <c r="T383" s="114" t="s">
        <v>118</v>
      </c>
      <c r="U383" s="114" t="s">
        <v>8901</v>
      </c>
      <c r="V383" s="114" t="s">
        <v>3072</v>
      </c>
      <c r="W383" s="114" t="s">
        <v>8906</v>
      </c>
      <c r="X383" s="114" t="s">
        <v>2701</v>
      </c>
      <c r="Y383" s="114" t="s">
        <v>8851</v>
      </c>
      <c r="Z383" s="114" t="s">
        <v>2701</v>
      </c>
      <c r="AA383" s="114" t="s">
        <v>9352</v>
      </c>
      <c r="AB383" s="114" t="s">
        <v>8853</v>
      </c>
    </row>
    <row r="384" spans="1:28" ht="84" x14ac:dyDescent="0.2">
      <c r="A384" s="133" t="s">
        <v>1881</v>
      </c>
      <c r="B384" s="130">
        <v>61</v>
      </c>
      <c r="C384" s="130" t="s">
        <v>202</v>
      </c>
      <c r="D384" s="130" t="s">
        <v>371</v>
      </c>
      <c r="E384" s="131">
        <v>38760</v>
      </c>
      <c r="F384" s="131">
        <v>38792</v>
      </c>
      <c r="G384" s="132" t="s">
        <v>8811</v>
      </c>
      <c r="H384" s="132" t="s">
        <v>8816</v>
      </c>
      <c r="I384" s="132" t="s">
        <v>222</v>
      </c>
      <c r="J384" s="132" t="s">
        <v>8706</v>
      </c>
      <c r="K384" s="440" t="str">
        <f>HYPERLINK("https://okcountyrecords.com/detail/roger+mills/2006-002044","OKCountyRecords: 2006-002044")</f>
        <v>OKCountyRecords: 2006-002044</v>
      </c>
      <c r="L384" s="133" t="s">
        <v>1501</v>
      </c>
      <c r="M384" s="133" t="s">
        <v>1491</v>
      </c>
      <c r="N384" s="133"/>
      <c r="O384" s="133" t="s">
        <v>422</v>
      </c>
      <c r="P384" s="114" t="s">
        <v>9209</v>
      </c>
      <c r="Q384" s="114" t="s">
        <v>89</v>
      </c>
      <c r="R384" s="114" t="s">
        <v>118</v>
      </c>
      <c r="S384" s="114" t="s">
        <v>89</v>
      </c>
      <c r="T384" s="114" t="s">
        <v>118</v>
      </c>
      <c r="U384" s="114" t="s">
        <v>8935</v>
      </c>
      <c r="V384" s="114" t="s">
        <v>2701</v>
      </c>
      <c r="W384" s="114" t="s">
        <v>8864</v>
      </c>
      <c r="X384" s="114" t="s">
        <v>2701</v>
      </c>
      <c r="Y384" s="114" t="s">
        <v>8851</v>
      </c>
      <c r="Z384" s="114" t="s">
        <v>2701</v>
      </c>
      <c r="AA384" s="114" t="s">
        <v>9353</v>
      </c>
      <c r="AB384" s="114" t="s">
        <v>9139</v>
      </c>
    </row>
    <row r="385" spans="1:28" ht="60" x14ac:dyDescent="0.2">
      <c r="A385" s="133" t="s">
        <v>1883</v>
      </c>
      <c r="B385" s="130"/>
      <c r="C385" s="130" t="s">
        <v>1760</v>
      </c>
      <c r="D385" s="130" t="s">
        <v>1884</v>
      </c>
      <c r="E385" s="131">
        <v>38769</v>
      </c>
      <c r="F385" s="131">
        <v>38863</v>
      </c>
      <c r="G385" s="132" t="s">
        <v>1750</v>
      </c>
      <c r="H385" s="132" t="s">
        <v>8815</v>
      </c>
      <c r="I385" s="132" t="s">
        <v>222</v>
      </c>
      <c r="J385" s="132" t="s">
        <v>1885</v>
      </c>
      <c r="K385" s="440" t="str">
        <f>HYPERLINK("https://okcountyrecords.com/detail/roger+mills/2006-003963","OKCountyRecords: 2006-003963")</f>
        <v>OKCountyRecords: 2006-003963</v>
      </c>
      <c r="L385" s="133" t="s">
        <v>1501</v>
      </c>
      <c r="M385" s="133" t="s">
        <v>8756</v>
      </c>
      <c r="N385" s="133"/>
      <c r="O385" s="133" t="s">
        <v>1492</v>
      </c>
      <c r="P385" s="114" t="s">
        <v>9209</v>
      </c>
      <c r="Q385" s="114" t="s">
        <v>89</v>
      </c>
      <c r="R385" s="114" t="s">
        <v>118</v>
      </c>
      <c r="S385" s="114" t="s">
        <v>89</v>
      </c>
      <c r="T385" s="114" t="s">
        <v>118</v>
      </c>
      <c r="U385" s="114" t="s">
        <v>8935</v>
      </c>
      <c r="V385" s="114" t="s">
        <v>2701</v>
      </c>
      <c r="W385" s="114" t="s">
        <v>8906</v>
      </c>
      <c r="X385" s="114" t="s">
        <v>2701</v>
      </c>
      <c r="Y385" s="114" t="s">
        <v>8851</v>
      </c>
      <c r="Z385" s="114" t="s">
        <v>2701</v>
      </c>
      <c r="AA385" s="114" t="s">
        <v>9354</v>
      </c>
      <c r="AB385" s="114" t="s">
        <v>8871</v>
      </c>
    </row>
    <row r="386" spans="1:28" ht="72" x14ac:dyDescent="0.2">
      <c r="A386" s="133" t="s">
        <v>1886</v>
      </c>
      <c r="B386" s="130"/>
      <c r="C386" s="130" t="s">
        <v>1887</v>
      </c>
      <c r="D386" s="130" t="s">
        <v>1888</v>
      </c>
      <c r="E386" s="131">
        <v>38798</v>
      </c>
      <c r="F386" s="131">
        <v>39262</v>
      </c>
      <c r="G386" s="132" t="s">
        <v>262</v>
      </c>
      <c r="H386" s="132" t="s">
        <v>1889</v>
      </c>
      <c r="I386" s="132" t="s">
        <v>215</v>
      </c>
      <c r="J386" s="132" t="s">
        <v>9590</v>
      </c>
      <c r="K386" s="440" t="str">
        <f>HYPERLINK("https://okcountyrecords.com/detail/roger+mills/2007-002804","OKCountyRecords: 2007-002804")</f>
        <v>OKCountyRecords: 2007-002804</v>
      </c>
      <c r="L386" s="133" t="s">
        <v>1501</v>
      </c>
      <c r="M386" s="133" t="s">
        <v>8756</v>
      </c>
      <c r="N386" s="133"/>
      <c r="O386" s="133" t="s">
        <v>1492</v>
      </c>
      <c r="P386" s="114" t="s">
        <v>9209</v>
      </c>
      <c r="Q386" s="114" t="s">
        <v>89</v>
      </c>
      <c r="R386" s="114" t="s">
        <v>118</v>
      </c>
      <c r="S386" s="114" t="s">
        <v>89</v>
      </c>
      <c r="T386" s="114" t="s">
        <v>118</v>
      </c>
      <c r="U386" s="114" t="s">
        <v>8862</v>
      </c>
      <c r="V386" s="114" t="s">
        <v>3072</v>
      </c>
      <c r="W386" s="114" t="s">
        <v>8906</v>
      </c>
      <c r="X386" s="114" t="s">
        <v>2701</v>
      </c>
      <c r="Y386" s="114" t="s">
        <v>8851</v>
      </c>
      <c r="Z386" s="114" t="s">
        <v>2701</v>
      </c>
      <c r="AA386" s="114" t="s">
        <v>9355</v>
      </c>
      <c r="AB386" s="114" t="s">
        <v>8853</v>
      </c>
    </row>
    <row r="387" spans="1:28" ht="60" x14ac:dyDescent="0.2">
      <c r="A387" s="133" t="s">
        <v>1891</v>
      </c>
      <c r="B387" s="130"/>
      <c r="C387" s="130" t="s">
        <v>1892</v>
      </c>
      <c r="D387" s="130" t="s">
        <v>1893</v>
      </c>
      <c r="E387" s="131">
        <v>38798</v>
      </c>
      <c r="F387" s="131">
        <v>38813</v>
      </c>
      <c r="G387" s="132" t="s">
        <v>262</v>
      </c>
      <c r="H387" s="132" t="s">
        <v>8820</v>
      </c>
      <c r="I387" s="132" t="s">
        <v>215</v>
      </c>
      <c r="J387" s="132" t="s">
        <v>1895</v>
      </c>
      <c r="K387" s="440" t="str">
        <f>HYPERLINK("https://okcountyrecords.com/detail/roger+mills/2006-002685","OKCountyRecords: 2006-002685")</f>
        <v>OKCountyRecords: 2006-002685</v>
      </c>
      <c r="L387" s="133" t="s">
        <v>1501</v>
      </c>
      <c r="M387" s="133" t="s">
        <v>8756</v>
      </c>
      <c r="N387" s="133"/>
      <c r="O387" s="133" t="s">
        <v>1492</v>
      </c>
      <c r="P387" s="114" t="s">
        <v>9209</v>
      </c>
      <c r="Q387" s="114" t="s">
        <v>89</v>
      </c>
      <c r="R387" s="114" t="s">
        <v>118</v>
      </c>
      <c r="S387" s="114" t="s">
        <v>89</v>
      </c>
      <c r="T387" s="114" t="s">
        <v>118</v>
      </c>
      <c r="U387" s="114" t="s">
        <v>8862</v>
      </c>
      <c r="V387" s="114" t="s">
        <v>3072</v>
      </c>
      <c r="W387" s="114" t="s">
        <v>8906</v>
      </c>
      <c r="X387" s="114" t="s">
        <v>2701</v>
      </c>
      <c r="Y387" s="114" t="s">
        <v>8851</v>
      </c>
      <c r="Z387" s="114" t="s">
        <v>2701</v>
      </c>
      <c r="AA387" s="114" t="s">
        <v>9356</v>
      </c>
      <c r="AB387" s="114" t="s">
        <v>8853</v>
      </c>
    </row>
    <row r="388" spans="1:28" ht="48" x14ac:dyDescent="0.2">
      <c r="A388" s="133" t="s">
        <v>1896</v>
      </c>
      <c r="B388" s="130"/>
      <c r="C388" s="130" t="s">
        <v>619</v>
      </c>
      <c r="D388" s="130" t="s">
        <v>1897</v>
      </c>
      <c r="E388" s="131">
        <v>38855</v>
      </c>
      <c r="F388" s="131">
        <v>38856</v>
      </c>
      <c r="G388" s="132" t="s">
        <v>1898</v>
      </c>
      <c r="H388" s="132" t="s">
        <v>1899</v>
      </c>
      <c r="I388" s="132" t="s">
        <v>1280</v>
      </c>
      <c r="J388" s="132" t="s">
        <v>1900</v>
      </c>
      <c r="K388" s="440" t="str">
        <f>HYPERLINK("https://okcountyrecords.com/detail/roger+mills/2006-003765","OKCountyRecords: 2006-003765")</f>
        <v>OKCountyRecords: 2006-003765</v>
      </c>
      <c r="L388" s="133" t="s">
        <v>412</v>
      </c>
      <c r="M388" s="133" t="s">
        <v>405</v>
      </c>
      <c r="N388" s="133"/>
      <c r="O388" s="133" t="s">
        <v>422</v>
      </c>
      <c r="P388" s="114" t="s">
        <v>8934</v>
      </c>
      <c r="Q388" s="114" t="s">
        <v>118</v>
      </c>
      <c r="R388" s="114" t="s">
        <v>89</v>
      </c>
      <c r="S388" s="114" t="s">
        <v>118</v>
      </c>
      <c r="T388" s="114" t="s">
        <v>89</v>
      </c>
      <c r="U388" s="114" t="s">
        <v>8862</v>
      </c>
      <c r="V388" s="114" t="s">
        <v>3072</v>
      </c>
      <c r="W388" s="114" t="s">
        <v>8864</v>
      </c>
      <c r="X388" s="114" t="s">
        <v>8865</v>
      </c>
      <c r="Y388" s="114" t="s">
        <v>8857</v>
      </c>
      <c r="Z388" s="114" t="s">
        <v>8858</v>
      </c>
      <c r="AA388" s="114" t="s">
        <v>9357</v>
      </c>
      <c r="AB388" s="114" t="s">
        <v>8867</v>
      </c>
    </row>
    <row r="389" spans="1:28" ht="48" x14ac:dyDescent="0.2">
      <c r="A389" s="133" t="s">
        <v>1901</v>
      </c>
      <c r="B389" s="130"/>
      <c r="C389" s="130" t="s">
        <v>1902</v>
      </c>
      <c r="D389" s="130" t="s">
        <v>1903</v>
      </c>
      <c r="E389" s="131">
        <v>38861</v>
      </c>
      <c r="F389" s="131">
        <v>38961</v>
      </c>
      <c r="G389" s="132" t="s">
        <v>1904</v>
      </c>
      <c r="H389" s="132" t="s">
        <v>1905</v>
      </c>
      <c r="I389" s="132" t="s">
        <v>1280</v>
      </c>
      <c r="J389" s="132" t="s">
        <v>63</v>
      </c>
      <c r="K389" s="440" t="str">
        <f>HYPERLINK("https://okcountyrecords.com/detail/roger+mills/2006-006122","OKCountyRecords: 2006-006122")</f>
        <v>OKCountyRecords: 2006-006122</v>
      </c>
      <c r="L389" s="133" t="s">
        <v>8708</v>
      </c>
      <c r="M389" s="133" t="s">
        <v>405</v>
      </c>
      <c r="N389" s="133"/>
      <c r="O389" s="133" t="s">
        <v>422</v>
      </c>
      <c r="P389" s="114" t="s">
        <v>8903</v>
      </c>
      <c r="Q389" s="114" t="s">
        <v>2701</v>
      </c>
      <c r="R389" s="114" t="s">
        <v>2701</v>
      </c>
      <c r="S389" s="114" t="s">
        <v>2701</v>
      </c>
      <c r="T389" s="114" t="s">
        <v>2701</v>
      </c>
      <c r="U389" s="114" t="s">
        <v>8862</v>
      </c>
      <c r="V389" s="114" t="s">
        <v>3072</v>
      </c>
      <c r="W389" s="114" t="s">
        <v>9654</v>
      </c>
      <c r="X389" s="114" t="s">
        <v>2701</v>
      </c>
      <c r="Y389" s="114" t="s">
        <v>8851</v>
      </c>
      <c r="Z389" s="114" t="s">
        <v>2701</v>
      </c>
      <c r="AA389" s="114" t="s">
        <v>9358</v>
      </c>
      <c r="AB389" s="114" t="s">
        <v>8905</v>
      </c>
    </row>
    <row r="390" spans="1:28" ht="48" x14ac:dyDescent="0.2">
      <c r="A390" s="133" t="s">
        <v>1906</v>
      </c>
      <c r="B390" s="130"/>
      <c r="C390" s="130" t="s">
        <v>1907</v>
      </c>
      <c r="D390" s="130" t="s">
        <v>1908</v>
      </c>
      <c r="E390" s="131">
        <v>38861</v>
      </c>
      <c r="F390" s="131">
        <v>39162</v>
      </c>
      <c r="G390" s="132" t="s">
        <v>1909</v>
      </c>
      <c r="H390" s="132" t="s">
        <v>1910</v>
      </c>
      <c r="I390" s="132" t="s">
        <v>1911</v>
      </c>
      <c r="J390" s="132" t="s">
        <v>1912</v>
      </c>
      <c r="K390" s="440" t="str">
        <f>HYPERLINK("https://okcountyrecords.com/detail/roger+mills/2007-001310","OKCountyRecords: 2007-001310")</f>
        <v>OKCountyRecords: 2007-001310</v>
      </c>
      <c r="L390" s="133" t="s">
        <v>1914</v>
      </c>
      <c r="M390" s="133"/>
      <c r="N390" s="133"/>
      <c r="O390" s="133" t="s">
        <v>1912</v>
      </c>
      <c r="P390" s="114" t="s">
        <v>9359</v>
      </c>
      <c r="Q390" s="114" t="s">
        <v>89</v>
      </c>
      <c r="R390" s="114" t="s">
        <v>2701</v>
      </c>
      <c r="S390" s="114" t="s">
        <v>89</v>
      </c>
      <c r="T390" s="114" t="s">
        <v>118</v>
      </c>
      <c r="U390" s="114" t="s">
        <v>9289</v>
      </c>
      <c r="V390" s="114" t="s">
        <v>2701</v>
      </c>
      <c r="W390" s="114" t="s">
        <v>8864</v>
      </c>
      <c r="X390" s="114" t="s">
        <v>2701</v>
      </c>
      <c r="Y390" s="114" t="s">
        <v>8851</v>
      </c>
      <c r="Z390" s="114" t="s">
        <v>2701</v>
      </c>
      <c r="AA390" s="114" t="s">
        <v>9360</v>
      </c>
      <c r="AB390" s="114" t="s">
        <v>9139</v>
      </c>
    </row>
    <row r="391" spans="1:28" ht="409.5" x14ac:dyDescent="0.2">
      <c r="A391" s="133" t="s">
        <v>1915</v>
      </c>
      <c r="B391" s="130"/>
      <c r="C391" s="130" t="s">
        <v>1892</v>
      </c>
      <c r="D391" s="130" t="s">
        <v>1916</v>
      </c>
      <c r="E391" s="131">
        <v>38862</v>
      </c>
      <c r="F391" s="131">
        <v>38867</v>
      </c>
      <c r="G391" s="132" t="s">
        <v>1917</v>
      </c>
      <c r="H391" s="132" t="s">
        <v>8821</v>
      </c>
      <c r="I391" s="132" t="s">
        <v>215</v>
      </c>
      <c r="J391" s="132" t="s">
        <v>1918</v>
      </c>
      <c r="K391" s="440" t="str">
        <f>HYPERLINK("https://okcountyrecords.com/detail/roger+mills/2006-003993","OKCountyRecords: 2006-003993")</f>
        <v>OKCountyRecords: 2006-003993</v>
      </c>
      <c r="L391" s="133" t="s">
        <v>1501</v>
      </c>
      <c r="M391" s="133" t="s">
        <v>8756</v>
      </c>
      <c r="N391" s="133"/>
      <c r="O391" s="133" t="s">
        <v>1492</v>
      </c>
      <c r="P391" s="114" t="s">
        <v>9209</v>
      </c>
      <c r="Q391" s="114" t="s">
        <v>89</v>
      </c>
      <c r="R391" s="114" t="s">
        <v>118</v>
      </c>
      <c r="S391" s="114" t="s">
        <v>89</v>
      </c>
      <c r="T391" s="114" t="s">
        <v>118</v>
      </c>
      <c r="U391" s="114" t="s">
        <v>8862</v>
      </c>
      <c r="V391" s="114" t="s">
        <v>3072</v>
      </c>
      <c r="W391" s="114" t="s">
        <v>8906</v>
      </c>
      <c r="X391" s="114" t="s">
        <v>2701</v>
      </c>
      <c r="Y391" s="114" t="s">
        <v>8851</v>
      </c>
      <c r="Z391" s="114" t="s">
        <v>2701</v>
      </c>
      <c r="AA391" s="114" t="s">
        <v>9361</v>
      </c>
      <c r="AB391" s="114" t="s">
        <v>8853</v>
      </c>
    </row>
    <row r="392" spans="1:28" ht="48" x14ac:dyDescent="0.2">
      <c r="A392" s="133" t="s">
        <v>1919</v>
      </c>
      <c r="B392" s="130"/>
      <c r="C392" s="130" t="s">
        <v>1920</v>
      </c>
      <c r="D392" s="130" t="s">
        <v>1921</v>
      </c>
      <c r="E392" s="131">
        <v>38869</v>
      </c>
      <c r="F392" s="131">
        <v>38915</v>
      </c>
      <c r="G392" s="132" t="s">
        <v>1922</v>
      </c>
      <c r="H392" s="132" t="s">
        <v>102</v>
      </c>
      <c r="I392" s="132" t="s">
        <v>883</v>
      </c>
      <c r="J392" s="132" t="s">
        <v>1923</v>
      </c>
      <c r="K392" s="440" t="str">
        <f>HYPERLINK("https://okcountyrecords.com/detail/roger+mills/2006-005146","OKCountyRecords: 2006-005146")</f>
        <v>OKCountyRecords: 2006-005146</v>
      </c>
      <c r="L392" s="133" t="s">
        <v>1501</v>
      </c>
      <c r="M392" s="133" t="s">
        <v>467</v>
      </c>
      <c r="N392" s="133" t="s">
        <v>504</v>
      </c>
      <c r="O392" s="133" t="s">
        <v>422</v>
      </c>
      <c r="P392" s="114" t="s">
        <v>8886</v>
      </c>
      <c r="Q392" s="114" t="s">
        <v>118</v>
      </c>
      <c r="R392" s="114" t="s">
        <v>89</v>
      </c>
      <c r="S392" s="114" t="s">
        <v>118</v>
      </c>
      <c r="T392" s="114" t="s">
        <v>89</v>
      </c>
      <c r="U392" s="114" t="s">
        <v>8986</v>
      </c>
      <c r="V392" s="114" t="s">
        <v>3072</v>
      </c>
      <c r="W392" s="114" t="s">
        <v>8864</v>
      </c>
      <c r="X392" s="114" t="s">
        <v>8856</v>
      </c>
      <c r="Y392" s="114" t="s">
        <v>8851</v>
      </c>
      <c r="Z392" s="114" t="s">
        <v>2701</v>
      </c>
      <c r="AA392" s="114" t="s">
        <v>9362</v>
      </c>
      <c r="AB392" s="114" t="s">
        <v>8888</v>
      </c>
    </row>
    <row r="393" spans="1:28" ht="108" x14ac:dyDescent="0.2">
      <c r="A393" s="133" t="s">
        <v>1924</v>
      </c>
      <c r="B393" s="130"/>
      <c r="C393" s="130" t="s">
        <v>1925</v>
      </c>
      <c r="D393" s="130" t="s">
        <v>1926</v>
      </c>
      <c r="E393" s="131">
        <v>38890</v>
      </c>
      <c r="F393" s="131">
        <v>38897</v>
      </c>
      <c r="G393" s="132" t="s">
        <v>1927</v>
      </c>
      <c r="H393" s="132" t="s">
        <v>1928</v>
      </c>
      <c r="I393" s="132" t="s">
        <v>215</v>
      </c>
      <c r="J393" s="132" t="s">
        <v>1929</v>
      </c>
      <c r="K393" s="440" t="str">
        <f>HYPERLINK("https://okcountyrecords.com/detail/roger+mills/2006-004747","OKCountyRecords: 2006-004747")</f>
        <v>OKCountyRecords: 2006-004747</v>
      </c>
      <c r="L393" s="133" t="s">
        <v>1501</v>
      </c>
      <c r="M393" s="133" t="s">
        <v>8756</v>
      </c>
      <c r="N393" s="133"/>
      <c r="O393" s="133" t="s">
        <v>1492</v>
      </c>
      <c r="P393" s="114" t="s">
        <v>9209</v>
      </c>
      <c r="Q393" s="114" t="s">
        <v>89</v>
      </c>
      <c r="R393" s="114" t="s">
        <v>118</v>
      </c>
      <c r="S393" s="114" t="s">
        <v>89</v>
      </c>
      <c r="T393" s="114" t="s">
        <v>118</v>
      </c>
      <c r="U393" s="114" t="s">
        <v>8862</v>
      </c>
      <c r="V393" s="114" t="s">
        <v>3072</v>
      </c>
      <c r="W393" s="114" t="s">
        <v>8864</v>
      </c>
      <c r="X393" s="114" t="s">
        <v>2701</v>
      </c>
      <c r="Y393" s="114" t="s">
        <v>8851</v>
      </c>
      <c r="Z393" s="114" t="s">
        <v>2701</v>
      </c>
      <c r="AA393" s="114" t="s">
        <v>9363</v>
      </c>
      <c r="AB393" s="114" t="s">
        <v>8888</v>
      </c>
    </row>
    <row r="394" spans="1:28" ht="60" x14ac:dyDescent="0.2">
      <c r="A394" s="133" t="s">
        <v>1930</v>
      </c>
      <c r="B394" s="130"/>
      <c r="C394" s="130" t="s">
        <v>1872</v>
      </c>
      <c r="D394" s="130" t="s">
        <v>1931</v>
      </c>
      <c r="E394" s="131">
        <v>38905</v>
      </c>
      <c r="F394" s="131">
        <v>38911</v>
      </c>
      <c r="G394" s="132" t="s">
        <v>1932</v>
      </c>
      <c r="H394" s="132" t="s">
        <v>8822</v>
      </c>
      <c r="I394" s="132" t="s">
        <v>215</v>
      </c>
      <c r="J394" s="132" t="s">
        <v>1934</v>
      </c>
      <c r="K394" s="440" t="str">
        <f>HYPERLINK("https://okcountyrecords.com/detail/roger+mills/2006-005043","OKCountyRecords: 2006-005043")</f>
        <v>OKCountyRecords: 2006-005043</v>
      </c>
      <c r="L394" s="133" t="s">
        <v>1501</v>
      </c>
      <c r="M394" s="133" t="s">
        <v>8756</v>
      </c>
      <c r="N394" s="133"/>
      <c r="O394" s="133" t="s">
        <v>1492</v>
      </c>
      <c r="P394" s="114" t="s">
        <v>9209</v>
      </c>
      <c r="Q394" s="114" t="s">
        <v>89</v>
      </c>
      <c r="R394" s="114" t="s">
        <v>118</v>
      </c>
      <c r="S394" s="114" t="s">
        <v>89</v>
      </c>
      <c r="T394" s="114" t="s">
        <v>118</v>
      </c>
      <c r="U394" s="114" t="s">
        <v>8862</v>
      </c>
      <c r="V394" s="114" t="s">
        <v>3072</v>
      </c>
      <c r="W394" s="114" t="s">
        <v>8864</v>
      </c>
      <c r="X394" s="114" t="s">
        <v>2701</v>
      </c>
      <c r="Y394" s="114" t="s">
        <v>8851</v>
      </c>
      <c r="Z394" s="114" t="s">
        <v>2701</v>
      </c>
      <c r="AA394" s="114" t="s">
        <v>9364</v>
      </c>
      <c r="AB394" s="114" t="s">
        <v>8888</v>
      </c>
    </row>
    <row r="395" spans="1:28" ht="384" x14ac:dyDescent="0.2">
      <c r="A395" s="133" t="s">
        <v>1935</v>
      </c>
      <c r="B395" s="130"/>
      <c r="C395" s="130" t="s">
        <v>1872</v>
      </c>
      <c r="D395" s="130" t="s">
        <v>1936</v>
      </c>
      <c r="E395" s="131">
        <v>38909</v>
      </c>
      <c r="F395" s="131"/>
      <c r="G395" s="132" t="s">
        <v>1937</v>
      </c>
      <c r="H395" s="132" t="s">
        <v>8823</v>
      </c>
      <c r="I395" s="132" t="s">
        <v>215</v>
      </c>
      <c r="J395" s="132" t="s">
        <v>9591</v>
      </c>
      <c r="K395" s="329" t="s">
        <v>1939</v>
      </c>
      <c r="L395" s="133" t="s">
        <v>1501</v>
      </c>
      <c r="M395" s="133" t="s">
        <v>8709</v>
      </c>
      <c r="N395" s="133" t="s">
        <v>1940</v>
      </c>
      <c r="O395" s="133" t="s">
        <v>1492</v>
      </c>
      <c r="P395" s="114" t="s">
        <v>9209</v>
      </c>
      <c r="Q395" s="114" t="s">
        <v>89</v>
      </c>
      <c r="R395" s="114" t="s">
        <v>118</v>
      </c>
      <c r="S395" s="114" t="s">
        <v>89</v>
      </c>
      <c r="T395" s="114" t="s">
        <v>118</v>
      </c>
      <c r="U395" s="114" t="s">
        <v>8862</v>
      </c>
      <c r="V395" s="114" t="s">
        <v>3072</v>
      </c>
      <c r="W395" s="114" t="s">
        <v>8864</v>
      </c>
      <c r="X395" s="114" t="s">
        <v>2701</v>
      </c>
      <c r="Y395" s="114" t="s">
        <v>8857</v>
      </c>
      <c r="Z395" s="114" t="s">
        <v>8858</v>
      </c>
      <c r="AA395" s="114" t="s">
        <v>9365</v>
      </c>
      <c r="AB395" s="114" t="s">
        <v>8867</v>
      </c>
    </row>
    <row r="396" spans="1:28" ht="48" x14ac:dyDescent="0.2">
      <c r="A396" s="133" t="s">
        <v>1941</v>
      </c>
      <c r="B396" s="130"/>
      <c r="C396" s="130" t="s">
        <v>1872</v>
      </c>
      <c r="D396" s="130" t="s">
        <v>1942</v>
      </c>
      <c r="E396" s="131">
        <v>38909</v>
      </c>
      <c r="F396" s="131">
        <v>38912</v>
      </c>
      <c r="G396" s="132" t="s">
        <v>1937</v>
      </c>
      <c r="H396" s="132" t="s">
        <v>8823</v>
      </c>
      <c r="I396" s="132" t="s">
        <v>215</v>
      </c>
      <c r="J396" s="132" t="s">
        <v>1934</v>
      </c>
      <c r="K396" s="440" t="str">
        <f>HYPERLINK("https://okcountyrecords.com/detail/roger+mills/2006-005081","OKCountyRecords: 2006-005081")</f>
        <v>OKCountyRecords: 2006-005081</v>
      </c>
      <c r="L396" s="133" t="s">
        <v>1501</v>
      </c>
      <c r="M396" s="133" t="s">
        <v>641</v>
      </c>
      <c r="N396" s="133" t="s">
        <v>8720</v>
      </c>
      <c r="O396" s="133" t="s">
        <v>1492</v>
      </c>
      <c r="P396" s="114" t="s">
        <v>9209</v>
      </c>
      <c r="Q396" s="114" t="s">
        <v>89</v>
      </c>
      <c r="R396" s="114" t="s">
        <v>118</v>
      </c>
      <c r="S396" s="114" t="s">
        <v>89</v>
      </c>
      <c r="T396" s="114" t="s">
        <v>118</v>
      </c>
      <c r="U396" s="114" t="s">
        <v>8862</v>
      </c>
      <c r="V396" s="114" t="s">
        <v>3072</v>
      </c>
      <c r="W396" s="114" t="s">
        <v>8864</v>
      </c>
      <c r="X396" s="114" t="s">
        <v>2701</v>
      </c>
      <c r="Y396" s="114" t="s">
        <v>8857</v>
      </c>
      <c r="Z396" s="114" t="s">
        <v>8858</v>
      </c>
      <c r="AA396" s="114" t="s">
        <v>9366</v>
      </c>
      <c r="AB396" s="114" t="s">
        <v>8867</v>
      </c>
    </row>
    <row r="397" spans="1:28" ht="72" x14ac:dyDescent="0.2">
      <c r="A397" s="133" t="s">
        <v>1944</v>
      </c>
      <c r="B397" s="130"/>
      <c r="C397" s="130" t="s">
        <v>1945</v>
      </c>
      <c r="D397" s="130" t="s">
        <v>1946</v>
      </c>
      <c r="E397" s="131">
        <v>39009</v>
      </c>
      <c r="F397" s="131">
        <v>39029</v>
      </c>
      <c r="G397" s="132" t="s">
        <v>1927</v>
      </c>
      <c r="H397" s="132" t="s">
        <v>8760</v>
      </c>
      <c r="I397" s="132" t="s">
        <v>215</v>
      </c>
      <c r="J397" s="132" t="s">
        <v>1929</v>
      </c>
      <c r="K397" s="440" t="str">
        <f>HYPERLINK("https://okcountyrecords.com/detail/roger+mills/2006-007198","OKCountyRecords: 2006-007198")</f>
        <v>OKCountyRecords: 2006-007198</v>
      </c>
      <c r="L397" s="133" t="s">
        <v>1501</v>
      </c>
      <c r="M397" s="133" t="s">
        <v>8756</v>
      </c>
      <c r="N397" s="133"/>
      <c r="O397" s="133" t="s">
        <v>1492</v>
      </c>
      <c r="P397" s="114" t="s">
        <v>9209</v>
      </c>
      <c r="Q397" s="114" t="s">
        <v>89</v>
      </c>
      <c r="R397" s="114" t="s">
        <v>118</v>
      </c>
      <c r="S397" s="114" t="s">
        <v>89</v>
      </c>
      <c r="T397" s="114" t="s">
        <v>118</v>
      </c>
      <c r="U397" s="114" t="s">
        <v>8862</v>
      </c>
      <c r="V397" s="114" t="s">
        <v>3072</v>
      </c>
      <c r="W397" s="114" t="s">
        <v>8864</v>
      </c>
      <c r="X397" s="114" t="s">
        <v>2701</v>
      </c>
      <c r="Y397" s="114" t="s">
        <v>8851</v>
      </c>
      <c r="Z397" s="114" t="s">
        <v>2701</v>
      </c>
      <c r="AA397" s="114" t="s">
        <v>9367</v>
      </c>
      <c r="AB397" s="114" t="s">
        <v>8888</v>
      </c>
    </row>
    <row r="398" spans="1:28" ht="48" x14ac:dyDescent="0.2">
      <c r="A398" s="133" t="s">
        <v>1948</v>
      </c>
      <c r="B398" s="130"/>
      <c r="C398" s="130" t="s">
        <v>1456</v>
      </c>
      <c r="D398" s="130" t="s">
        <v>1949</v>
      </c>
      <c r="E398" s="131">
        <v>39052</v>
      </c>
      <c r="F398" s="131">
        <v>39104</v>
      </c>
      <c r="G398" s="132" t="s">
        <v>1950</v>
      </c>
      <c r="H398" s="132" t="s">
        <v>8824</v>
      </c>
      <c r="I398" s="132" t="s">
        <v>215</v>
      </c>
      <c r="J398" s="132" t="s">
        <v>1952</v>
      </c>
      <c r="K398" s="440" t="str">
        <f>HYPERLINK("https://okcountyrecords.com/detail/roger+mills/2007-000328","OKCountyRecords: 2007-000328")</f>
        <v>OKCountyRecords: 2007-000328</v>
      </c>
      <c r="L398" s="133" t="s">
        <v>1501</v>
      </c>
      <c r="M398" s="133" t="s">
        <v>8756</v>
      </c>
      <c r="N398" s="133"/>
      <c r="O398" s="133" t="s">
        <v>1532</v>
      </c>
      <c r="P398" s="114" t="s">
        <v>9043</v>
      </c>
      <c r="Q398" s="114" t="s">
        <v>2701</v>
      </c>
      <c r="R398" s="114" t="s">
        <v>118</v>
      </c>
      <c r="S398" s="114" t="s">
        <v>2701</v>
      </c>
      <c r="T398" s="114" t="s">
        <v>118</v>
      </c>
      <c r="U398" s="114" t="s">
        <v>8862</v>
      </c>
      <c r="V398" s="114" t="s">
        <v>3072</v>
      </c>
      <c r="W398" s="114" t="s">
        <v>8864</v>
      </c>
      <c r="X398" s="114" t="s">
        <v>2701</v>
      </c>
      <c r="Y398" s="114" t="s">
        <v>8851</v>
      </c>
      <c r="Z398" s="114" t="s">
        <v>2701</v>
      </c>
      <c r="AA398" s="114" t="s">
        <v>9368</v>
      </c>
      <c r="AB398" s="114" t="s">
        <v>8888</v>
      </c>
    </row>
    <row r="399" spans="1:28" ht="60" x14ac:dyDescent="0.2">
      <c r="A399" s="133"/>
      <c r="B399" s="130"/>
      <c r="C399" s="130"/>
      <c r="D399" s="130"/>
      <c r="E399" s="131"/>
      <c r="F399" s="131"/>
      <c r="G399" s="132"/>
      <c r="H399" s="132"/>
      <c r="I399" s="132"/>
      <c r="J399" s="132"/>
      <c r="K399" s="440"/>
      <c r="L399" s="133"/>
      <c r="M399" s="133"/>
      <c r="N399" s="133"/>
      <c r="O399" s="133"/>
      <c r="P399" s="114"/>
      <c r="Q399" s="114"/>
      <c r="R399" s="114"/>
      <c r="S399" s="114" t="s">
        <v>89</v>
      </c>
      <c r="T399" s="114" t="s">
        <v>89</v>
      </c>
      <c r="U399" s="114" t="s">
        <v>9370</v>
      </c>
      <c r="V399" s="114" t="s">
        <v>2701</v>
      </c>
      <c r="W399" s="114" t="s">
        <v>8864</v>
      </c>
      <c r="X399" s="114" t="s">
        <v>2701</v>
      </c>
      <c r="Y399" s="114" t="s">
        <v>8851</v>
      </c>
      <c r="Z399" s="114" t="s">
        <v>2701</v>
      </c>
      <c r="AA399" s="114" t="s">
        <v>9371</v>
      </c>
      <c r="AB399" s="114" t="s">
        <v>8877</v>
      </c>
    </row>
    <row r="400" spans="1:28" ht="48" x14ac:dyDescent="0.2">
      <c r="A400" s="133" t="s">
        <v>1961</v>
      </c>
      <c r="B400" s="130"/>
      <c r="C400" s="130" t="s">
        <v>619</v>
      </c>
      <c r="D400" s="130" t="s">
        <v>1962</v>
      </c>
      <c r="E400" s="131">
        <v>39160</v>
      </c>
      <c r="F400" s="131">
        <v>39167</v>
      </c>
      <c r="G400" s="132" t="s">
        <v>1963</v>
      </c>
      <c r="H400" s="132" t="s">
        <v>114</v>
      </c>
      <c r="I400" s="132" t="s">
        <v>1280</v>
      </c>
      <c r="J400" s="132" t="s">
        <v>63</v>
      </c>
      <c r="K400" s="440" t="str">
        <f>HYPERLINK("https://okcountyrecords.com/detail/roger+mills/2007-001374","OKCountyRecords: 2007-001374")</f>
        <v>OKCountyRecords: 2007-001374</v>
      </c>
      <c r="L400" s="133" t="s">
        <v>412</v>
      </c>
      <c r="M400" s="133" t="s">
        <v>405</v>
      </c>
      <c r="N400" s="133"/>
      <c r="O400" s="133" t="s">
        <v>422</v>
      </c>
      <c r="P400" s="114" t="s">
        <v>8934</v>
      </c>
      <c r="Q400" s="114" t="s">
        <v>118</v>
      </c>
      <c r="R400" s="114" t="s">
        <v>89</v>
      </c>
      <c r="S400" s="114" t="s">
        <v>118</v>
      </c>
      <c r="T400" s="114" t="s">
        <v>89</v>
      </c>
      <c r="U400" s="114" t="s">
        <v>8862</v>
      </c>
      <c r="V400" s="114" t="s">
        <v>3072</v>
      </c>
      <c r="W400" s="114" t="s">
        <v>8864</v>
      </c>
      <c r="X400" s="114" t="s">
        <v>2701</v>
      </c>
      <c r="Y400" s="114" t="s">
        <v>8857</v>
      </c>
      <c r="Z400" s="114" t="s">
        <v>8858</v>
      </c>
      <c r="AA400" s="114" t="s">
        <v>9372</v>
      </c>
      <c r="AB400" s="114" t="s">
        <v>8867</v>
      </c>
    </row>
    <row r="401" spans="1:28" ht="60" x14ac:dyDescent="0.2">
      <c r="A401" s="133" t="s">
        <v>1964</v>
      </c>
      <c r="B401" s="130"/>
      <c r="C401" s="130" t="s">
        <v>533</v>
      </c>
      <c r="D401" s="130" t="s">
        <v>1965</v>
      </c>
      <c r="E401" s="131">
        <v>39162</v>
      </c>
      <c r="F401" s="131">
        <v>39197</v>
      </c>
      <c r="G401" s="132" t="s">
        <v>1966</v>
      </c>
      <c r="H401" s="132" t="s">
        <v>1967</v>
      </c>
      <c r="I401" s="132" t="s">
        <v>1968</v>
      </c>
      <c r="J401" s="132" t="s">
        <v>63</v>
      </c>
      <c r="K401" s="440" t="str">
        <f>HYPERLINK("https://okcountyrecords.com/detail/roger+mills/2007-001848","OKCountyRecords: 2007-001848")</f>
        <v>OKCountyRecords: 2007-001848</v>
      </c>
      <c r="L401" s="133" t="s">
        <v>412</v>
      </c>
      <c r="M401" s="133" t="s">
        <v>405</v>
      </c>
      <c r="N401" s="133"/>
      <c r="O401" s="133" t="s">
        <v>428</v>
      </c>
      <c r="P401" s="114" t="s">
        <v>8854</v>
      </c>
      <c r="Q401" s="114" t="s">
        <v>118</v>
      </c>
      <c r="R401" s="114" t="s">
        <v>89</v>
      </c>
      <c r="S401" s="114" t="s">
        <v>2701</v>
      </c>
      <c r="T401" s="114" t="s">
        <v>89</v>
      </c>
      <c r="U401" s="114" t="s">
        <v>9373</v>
      </c>
      <c r="V401" s="114" t="s">
        <v>3072</v>
      </c>
      <c r="W401" s="114" t="s">
        <v>8864</v>
      </c>
      <c r="X401" s="114" t="s">
        <v>8869</v>
      </c>
      <c r="Y401" s="114" t="s">
        <v>8857</v>
      </c>
      <c r="Z401" s="114" t="s">
        <v>8858</v>
      </c>
      <c r="AA401" s="114" t="s">
        <v>9374</v>
      </c>
      <c r="AB401" s="114" t="s">
        <v>8867</v>
      </c>
    </row>
    <row r="402" spans="1:28" ht="96" x14ac:dyDescent="0.2">
      <c r="A402" s="133" t="s">
        <v>1970</v>
      </c>
      <c r="B402" s="130"/>
      <c r="C402" s="130" t="s">
        <v>1887</v>
      </c>
      <c r="D402" s="130" t="s">
        <v>1971</v>
      </c>
      <c r="E402" s="131">
        <v>39268</v>
      </c>
      <c r="F402" s="131">
        <v>39269</v>
      </c>
      <c r="G402" s="132" t="s">
        <v>1529</v>
      </c>
      <c r="H402" s="132" t="s">
        <v>262</v>
      </c>
      <c r="I402" s="132" t="s">
        <v>1972</v>
      </c>
      <c r="J402" s="132" t="s">
        <v>9592</v>
      </c>
      <c r="K402" s="440" t="str">
        <f>HYPERLINK("https://okcountyrecords.com/detail/roger+mills/2007-002874","OKCountyRecords: 2007-002874")</f>
        <v>OKCountyRecords: 2007-002874</v>
      </c>
      <c r="L402" s="133" t="s">
        <v>1501</v>
      </c>
      <c r="M402" s="133" t="s">
        <v>8756</v>
      </c>
      <c r="N402" s="133"/>
      <c r="O402" s="133" t="s">
        <v>1492</v>
      </c>
      <c r="P402" s="114" t="s">
        <v>9209</v>
      </c>
      <c r="Q402" s="114" t="s">
        <v>89</v>
      </c>
      <c r="R402" s="114" t="s">
        <v>118</v>
      </c>
      <c r="S402" s="114" t="s">
        <v>89</v>
      </c>
      <c r="T402" s="114" t="s">
        <v>118</v>
      </c>
      <c r="U402" s="114" t="s">
        <v>8930</v>
      </c>
      <c r="V402" s="114" t="s">
        <v>2701</v>
      </c>
      <c r="W402" s="114" t="s">
        <v>8906</v>
      </c>
      <c r="X402" s="114" t="s">
        <v>2701</v>
      </c>
      <c r="Y402" s="114" t="s">
        <v>8851</v>
      </c>
      <c r="Z402" s="114" t="s">
        <v>2701</v>
      </c>
      <c r="AA402" s="114" t="s">
        <v>9375</v>
      </c>
      <c r="AB402" s="114" t="s">
        <v>8871</v>
      </c>
    </row>
    <row r="403" spans="1:28" ht="60" x14ac:dyDescent="0.2">
      <c r="A403" s="133" t="s">
        <v>1974</v>
      </c>
      <c r="B403" s="130"/>
      <c r="C403" s="130" t="s">
        <v>1975</v>
      </c>
      <c r="D403" s="130" t="s">
        <v>1976</v>
      </c>
      <c r="E403" s="131">
        <v>39315</v>
      </c>
      <c r="F403" s="131">
        <v>39329</v>
      </c>
      <c r="G403" s="132" t="s">
        <v>1977</v>
      </c>
      <c r="H403" s="132" t="s">
        <v>102</v>
      </c>
      <c r="I403" s="132" t="s">
        <v>569</v>
      </c>
      <c r="J403" s="132" t="s">
        <v>760</v>
      </c>
      <c r="K403" s="440" t="str">
        <f>HYPERLINK("https://okcountyrecords.com/detail/roger+mills/2007-004018","OKCountyRecords: 2007-004018")</f>
        <v>OKCountyRecords: 2007-004018</v>
      </c>
      <c r="L403" s="133" t="s">
        <v>503</v>
      </c>
      <c r="M403" s="133" t="s">
        <v>467</v>
      </c>
      <c r="N403" s="133" t="s">
        <v>504</v>
      </c>
      <c r="O403" s="133" t="s">
        <v>422</v>
      </c>
      <c r="P403" s="114" t="s">
        <v>9376</v>
      </c>
      <c r="Q403" s="114" t="s">
        <v>89</v>
      </c>
      <c r="R403" s="114" t="s">
        <v>89</v>
      </c>
      <c r="S403" s="114" t="s">
        <v>89</v>
      </c>
      <c r="T403" s="114" t="s">
        <v>89</v>
      </c>
      <c r="U403" s="114" t="s">
        <v>8896</v>
      </c>
      <c r="V403" s="114" t="s">
        <v>3386</v>
      </c>
      <c r="W403" s="114" t="s">
        <v>8864</v>
      </c>
      <c r="X403" s="114" t="s">
        <v>2701</v>
      </c>
      <c r="Y403" s="114" t="s">
        <v>8851</v>
      </c>
      <c r="Z403" s="114" t="s">
        <v>2701</v>
      </c>
      <c r="AA403" s="114" t="s">
        <v>9377</v>
      </c>
      <c r="AB403" s="114" t="s">
        <v>8867</v>
      </c>
    </row>
    <row r="404" spans="1:28" ht="72" x14ac:dyDescent="0.2">
      <c r="A404" s="133" t="s">
        <v>1978</v>
      </c>
      <c r="B404" s="130">
        <v>40</v>
      </c>
      <c r="C404" s="130" t="s">
        <v>1979</v>
      </c>
      <c r="D404" s="130" t="s">
        <v>1936</v>
      </c>
      <c r="E404" s="131">
        <v>39336</v>
      </c>
      <c r="F404" s="131">
        <v>39336</v>
      </c>
      <c r="G404" s="132" t="s">
        <v>1980</v>
      </c>
      <c r="H404" s="132" t="s">
        <v>1981</v>
      </c>
      <c r="I404" s="132" t="s">
        <v>1982</v>
      </c>
      <c r="J404" s="132" t="s">
        <v>63</v>
      </c>
      <c r="K404" s="440" t="str">
        <f>HYPERLINK("https://okcountyrecords.com/detail/roger+mills/1998-000843","OKCountyRecords: 1998-000843")</f>
        <v>OKCountyRecords: 1998-000843</v>
      </c>
      <c r="L404" s="133" t="s">
        <v>1501</v>
      </c>
      <c r="M404" s="133" t="s">
        <v>641</v>
      </c>
      <c r="N404" s="133" t="s">
        <v>8721</v>
      </c>
      <c r="O404" s="133" t="s">
        <v>422</v>
      </c>
      <c r="P404" s="114" t="s">
        <v>9195</v>
      </c>
      <c r="Q404" s="114" t="s">
        <v>89</v>
      </c>
      <c r="R404" s="114" t="s">
        <v>118</v>
      </c>
      <c r="S404" s="114" t="s">
        <v>2701</v>
      </c>
      <c r="T404" s="114" t="s">
        <v>118</v>
      </c>
      <c r="U404" s="114" t="s">
        <v>9378</v>
      </c>
      <c r="V404" s="114" t="s">
        <v>2701</v>
      </c>
      <c r="W404" s="114" t="s">
        <v>9650</v>
      </c>
      <c r="X404" s="114" t="s">
        <v>2701</v>
      </c>
      <c r="Y404" s="114" t="s">
        <v>8851</v>
      </c>
      <c r="Z404" s="114" t="s">
        <v>2701</v>
      </c>
      <c r="AA404" s="114" t="s">
        <v>9379</v>
      </c>
      <c r="AB404" s="114" t="s">
        <v>9139</v>
      </c>
    </row>
    <row r="405" spans="1:28" ht="48" x14ac:dyDescent="0.2">
      <c r="A405" s="133" t="s">
        <v>1985</v>
      </c>
      <c r="B405" s="130"/>
      <c r="C405" s="130" t="s">
        <v>585</v>
      </c>
      <c r="D405" s="130" t="s">
        <v>1986</v>
      </c>
      <c r="E405" s="131">
        <v>39400</v>
      </c>
      <c r="F405" s="131">
        <v>39400</v>
      </c>
      <c r="G405" s="132" t="s">
        <v>1987</v>
      </c>
      <c r="H405" s="132" t="s">
        <v>1988</v>
      </c>
      <c r="I405" s="132" t="s">
        <v>1280</v>
      </c>
      <c r="J405" s="132" t="s">
        <v>1989</v>
      </c>
      <c r="K405" s="440" t="str">
        <f>HYPERLINK("https://okcountyrecords.com/detail/roger+mills/2007-005167","OKCountyRecords: 2007-005167")</f>
        <v>OKCountyRecords: 2007-005167</v>
      </c>
      <c r="L405" s="133" t="s">
        <v>412</v>
      </c>
      <c r="M405" s="133" t="s">
        <v>405</v>
      </c>
      <c r="N405" s="133"/>
      <c r="O405" s="133" t="s">
        <v>422</v>
      </c>
      <c r="P405" s="114" t="s">
        <v>8886</v>
      </c>
      <c r="Q405" s="114" t="s">
        <v>118</v>
      </c>
      <c r="R405" s="114" t="s">
        <v>89</v>
      </c>
      <c r="S405" s="114" t="s">
        <v>118</v>
      </c>
      <c r="T405" s="114" t="s">
        <v>89</v>
      </c>
      <c r="U405" s="114" t="s">
        <v>8862</v>
      </c>
      <c r="V405" s="114" t="s">
        <v>3072</v>
      </c>
      <c r="W405" s="114" t="s">
        <v>8864</v>
      </c>
      <c r="X405" s="114" t="s">
        <v>2701</v>
      </c>
      <c r="Y405" s="114" t="s">
        <v>8857</v>
      </c>
      <c r="Z405" s="114" t="s">
        <v>8858</v>
      </c>
      <c r="AA405" s="114" t="s">
        <v>9380</v>
      </c>
      <c r="AB405" s="114" t="s">
        <v>8867</v>
      </c>
    </row>
    <row r="406" spans="1:28" ht="60" x14ac:dyDescent="0.2">
      <c r="A406" s="133" t="s">
        <v>1990</v>
      </c>
      <c r="B406" s="130"/>
      <c r="C406" s="130" t="s">
        <v>1160</v>
      </c>
      <c r="D406" s="130" t="s">
        <v>1991</v>
      </c>
      <c r="E406" s="131">
        <v>39645</v>
      </c>
      <c r="F406" s="131">
        <v>39652</v>
      </c>
      <c r="G406" s="132" t="s">
        <v>1992</v>
      </c>
      <c r="H406" s="132" t="s">
        <v>1993</v>
      </c>
      <c r="I406" s="132" t="s">
        <v>579</v>
      </c>
      <c r="J406" s="132" t="s">
        <v>63</v>
      </c>
      <c r="K406" s="440" t="str">
        <f>HYPERLINK("https://okcountyrecords.com/detail/roger+mills/2008-004060","OKCountyRecords: 2008-004060")</f>
        <v>OKCountyRecords: 2008-004060</v>
      </c>
      <c r="L406" s="133" t="s">
        <v>412</v>
      </c>
      <c r="M406" s="133" t="s">
        <v>405</v>
      </c>
      <c r="N406" s="133"/>
      <c r="O406" s="133" t="s">
        <v>422</v>
      </c>
      <c r="P406" s="114" t="s">
        <v>8934</v>
      </c>
      <c r="Q406" s="114" t="s">
        <v>118</v>
      </c>
      <c r="R406" s="114" t="s">
        <v>89</v>
      </c>
      <c r="S406" s="114" t="s">
        <v>118</v>
      </c>
      <c r="T406" s="114" t="s">
        <v>89</v>
      </c>
      <c r="U406" s="114" t="s">
        <v>8901</v>
      </c>
      <c r="V406" s="114" t="s">
        <v>3072</v>
      </c>
      <c r="W406" s="114" t="s">
        <v>8864</v>
      </c>
      <c r="X406" s="114" t="s">
        <v>8873</v>
      </c>
      <c r="Y406" s="114" t="s">
        <v>8857</v>
      </c>
      <c r="Z406" s="114" t="s">
        <v>8858</v>
      </c>
      <c r="AA406" s="114" t="s">
        <v>9381</v>
      </c>
      <c r="AB406" s="114" t="s">
        <v>8867</v>
      </c>
    </row>
    <row r="407" spans="1:28" ht="48" x14ac:dyDescent="0.2">
      <c r="A407" s="133" t="s">
        <v>1994</v>
      </c>
      <c r="B407" s="130"/>
      <c r="C407" s="130" t="s">
        <v>619</v>
      </c>
      <c r="D407" s="130" t="s">
        <v>1995</v>
      </c>
      <c r="E407" s="131">
        <v>39751</v>
      </c>
      <c r="F407" s="131">
        <v>39783</v>
      </c>
      <c r="G407" s="132" t="s">
        <v>1996</v>
      </c>
      <c r="H407" s="132" t="s">
        <v>1997</v>
      </c>
      <c r="I407" s="132" t="s">
        <v>1280</v>
      </c>
      <c r="J407" s="132" t="s">
        <v>63</v>
      </c>
      <c r="K407" s="440" t="str">
        <f>HYPERLINK("https://okcountyrecords.com/detail/roger+mills/2008-007325","OKCountyRecords: 2008-007325")</f>
        <v>OKCountyRecords: 2008-007325</v>
      </c>
      <c r="L407" s="133" t="s">
        <v>412</v>
      </c>
      <c r="M407" s="133" t="s">
        <v>405</v>
      </c>
      <c r="N407" s="133"/>
      <c r="O407" s="133" t="s">
        <v>422</v>
      </c>
      <c r="P407" s="114" t="s">
        <v>8934</v>
      </c>
      <c r="Q407" s="114" t="s">
        <v>118</v>
      </c>
      <c r="R407" s="114" t="s">
        <v>89</v>
      </c>
      <c r="S407" s="114" t="s">
        <v>118</v>
      </c>
      <c r="T407" s="114" t="s">
        <v>89</v>
      </c>
      <c r="U407" s="114" t="s">
        <v>8862</v>
      </c>
      <c r="V407" s="114" t="s">
        <v>3072</v>
      </c>
      <c r="W407" s="114" t="s">
        <v>8864</v>
      </c>
      <c r="X407" s="114" t="s">
        <v>8865</v>
      </c>
      <c r="Y407" s="114" t="s">
        <v>8857</v>
      </c>
      <c r="Z407" s="114" t="s">
        <v>8858</v>
      </c>
      <c r="AA407" s="114" t="s">
        <v>9382</v>
      </c>
      <c r="AB407" s="114" t="s">
        <v>8867</v>
      </c>
    </row>
    <row r="408" spans="1:28" ht="72" x14ac:dyDescent="0.2">
      <c r="A408" s="133" t="s">
        <v>1998</v>
      </c>
      <c r="B408" s="130"/>
      <c r="C408" s="130" t="s">
        <v>1920</v>
      </c>
      <c r="D408" s="130" t="s">
        <v>1999</v>
      </c>
      <c r="E408" s="131">
        <v>39756</v>
      </c>
      <c r="F408" s="131">
        <v>39770</v>
      </c>
      <c r="G408" s="132" t="s">
        <v>2000</v>
      </c>
      <c r="H408" s="132" t="s">
        <v>102</v>
      </c>
      <c r="I408" s="132" t="s">
        <v>579</v>
      </c>
      <c r="J408" s="132" t="s">
        <v>2001</v>
      </c>
      <c r="K408" s="440" t="str">
        <f>HYPERLINK("https://okcountyrecords.com/detail/roger+mills/2008-007080","OKCountyRecords: 2008-007080")</f>
        <v>OKCountyRecords: 2008-007080</v>
      </c>
      <c r="L408" s="133" t="s">
        <v>8831</v>
      </c>
      <c r="M408" s="133"/>
      <c r="N408" s="133"/>
      <c r="O408" s="133" t="s">
        <v>422</v>
      </c>
      <c r="P408" s="114" t="s">
        <v>8886</v>
      </c>
      <c r="Q408" s="114" t="s">
        <v>118</v>
      </c>
      <c r="R408" s="114" t="s">
        <v>89</v>
      </c>
      <c r="S408" s="114" t="s">
        <v>118</v>
      </c>
      <c r="T408" s="114" t="s">
        <v>89</v>
      </c>
      <c r="U408" s="114" t="s">
        <v>8901</v>
      </c>
      <c r="V408" s="114" t="s">
        <v>3072</v>
      </c>
      <c r="W408" s="114" t="s">
        <v>9665</v>
      </c>
      <c r="X408" s="114" t="s">
        <v>8873</v>
      </c>
      <c r="Y408" s="114" t="s">
        <v>8851</v>
      </c>
      <c r="Z408" s="114" t="s">
        <v>2701</v>
      </c>
      <c r="AA408" s="114" t="s">
        <v>9383</v>
      </c>
      <c r="AB408" s="114" t="s">
        <v>8888</v>
      </c>
    </row>
    <row r="409" spans="1:28" ht="48" x14ac:dyDescent="0.2">
      <c r="A409" s="133" t="s">
        <v>2004</v>
      </c>
      <c r="B409" s="130"/>
      <c r="C409" s="130" t="s">
        <v>1456</v>
      </c>
      <c r="D409" s="130" t="s">
        <v>2005</v>
      </c>
      <c r="E409" s="131">
        <v>39815</v>
      </c>
      <c r="F409" s="131">
        <v>39828</v>
      </c>
      <c r="G409" s="132" t="s">
        <v>2006</v>
      </c>
      <c r="H409" s="132" t="s">
        <v>2007</v>
      </c>
      <c r="I409" s="132" t="s">
        <v>1256</v>
      </c>
      <c r="J409" s="132" t="s">
        <v>63</v>
      </c>
      <c r="K409" s="440" t="str">
        <f>HYPERLINK("https://okcountyrecords.com/detail/roger+mills/2009-000222","OKCountyRecords: 2009-000222")</f>
        <v>OKCountyRecords: 2009-000222</v>
      </c>
      <c r="L409" s="133" t="s">
        <v>1501</v>
      </c>
      <c r="M409" s="133" t="s">
        <v>8756</v>
      </c>
      <c r="N409" s="133"/>
      <c r="O409" s="133" t="s">
        <v>422</v>
      </c>
      <c r="P409" s="114" t="s">
        <v>9043</v>
      </c>
      <c r="Q409" s="114" t="s">
        <v>2701</v>
      </c>
      <c r="R409" s="114" t="s">
        <v>118</v>
      </c>
      <c r="S409" s="114" t="s">
        <v>2701</v>
      </c>
      <c r="T409" s="114" t="s">
        <v>118</v>
      </c>
      <c r="U409" s="114" t="s">
        <v>8935</v>
      </c>
      <c r="V409" s="114" t="s">
        <v>2701</v>
      </c>
      <c r="W409" s="114" t="s">
        <v>8864</v>
      </c>
      <c r="X409" s="114" t="s">
        <v>2701</v>
      </c>
      <c r="Y409" s="114" t="s">
        <v>8851</v>
      </c>
      <c r="Z409" s="114" t="s">
        <v>2701</v>
      </c>
      <c r="AA409" s="114" t="s">
        <v>9384</v>
      </c>
      <c r="AB409" s="114" t="s">
        <v>9139</v>
      </c>
    </row>
    <row r="410" spans="1:28" ht="84" x14ac:dyDescent="0.2">
      <c r="A410" s="133" t="s">
        <v>2009</v>
      </c>
      <c r="B410" s="130"/>
      <c r="C410" s="130" t="s">
        <v>2010</v>
      </c>
      <c r="D410" s="130" t="s">
        <v>2011</v>
      </c>
      <c r="E410" s="131">
        <v>39854</v>
      </c>
      <c r="F410" s="131">
        <v>39861</v>
      </c>
      <c r="G410" s="132" t="s">
        <v>2012</v>
      </c>
      <c r="H410" s="132" t="s">
        <v>2013</v>
      </c>
      <c r="I410" s="132" t="s">
        <v>238</v>
      </c>
      <c r="J410" s="132" t="s">
        <v>8667</v>
      </c>
      <c r="K410" s="440" t="str">
        <f>HYPERLINK("https://okcountyrecords.com/detail/roger+mills/2009-000702","OKCountyRecords: 2009-000702")</f>
        <v>OKCountyRecords: 2009-000702</v>
      </c>
      <c r="L410" s="133" t="s">
        <v>8722</v>
      </c>
      <c r="M410" s="133" t="s">
        <v>641</v>
      </c>
      <c r="N410" s="133" t="s">
        <v>8712</v>
      </c>
      <c r="O410" s="133" t="s">
        <v>428</v>
      </c>
      <c r="P410" s="114" t="s">
        <v>8886</v>
      </c>
      <c r="Q410" s="114" t="s">
        <v>118</v>
      </c>
      <c r="R410" s="114" t="s">
        <v>89</v>
      </c>
      <c r="S410" s="114" t="s">
        <v>118</v>
      </c>
      <c r="T410" s="114" t="s">
        <v>89</v>
      </c>
      <c r="U410" s="114" t="s">
        <v>8896</v>
      </c>
      <c r="V410" s="114" t="s">
        <v>3386</v>
      </c>
      <c r="W410" s="114" t="s">
        <v>8864</v>
      </c>
      <c r="X410" s="114" t="s">
        <v>2701</v>
      </c>
      <c r="Y410" s="114" t="s">
        <v>8857</v>
      </c>
      <c r="Z410" s="114" t="s">
        <v>8858</v>
      </c>
      <c r="AA410" s="114" t="s">
        <v>9385</v>
      </c>
      <c r="AB410" s="114" t="s">
        <v>8867</v>
      </c>
    </row>
    <row r="411" spans="1:28" ht="48" x14ac:dyDescent="0.2">
      <c r="A411" s="133" t="s">
        <v>2014</v>
      </c>
      <c r="B411" s="130"/>
      <c r="C411" s="130" t="s">
        <v>619</v>
      </c>
      <c r="D411" s="130" t="s">
        <v>2015</v>
      </c>
      <c r="E411" s="131">
        <v>39871</v>
      </c>
      <c r="F411" s="131">
        <v>39874</v>
      </c>
      <c r="G411" s="132" t="s">
        <v>2016</v>
      </c>
      <c r="H411" s="132" t="s">
        <v>2017</v>
      </c>
      <c r="I411" s="132" t="s">
        <v>1280</v>
      </c>
      <c r="J411" s="132" t="s">
        <v>2018</v>
      </c>
      <c r="K411" s="440" t="str">
        <f>HYPERLINK("https://okcountyrecords.com/detail/roger+mills/2009-000895","OKCountyRecords: 2009-000895")</f>
        <v>OKCountyRecords: 2009-000895</v>
      </c>
      <c r="L411" s="133" t="s">
        <v>412</v>
      </c>
      <c r="M411" s="133"/>
      <c r="N411" s="133"/>
      <c r="O411" s="133" t="s">
        <v>422</v>
      </c>
      <c r="P411" s="114" t="s">
        <v>8934</v>
      </c>
      <c r="Q411" s="114" t="s">
        <v>118</v>
      </c>
      <c r="R411" s="114" t="s">
        <v>89</v>
      </c>
      <c r="S411" s="114" t="s">
        <v>118</v>
      </c>
      <c r="T411" s="114" t="s">
        <v>89</v>
      </c>
      <c r="U411" s="114" t="s">
        <v>8862</v>
      </c>
      <c r="V411" s="114" t="s">
        <v>3072</v>
      </c>
      <c r="W411" s="114" t="s">
        <v>8864</v>
      </c>
      <c r="X411" s="114" t="s">
        <v>2701</v>
      </c>
      <c r="Y411" s="114" t="s">
        <v>9166</v>
      </c>
      <c r="Z411" s="114" t="s">
        <v>8858</v>
      </c>
      <c r="AA411" s="114" t="s">
        <v>9386</v>
      </c>
      <c r="AB411" s="114" t="s">
        <v>8867</v>
      </c>
    </row>
    <row r="412" spans="1:28" ht="60" x14ac:dyDescent="0.2">
      <c r="A412" s="133" t="s">
        <v>2019</v>
      </c>
      <c r="B412" s="130"/>
      <c r="C412" s="130" t="s">
        <v>1975</v>
      </c>
      <c r="D412" s="130" t="s">
        <v>2020</v>
      </c>
      <c r="E412" s="131">
        <v>40059</v>
      </c>
      <c r="F412" s="131">
        <v>40094</v>
      </c>
      <c r="G412" s="132" t="s">
        <v>2021</v>
      </c>
      <c r="H412" s="132" t="s">
        <v>2022</v>
      </c>
      <c r="I412" s="132" t="s">
        <v>2023</v>
      </c>
      <c r="J412" s="132" t="s">
        <v>760</v>
      </c>
      <c r="K412" s="440" t="str">
        <f>HYPERLINK("https://okcountyrecords.com/detail/roger+mills/2009-004292","OKCountyRecords: 2009-004292")</f>
        <v>OKCountyRecords: 2009-004292</v>
      </c>
      <c r="L412" s="133" t="s">
        <v>503</v>
      </c>
      <c r="M412" s="133" t="s">
        <v>685</v>
      </c>
      <c r="N412" s="133"/>
      <c r="O412" s="133" t="s">
        <v>422</v>
      </c>
      <c r="P412" s="114" t="s">
        <v>9376</v>
      </c>
      <c r="Q412" s="114" t="s">
        <v>89</v>
      </c>
      <c r="R412" s="114" t="s">
        <v>89</v>
      </c>
      <c r="S412" s="114" t="s">
        <v>89</v>
      </c>
      <c r="T412" s="114" t="s">
        <v>89</v>
      </c>
      <c r="U412" s="114" t="s">
        <v>8896</v>
      </c>
      <c r="V412" s="114" t="s">
        <v>3386</v>
      </c>
      <c r="W412" s="114" t="s">
        <v>8864</v>
      </c>
      <c r="X412" s="114" t="s">
        <v>2701</v>
      </c>
      <c r="Y412" s="114" t="s">
        <v>8851</v>
      </c>
      <c r="Z412" s="114" t="s">
        <v>2701</v>
      </c>
      <c r="AA412" s="114" t="s">
        <v>9387</v>
      </c>
      <c r="AB412" s="114" t="s">
        <v>8867</v>
      </c>
    </row>
    <row r="413" spans="1:28" ht="60" x14ac:dyDescent="0.2">
      <c r="A413" s="133" t="s">
        <v>2024</v>
      </c>
      <c r="B413" s="130"/>
      <c r="C413" s="130" t="s">
        <v>1160</v>
      </c>
      <c r="D413" s="130" t="s">
        <v>2025</v>
      </c>
      <c r="E413" s="131">
        <v>40067</v>
      </c>
      <c r="F413" s="131">
        <v>40238</v>
      </c>
      <c r="G413" s="132" t="s">
        <v>2026</v>
      </c>
      <c r="H413" s="132" t="s">
        <v>2027</v>
      </c>
      <c r="I413" s="132" t="s">
        <v>1280</v>
      </c>
      <c r="J413" s="132" t="s">
        <v>63</v>
      </c>
      <c r="K413" s="440" t="str">
        <f>HYPERLINK("https://okcountyrecords.com/detail/roger+mills/2010-002337","OKCountyRecords: 2010-002337")</f>
        <v>OKCountyRecords: 2010-002337</v>
      </c>
      <c r="L413" s="133" t="s">
        <v>412</v>
      </c>
      <c r="M413" s="133" t="s">
        <v>405</v>
      </c>
      <c r="N413" s="133"/>
      <c r="O413" s="133" t="s">
        <v>422</v>
      </c>
      <c r="P413" s="114" t="s">
        <v>8934</v>
      </c>
      <c r="Q413" s="114" t="s">
        <v>118</v>
      </c>
      <c r="R413" s="114" t="s">
        <v>89</v>
      </c>
      <c r="S413" s="114" t="s">
        <v>118</v>
      </c>
      <c r="T413" s="114" t="s">
        <v>89</v>
      </c>
      <c r="U413" s="114" t="s">
        <v>8862</v>
      </c>
      <c r="V413" s="114" t="s">
        <v>3072</v>
      </c>
      <c r="W413" s="114" t="s">
        <v>8864</v>
      </c>
      <c r="X413" s="114" t="s">
        <v>2701</v>
      </c>
      <c r="Y413" s="114" t="s">
        <v>8857</v>
      </c>
      <c r="Z413" s="114" t="s">
        <v>8858</v>
      </c>
      <c r="AA413" s="114" t="s">
        <v>9388</v>
      </c>
      <c r="AB413" s="114" t="s">
        <v>8867</v>
      </c>
    </row>
    <row r="414" spans="1:28" ht="60" x14ac:dyDescent="0.2">
      <c r="A414" s="133" t="s">
        <v>2028</v>
      </c>
      <c r="B414" s="130"/>
      <c r="C414" s="130" t="s">
        <v>2029</v>
      </c>
      <c r="D414" s="130" t="s">
        <v>2030</v>
      </c>
      <c r="E414" s="131">
        <v>40133</v>
      </c>
      <c r="F414" s="131">
        <v>40158</v>
      </c>
      <c r="G414" s="132" t="s">
        <v>114</v>
      </c>
      <c r="H414" s="132" t="s">
        <v>2031</v>
      </c>
      <c r="I414" s="132" t="s">
        <v>569</v>
      </c>
      <c r="J414" s="132" t="s">
        <v>1440</v>
      </c>
      <c r="K414" s="440" t="str">
        <f>HYPERLINK("https://okcountyrecords.com/detail/roger+mills/2009-006282","OKCountyRecords: 2009-006282")</f>
        <v>OKCountyRecords: 2009-006282</v>
      </c>
      <c r="L414" s="133" t="s">
        <v>1490</v>
      </c>
      <c r="M414" s="133" t="s">
        <v>8756</v>
      </c>
      <c r="N414" s="133"/>
      <c r="O414" s="133" t="s">
        <v>422</v>
      </c>
      <c r="P414" s="114" t="s">
        <v>9389</v>
      </c>
      <c r="Q414" s="114" t="s">
        <v>118</v>
      </c>
      <c r="R414" s="114" t="s">
        <v>89</v>
      </c>
      <c r="S414" s="114" t="s">
        <v>118</v>
      </c>
      <c r="T414" s="114" t="s">
        <v>89</v>
      </c>
      <c r="U414" s="114" t="s">
        <v>8896</v>
      </c>
      <c r="V414" s="114" t="s">
        <v>3386</v>
      </c>
      <c r="W414" s="114" t="s">
        <v>8906</v>
      </c>
      <c r="X414" s="114" t="s">
        <v>2701</v>
      </c>
      <c r="Y414" s="114" t="s">
        <v>8851</v>
      </c>
      <c r="Z414" s="114" t="s">
        <v>2701</v>
      </c>
      <c r="AA414" s="114" t="s">
        <v>9390</v>
      </c>
      <c r="AB414" s="114" t="s">
        <v>8853</v>
      </c>
    </row>
    <row r="415" spans="1:28" ht="84" x14ac:dyDescent="0.2">
      <c r="A415" s="133" t="s">
        <v>2032</v>
      </c>
      <c r="B415" s="130"/>
      <c r="C415" s="130" t="s">
        <v>2033</v>
      </c>
      <c r="D415" s="130" t="s">
        <v>2034</v>
      </c>
      <c r="E415" s="131">
        <v>40298</v>
      </c>
      <c r="F415" s="131">
        <v>40315</v>
      </c>
      <c r="G415" s="132" t="s">
        <v>2035</v>
      </c>
      <c r="H415" s="132" t="s">
        <v>102</v>
      </c>
      <c r="I415" s="132" t="s">
        <v>530</v>
      </c>
      <c r="J415" s="132" t="s">
        <v>760</v>
      </c>
      <c r="K415" s="440" t="str">
        <f>HYPERLINK("https://okcountyrecords.com/detail/roger+mills/2010-005367","OKCountyRecords: 2010-005367")</f>
        <v>OKCountyRecords: 2010-005367</v>
      </c>
      <c r="L415" s="133" t="s">
        <v>503</v>
      </c>
      <c r="M415" s="133" t="s">
        <v>467</v>
      </c>
      <c r="N415" s="133" t="s">
        <v>504</v>
      </c>
      <c r="O415" s="133" t="s">
        <v>422</v>
      </c>
      <c r="P415" s="114" t="s">
        <v>8903</v>
      </c>
      <c r="Q415" s="114" t="s">
        <v>2701</v>
      </c>
      <c r="R415" s="114" t="s">
        <v>2701</v>
      </c>
      <c r="S415" s="114" t="s">
        <v>2701</v>
      </c>
      <c r="T415" s="114" t="s">
        <v>2701</v>
      </c>
      <c r="U415" s="114" t="s">
        <v>8896</v>
      </c>
      <c r="V415" s="114" t="s">
        <v>3386</v>
      </c>
      <c r="W415" s="114" t="s">
        <v>9645</v>
      </c>
      <c r="X415" s="114" t="s">
        <v>2701</v>
      </c>
      <c r="Y415" s="114" t="s">
        <v>8851</v>
      </c>
      <c r="Z415" s="114" t="s">
        <v>2701</v>
      </c>
      <c r="AA415" s="114" t="s">
        <v>9391</v>
      </c>
      <c r="AB415" s="114" t="s">
        <v>8905</v>
      </c>
    </row>
    <row r="416" spans="1:28" ht="72" x14ac:dyDescent="0.2">
      <c r="A416" s="133" t="s">
        <v>2036</v>
      </c>
      <c r="B416" s="130"/>
      <c r="C416" s="130" t="s">
        <v>2037</v>
      </c>
      <c r="D416" s="130" t="s">
        <v>2038</v>
      </c>
      <c r="E416" s="131">
        <v>40318</v>
      </c>
      <c r="F416" s="131">
        <v>40357</v>
      </c>
      <c r="G416" s="132" t="s">
        <v>2039</v>
      </c>
      <c r="H416" s="132" t="s">
        <v>1997</v>
      </c>
      <c r="I416" s="132" t="s">
        <v>1280</v>
      </c>
      <c r="J416" s="132" t="s">
        <v>2040</v>
      </c>
      <c r="K416" s="440" t="str">
        <f>HYPERLINK("https://okcountyrecords.com/detail/roger+mills/2010-006561","OKCountyRecords: 2010-006561")</f>
        <v>OKCountyRecords: 2010-006561</v>
      </c>
      <c r="L416" s="133" t="s">
        <v>412</v>
      </c>
      <c r="M416" s="133" t="s">
        <v>405</v>
      </c>
      <c r="N416" s="133"/>
      <c r="O416" s="133" t="s">
        <v>422</v>
      </c>
      <c r="P416" s="114" t="s">
        <v>8934</v>
      </c>
      <c r="Q416" s="114" t="s">
        <v>118</v>
      </c>
      <c r="R416" s="114" t="s">
        <v>89</v>
      </c>
      <c r="S416" s="114" t="s">
        <v>118</v>
      </c>
      <c r="T416" s="114" t="s">
        <v>89</v>
      </c>
      <c r="U416" s="114" t="s">
        <v>8862</v>
      </c>
      <c r="V416" s="114" t="s">
        <v>3072</v>
      </c>
      <c r="W416" s="114" t="s">
        <v>9666</v>
      </c>
      <c r="X416" s="114" t="s">
        <v>8865</v>
      </c>
      <c r="Y416" s="114" t="s">
        <v>8857</v>
      </c>
      <c r="Z416" s="114" t="s">
        <v>8858</v>
      </c>
      <c r="AA416" s="114" t="s">
        <v>9392</v>
      </c>
      <c r="AB416" s="114" t="s">
        <v>8867</v>
      </c>
    </row>
    <row r="417" spans="1:28" ht="48" x14ac:dyDescent="0.2">
      <c r="A417" s="133" t="s">
        <v>2041</v>
      </c>
      <c r="B417" s="130"/>
      <c r="C417" s="130" t="s">
        <v>619</v>
      </c>
      <c r="D417" s="130" t="s">
        <v>2042</v>
      </c>
      <c r="E417" s="131">
        <v>40333</v>
      </c>
      <c r="F417" s="131">
        <v>40336</v>
      </c>
      <c r="G417" s="132" t="s">
        <v>2043</v>
      </c>
      <c r="H417" s="132" t="s">
        <v>2044</v>
      </c>
      <c r="I417" s="132" t="s">
        <v>1280</v>
      </c>
      <c r="J417" s="132" t="s">
        <v>63</v>
      </c>
      <c r="K417" s="440" t="str">
        <f>HYPERLINK("https://okcountyrecords.com/detail/roger+mills/2010-005993","OKCountyRecords: 2010-005993")</f>
        <v>OKCountyRecords: 2010-005993</v>
      </c>
      <c r="L417" s="133" t="s">
        <v>412</v>
      </c>
      <c r="M417" s="133" t="s">
        <v>405</v>
      </c>
      <c r="N417" s="133"/>
      <c r="O417" s="133" t="s">
        <v>422</v>
      </c>
      <c r="P417" s="114" t="s">
        <v>8934</v>
      </c>
      <c r="Q417" s="114" t="s">
        <v>118</v>
      </c>
      <c r="R417" s="114" t="s">
        <v>89</v>
      </c>
      <c r="S417" s="114" t="s">
        <v>118</v>
      </c>
      <c r="T417" s="114" t="s">
        <v>89</v>
      </c>
      <c r="U417" s="114" t="s">
        <v>8862</v>
      </c>
      <c r="V417" s="114" t="s">
        <v>3072</v>
      </c>
      <c r="W417" s="114" t="s">
        <v>9667</v>
      </c>
      <c r="X417" s="114" t="s">
        <v>2701</v>
      </c>
      <c r="Y417" s="114" t="s">
        <v>8857</v>
      </c>
      <c r="Z417" s="114" t="s">
        <v>8858</v>
      </c>
      <c r="AA417" s="114" t="s">
        <v>9393</v>
      </c>
      <c r="AB417" s="114" t="s">
        <v>8867</v>
      </c>
    </row>
    <row r="418" spans="1:28" ht="48" x14ac:dyDescent="0.2">
      <c r="A418" s="133" t="s">
        <v>2045</v>
      </c>
      <c r="B418" s="130"/>
      <c r="C418" s="130" t="s">
        <v>1456</v>
      </c>
      <c r="D418" s="130" t="s">
        <v>2046</v>
      </c>
      <c r="E418" s="131">
        <v>40338</v>
      </c>
      <c r="F418" s="131">
        <v>40345</v>
      </c>
      <c r="G418" s="132" t="s">
        <v>2047</v>
      </c>
      <c r="H418" s="132" t="s">
        <v>2048</v>
      </c>
      <c r="I418" s="132" t="s">
        <v>883</v>
      </c>
      <c r="J418" s="132" t="s">
        <v>2049</v>
      </c>
      <c r="K418" s="440" t="str">
        <f>HYPERLINK("https://okcountyrecords.com/detail/roger+mills/2010-006266","OKCountyRecords: 2010-006266")</f>
        <v>OKCountyRecords: 2010-006266</v>
      </c>
      <c r="L418" s="133" t="s">
        <v>1501</v>
      </c>
      <c r="M418" s="133" t="s">
        <v>8756</v>
      </c>
      <c r="N418" s="133"/>
      <c r="O418" s="133" t="s">
        <v>422</v>
      </c>
      <c r="P418" s="114" t="s">
        <v>9043</v>
      </c>
      <c r="Q418" s="114" t="s">
        <v>2701</v>
      </c>
      <c r="R418" s="114" t="s">
        <v>118</v>
      </c>
      <c r="S418" s="114" t="s">
        <v>2701</v>
      </c>
      <c r="T418" s="114" t="s">
        <v>118</v>
      </c>
      <c r="U418" s="114" t="s">
        <v>8986</v>
      </c>
      <c r="V418" s="114" t="s">
        <v>3072</v>
      </c>
      <c r="W418" s="114" t="s">
        <v>8864</v>
      </c>
      <c r="X418" s="114" t="s">
        <v>2701</v>
      </c>
      <c r="Y418" s="114" t="s">
        <v>8851</v>
      </c>
      <c r="Z418" s="114" t="s">
        <v>2701</v>
      </c>
      <c r="AA418" s="114" t="s">
        <v>9394</v>
      </c>
      <c r="AB418" s="114" t="s">
        <v>8888</v>
      </c>
    </row>
    <row r="419" spans="1:28" ht="48" x14ac:dyDescent="0.2">
      <c r="A419" s="133" t="s">
        <v>2051</v>
      </c>
      <c r="B419" s="130"/>
      <c r="C419" s="130" t="s">
        <v>1456</v>
      </c>
      <c r="D419" s="130" t="s">
        <v>2052</v>
      </c>
      <c r="E419" s="131">
        <v>40338</v>
      </c>
      <c r="F419" s="131">
        <v>40345</v>
      </c>
      <c r="G419" s="132" t="s">
        <v>2053</v>
      </c>
      <c r="H419" s="132" t="s">
        <v>2054</v>
      </c>
      <c r="I419" s="132" t="s">
        <v>883</v>
      </c>
      <c r="J419" s="132" t="s">
        <v>2049</v>
      </c>
      <c r="K419" s="440" t="str">
        <f>HYPERLINK("https://okcountyrecords.com/detail/roger+mills/2010-006265","OKCountyRecords: 2010-006265")</f>
        <v>OKCountyRecords: 2010-006265</v>
      </c>
      <c r="L419" s="133" t="s">
        <v>1501</v>
      </c>
      <c r="M419" s="133" t="s">
        <v>8756</v>
      </c>
      <c r="N419" s="133"/>
      <c r="O419" s="133" t="s">
        <v>422</v>
      </c>
      <c r="P419" s="114" t="s">
        <v>9043</v>
      </c>
      <c r="Q419" s="114" t="s">
        <v>2701</v>
      </c>
      <c r="R419" s="114" t="s">
        <v>118</v>
      </c>
      <c r="S419" s="114" t="s">
        <v>2701</v>
      </c>
      <c r="T419" s="114" t="s">
        <v>118</v>
      </c>
      <c r="U419" s="114" t="s">
        <v>8986</v>
      </c>
      <c r="V419" s="114" t="s">
        <v>3072</v>
      </c>
      <c r="W419" s="114" t="s">
        <v>8864</v>
      </c>
      <c r="X419" s="114" t="s">
        <v>2701</v>
      </c>
      <c r="Y419" s="114" t="s">
        <v>8851</v>
      </c>
      <c r="Z419" s="114" t="s">
        <v>2701</v>
      </c>
      <c r="AA419" s="114" t="s">
        <v>9395</v>
      </c>
      <c r="AB419" s="114" t="s">
        <v>8888</v>
      </c>
    </row>
    <row r="420" spans="1:28" ht="36" x14ac:dyDescent="0.2">
      <c r="A420" s="133" t="s">
        <v>2056</v>
      </c>
      <c r="B420" s="130"/>
      <c r="C420" s="130" t="s">
        <v>619</v>
      </c>
      <c r="D420" s="130" t="s">
        <v>2057</v>
      </c>
      <c r="E420" s="131">
        <v>40357</v>
      </c>
      <c r="F420" s="131">
        <v>40374</v>
      </c>
      <c r="G420" s="132" t="s">
        <v>2058</v>
      </c>
      <c r="H420" s="132" t="s">
        <v>1729</v>
      </c>
      <c r="I420" s="132" t="s">
        <v>215</v>
      </c>
      <c r="J420" s="132" t="s">
        <v>63</v>
      </c>
      <c r="K420" s="440" t="str">
        <f>HYPERLINK("https://okcountyrecords.com/detail/roger+mills/2010-007125","OKCountyRecords: 2010-007125")</f>
        <v>OKCountyRecords: 2010-007125</v>
      </c>
      <c r="L420" s="133" t="s">
        <v>412</v>
      </c>
      <c r="M420" s="133" t="s">
        <v>405</v>
      </c>
      <c r="N420" s="133"/>
      <c r="O420" s="133" t="s">
        <v>428</v>
      </c>
      <c r="P420" s="114" t="s">
        <v>8934</v>
      </c>
      <c r="Q420" s="114" t="s">
        <v>118</v>
      </c>
      <c r="R420" s="114" t="s">
        <v>89</v>
      </c>
      <c r="S420" s="114" t="s">
        <v>118</v>
      </c>
      <c r="T420" s="114" t="s">
        <v>89</v>
      </c>
      <c r="U420" s="114" t="s">
        <v>8862</v>
      </c>
      <c r="V420" s="114" t="s">
        <v>3072</v>
      </c>
      <c r="W420" s="114" t="s">
        <v>8864</v>
      </c>
      <c r="X420" s="114" t="s">
        <v>8865</v>
      </c>
      <c r="Y420" s="114" t="s">
        <v>8857</v>
      </c>
      <c r="Z420" s="114" t="s">
        <v>8858</v>
      </c>
      <c r="AA420" s="114" t="s">
        <v>9396</v>
      </c>
      <c r="AB420" s="114" t="s">
        <v>8867</v>
      </c>
    </row>
    <row r="421" spans="1:28" ht="48" x14ac:dyDescent="0.2">
      <c r="A421" s="133" t="s">
        <v>2059</v>
      </c>
      <c r="B421" s="130"/>
      <c r="C421" s="130" t="s">
        <v>2060</v>
      </c>
      <c r="D421" s="130" t="s">
        <v>2061</v>
      </c>
      <c r="E421" s="131">
        <v>40360</v>
      </c>
      <c r="F421" s="131">
        <v>40483</v>
      </c>
      <c r="G421" s="132" t="s">
        <v>1957</v>
      </c>
      <c r="H421" s="132" t="s">
        <v>2062</v>
      </c>
      <c r="I421" s="132" t="s">
        <v>2063</v>
      </c>
      <c r="J421" s="132" t="s">
        <v>760</v>
      </c>
      <c r="K421" s="440" t="str">
        <f>HYPERLINK("https://okcountyrecords.com/detail/roger+mills/2010-010052","OKCountyRecords: 2010-010052")</f>
        <v>OKCountyRecords: 2010-010052</v>
      </c>
      <c r="L421" s="133" t="s">
        <v>466</v>
      </c>
      <c r="M421" s="133"/>
      <c r="N421" s="133"/>
      <c r="O421" s="133" t="s">
        <v>526</v>
      </c>
      <c r="P421" s="114" t="s">
        <v>8903</v>
      </c>
      <c r="Q421" s="114" t="s">
        <v>2701</v>
      </c>
      <c r="R421" s="114" t="s">
        <v>2701</v>
      </c>
      <c r="S421" s="114" t="s">
        <v>2701</v>
      </c>
      <c r="T421" s="114" t="s">
        <v>2701</v>
      </c>
      <c r="U421" s="114" t="s">
        <v>9370</v>
      </c>
      <c r="V421" s="114" t="s">
        <v>2701</v>
      </c>
      <c r="W421" s="114" t="s">
        <v>8906</v>
      </c>
      <c r="X421" s="114" t="s">
        <v>2701</v>
      </c>
      <c r="Y421" s="114" t="s">
        <v>8851</v>
      </c>
      <c r="Z421" s="114" t="s">
        <v>2701</v>
      </c>
      <c r="AA421" s="114" t="s">
        <v>9397</v>
      </c>
      <c r="AB421" s="114" t="s">
        <v>9398</v>
      </c>
    </row>
    <row r="422" spans="1:28" ht="48" x14ac:dyDescent="0.2">
      <c r="A422" s="133" t="s">
        <v>2064</v>
      </c>
      <c r="B422" s="130"/>
      <c r="C422" s="130" t="s">
        <v>619</v>
      </c>
      <c r="D422" s="130" t="s">
        <v>2065</v>
      </c>
      <c r="E422" s="131">
        <v>40416</v>
      </c>
      <c r="F422" s="131">
        <v>40438</v>
      </c>
      <c r="G422" s="132" t="s">
        <v>2066</v>
      </c>
      <c r="H422" s="132" t="s">
        <v>2067</v>
      </c>
      <c r="I422" s="132" t="s">
        <v>1280</v>
      </c>
      <c r="J422" s="132" t="s">
        <v>63</v>
      </c>
      <c r="K422" s="440" t="str">
        <f>HYPERLINK("https://okcountyrecords.com/detail/roger+mills/2010-008922","OKCountyRecords: 2010-008922")</f>
        <v>OKCountyRecords: 2010-008922</v>
      </c>
      <c r="L422" s="133" t="s">
        <v>412</v>
      </c>
      <c r="M422" s="133" t="s">
        <v>405</v>
      </c>
      <c r="N422" s="133"/>
      <c r="O422" s="133" t="s">
        <v>422</v>
      </c>
      <c r="P422" s="114" t="s">
        <v>8934</v>
      </c>
      <c r="Q422" s="114" t="s">
        <v>118</v>
      </c>
      <c r="R422" s="114" t="s">
        <v>89</v>
      </c>
      <c r="S422" s="114" t="s">
        <v>118</v>
      </c>
      <c r="T422" s="114" t="s">
        <v>89</v>
      </c>
      <c r="U422" s="114" t="s">
        <v>8862</v>
      </c>
      <c r="V422" s="114" t="s">
        <v>3072</v>
      </c>
      <c r="W422" s="114" t="s">
        <v>9668</v>
      </c>
      <c r="X422" s="114" t="s">
        <v>2701</v>
      </c>
      <c r="Y422" s="114" t="s">
        <v>8857</v>
      </c>
      <c r="Z422" s="114" t="s">
        <v>8858</v>
      </c>
      <c r="AA422" s="114" t="s">
        <v>9399</v>
      </c>
      <c r="AB422" s="114" t="s">
        <v>8867</v>
      </c>
    </row>
    <row r="423" spans="1:28" ht="60" x14ac:dyDescent="0.2">
      <c r="A423" s="133" t="s">
        <v>2068</v>
      </c>
      <c r="B423" s="130"/>
      <c r="C423" s="130" t="s">
        <v>619</v>
      </c>
      <c r="D423" s="130" t="s">
        <v>2069</v>
      </c>
      <c r="E423" s="131">
        <v>40437</v>
      </c>
      <c r="F423" s="131">
        <v>40441</v>
      </c>
      <c r="G423" s="132" t="s">
        <v>2070</v>
      </c>
      <c r="H423" s="132" t="s">
        <v>2071</v>
      </c>
      <c r="I423" s="132" t="s">
        <v>883</v>
      </c>
      <c r="J423" s="132" t="s">
        <v>63</v>
      </c>
      <c r="K423" s="440" t="str">
        <f>HYPERLINK("https://okcountyrecords.com/detail/roger+mills/2010-008934","OKCountyRecords: 2010-008934")</f>
        <v>OKCountyRecords: 2010-008934</v>
      </c>
      <c r="L423" s="133" t="s">
        <v>412</v>
      </c>
      <c r="M423" s="133" t="s">
        <v>405</v>
      </c>
      <c r="N423" s="133"/>
      <c r="O423" s="133" t="s">
        <v>422</v>
      </c>
      <c r="P423" s="114" t="s">
        <v>8934</v>
      </c>
      <c r="Q423" s="114" t="s">
        <v>118</v>
      </c>
      <c r="R423" s="114" t="s">
        <v>89</v>
      </c>
      <c r="S423" s="114" t="s">
        <v>118</v>
      </c>
      <c r="T423" s="114" t="s">
        <v>89</v>
      </c>
      <c r="U423" s="114" t="s">
        <v>8986</v>
      </c>
      <c r="V423" s="114" t="s">
        <v>3072</v>
      </c>
      <c r="W423" s="114" t="s">
        <v>8864</v>
      </c>
      <c r="X423" s="114" t="s">
        <v>2701</v>
      </c>
      <c r="Y423" s="114" t="s">
        <v>8857</v>
      </c>
      <c r="Z423" s="114" t="s">
        <v>8858</v>
      </c>
      <c r="AA423" s="114" t="s">
        <v>9400</v>
      </c>
      <c r="AB423" s="114" t="s">
        <v>8867</v>
      </c>
    </row>
    <row r="424" spans="1:28" ht="60" x14ac:dyDescent="0.2">
      <c r="A424" s="133" t="s">
        <v>2072</v>
      </c>
      <c r="B424" s="130"/>
      <c r="C424" s="130" t="s">
        <v>2073</v>
      </c>
      <c r="D424" s="130" t="s">
        <v>2074</v>
      </c>
      <c r="E424" s="131">
        <v>40513</v>
      </c>
      <c r="F424" s="131">
        <v>40549</v>
      </c>
      <c r="G424" s="132" t="s">
        <v>2075</v>
      </c>
      <c r="H424" s="132" t="s">
        <v>2076</v>
      </c>
      <c r="I424" s="132" t="s">
        <v>569</v>
      </c>
      <c r="J424" s="132" t="s">
        <v>63</v>
      </c>
      <c r="K424" s="440" t="str">
        <f>HYPERLINK("https://okcountyrecords.com/detail/roger+mills/2011-000110","OKCountyRecords: 2011-000110")</f>
        <v>OKCountyRecords: 2011-000110</v>
      </c>
      <c r="L424" s="133" t="s">
        <v>653</v>
      </c>
      <c r="M424" s="133"/>
      <c r="N424" s="133"/>
      <c r="O424" s="133" t="s">
        <v>422</v>
      </c>
      <c r="P424" s="114" t="s">
        <v>8854</v>
      </c>
      <c r="Q424" s="114" t="s">
        <v>118</v>
      </c>
      <c r="R424" s="114" t="s">
        <v>89</v>
      </c>
      <c r="S424" s="114" t="s">
        <v>2701</v>
      </c>
      <c r="T424" s="114" t="s">
        <v>89</v>
      </c>
      <c r="U424" s="114" t="s">
        <v>8896</v>
      </c>
      <c r="V424" s="114" t="s">
        <v>3386</v>
      </c>
      <c r="W424" s="114" t="s">
        <v>8864</v>
      </c>
      <c r="X424" s="114" t="s">
        <v>2701</v>
      </c>
      <c r="Y424" s="114" t="s">
        <v>8857</v>
      </c>
      <c r="Z424" s="114" t="s">
        <v>8858</v>
      </c>
      <c r="AA424" s="114" t="s">
        <v>9401</v>
      </c>
      <c r="AB424" s="114" t="s">
        <v>8867</v>
      </c>
    </row>
    <row r="425" spans="1:28" ht="84" x14ac:dyDescent="0.2">
      <c r="A425" s="133" t="s">
        <v>2077</v>
      </c>
      <c r="B425" s="130"/>
      <c r="C425" s="130" t="s">
        <v>2078</v>
      </c>
      <c r="D425" s="130" t="s">
        <v>2079</v>
      </c>
      <c r="E425" s="131">
        <v>40577</v>
      </c>
      <c r="F425" s="131">
        <v>40592</v>
      </c>
      <c r="G425" s="132" t="s">
        <v>2080</v>
      </c>
      <c r="H425" s="132" t="s">
        <v>2081</v>
      </c>
      <c r="I425" s="132" t="s">
        <v>1468</v>
      </c>
      <c r="J425" s="132" t="s">
        <v>63</v>
      </c>
      <c r="K425" s="440" t="str">
        <f>HYPERLINK("https://okcountyrecords.com/detail/roger+mills/2011-001008","OKCountyRecords: 2011-001008")</f>
        <v>OKCountyRecords: 2011-001008</v>
      </c>
      <c r="L425" s="133" t="s">
        <v>412</v>
      </c>
      <c r="M425" s="133" t="s">
        <v>405</v>
      </c>
      <c r="N425" s="133"/>
      <c r="O425" s="133" t="s">
        <v>422</v>
      </c>
      <c r="P425" s="114" t="s">
        <v>8934</v>
      </c>
      <c r="Q425" s="114" t="s">
        <v>118</v>
      </c>
      <c r="R425" s="114" t="s">
        <v>89</v>
      </c>
      <c r="S425" s="114" t="s">
        <v>118</v>
      </c>
      <c r="T425" s="114" t="s">
        <v>89</v>
      </c>
      <c r="U425" s="114" t="s">
        <v>9204</v>
      </c>
      <c r="V425" s="114" t="s">
        <v>2701</v>
      </c>
      <c r="W425" s="114" t="s">
        <v>8864</v>
      </c>
      <c r="X425" s="114" t="s">
        <v>2701</v>
      </c>
      <c r="Y425" s="114" t="s">
        <v>8857</v>
      </c>
      <c r="Z425" s="114" t="s">
        <v>8858</v>
      </c>
      <c r="AA425" s="114" t="s">
        <v>9402</v>
      </c>
      <c r="AB425" s="114" t="s">
        <v>8877</v>
      </c>
    </row>
    <row r="426" spans="1:28" ht="84" x14ac:dyDescent="0.2">
      <c r="A426" s="133" t="s">
        <v>2082</v>
      </c>
      <c r="B426" s="130"/>
      <c r="C426" s="130" t="s">
        <v>2078</v>
      </c>
      <c r="D426" s="130" t="s">
        <v>2083</v>
      </c>
      <c r="E426" s="131">
        <v>40577</v>
      </c>
      <c r="F426" s="131">
        <v>40592</v>
      </c>
      <c r="G426" s="132" t="s">
        <v>2084</v>
      </c>
      <c r="H426" s="132" t="s">
        <v>2081</v>
      </c>
      <c r="I426" s="132" t="s">
        <v>1468</v>
      </c>
      <c r="J426" s="132" t="s">
        <v>63</v>
      </c>
      <c r="K426" s="440" t="str">
        <f>HYPERLINK("https://okcountyrecords.com/detail/roger+mills/2011-001007","OKCountyRecords: 2011-001007")</f>
        <v>OKCountyRecords: 2011-001007</v>
      </c>
      <c r="L426" s="133" t="s">
        <v>412</v>
      </c>
      <c r="M426" s="133" t="s">
        <v>405</v>
      </c>
      <c r="N426" s="133"/>
      <c r="O426" s="133" t="s">
        <v>422</v>
      </c>
      <c r="P426" s="114" t="s">
        <v>8934</v>
      </c>
      <c r="Q426" s="114" t="s">
        <v>118</v>
      </c>
      <c r="R426" s="114" t="s">
        <v>89</v>
      </c>
      <c r="S426" s="114" t="s">
        <v>118</v>
      </c>
      <c r="T426" s="114" t="s">
        <v>89</v>
      </c>
      <c r="U426" s="114" t="s">
        <v>9204</v>
      </c>
      <c r="V426" s="114" t="s">
        <v>2701</v>
      </c>
      <c r="W426" s="114" t="s">
        <v>9669</v>
      </c>
      <c r="X426" s="114" t="s">
        <v>2701</v>
      </c>
      <c r="Y426" s="114" t="s">
        <v>8857</v>
      </c>
      <c r="Z426" s="114" t="s">
        <v>8858</v>
      </c>
      <c r="AA426" s="114" t="s">
        <v>9403</v>
      </c>
      <c r="AB426" s="114" t="s">
        <v>8877</v>
      </c>
    </row>
    <row r="427" spans="1:28" ht="72" x14ac:dyDescent="0.2">
      <c r="A427" s="133" t="s">
        <v>2085</v>
      </c>
      <c r="B427" s="130"/>
      <c r="C427" s="130" t="s">
        <v>2078</v>
      </c>
      <c r="D427" s="130" t="s">
        <v>2086</v>
      </c>
      <c r="E427" s="131">
        <v>40583</v>
      </c>
      <c r="F427" s="131">
        <v>40592</v>
      </c>
      <c r="G427" s="132" t="s">
        <v>2087</v>
      </c>
      <c r="H427" s="132" t="s">
        <v>2088</v>
      </c>
      <c r="I427" s="132" t="s">
        <v>1468</v>
      </c>
      <c r="J427" s="132" t="s">
        <v>63</v>
      </c>
      <c r="K427" s="440" t="str">
        <f>HYPERLINK("https://okcountyrecords.com/detail/roger+mills/2011-001009","OKCountyRecords: 2011-001009")</f>
        <v>OKCountyRecords: 2011-001009</v>
      </c>
      <c r="L427" s="133" t="s">
        <v>412</v>
      </c>
      <c r="M427" s="133" t="s">
        <v>405</v>
      </c>
      <c r="N427" s="133"/>
      <c r="O427" s="133" t="s">
        <v>422</v>
      </c>
      <c r="P427" s="114" t="s">
        <v>8934</v>
      </c>
      <c r="Q427" s="114" t="s">
        <v>118</v>
      </c>
      <c r="R427" s="114" t="s">
        <v>89</v>
      </c>
      <c r="S427" s="114" t="s">
        <v>118</v>
      </c>
      <c r="T427" s="114" t="s">
        <v>89</v>
      </c>
      <c r="U427" s="114" t="s">
        <v>9204</v>
      </c>
      <c r="V427" s="114" t="s">
        <v>2701</v>
      </c>
      <c r="W427" s="114" t="s">
        <v>9627</v>
      </c>
      <c r="X427" s="114" t="s">
        <v>8869</v>
      </c>
      <c r="Y427" s="114" t="s">
        <v>8857</v>
      </c>
      <c r="Z427" s="114" t="s">
        <v>8858</v>
      </c>
      <c r="AA427" s="114" t="s">
        <v>9404</v>
      </c>
      <c r="AB427" s="114" t="s">
        <v>8877</v>
      </c>
    </row>
    <row r="428" spans="1:28" ht="48" x14ac:dyDescent="0.2">
      <c r="A428" s="133" t="s">
        <v>2089</v>
      </c>
      <c r="B428" s="130"/>
      <c r="C428" s="130" t="s">
        <v>619</v>
      </c>
      <c r="D428" s="130" t="s">
        <v>2090</v>
      </c>
      <c r="E428" s="131">
        <v>40661</v>
      </c>
      <c r="F428" s="131">
        <v>40665</v>
      </c>
      <c r="G428" s="132" t="s">
        <v>2091</v>
      </c>
      <c r="H428" s="132" t="s">
        <v>2092</v>
      </c>
      <c r="I428" s="132" t="s">
        <v>1280</v>
      </c>
      <c r="J428" s="132" t="s">
        <v>63</v>
      </c>
      <c r="K428" s="440" t="str">
        <f>HYPERLINK("https://okcountyrecords.com/detail/roger+mills/2011-003023","OKCountyRecords: 2011-003023")</f>
        <v>OKCountyRecords: 2011-003023</v>
      </c>
      <c r="L428" s="133" t="s">
        <v>412</v>
      </c>
      <c r="M428" s="133" t="s">
        <v>405</v>
      </c>
      <c r="N428" s="133"/>
      <c r="O428" s="133" t="s">
        <v>422</v>
      </c>
      <c r="P428" s="114" t="s">
        <v>8934</v>
      </c>
      <c r="Q428" s="114" t="s">
        <v>118</v>
      </c>
      <c r="R428" s="114" t="s">
        <v>89</v>
      </c>
      <c r="S428" s="114" t="s">
        <v>118</v>
      </c>
      <c r="T428" s="114" t="s">
        <v>89</v>
      </c>
      <c r="U428" s="114" t="s">
        <v>8862</v>
      </c>
      <c r="V428" s="114" t="s">
        <v>3072</v>
      </c>
      <c r="W428" s="114" t="s">
        <v>8864</v>
      </c>
      <c r="X428" s="114" t="s">
        <v>2701</v>
      </c>
      <c r="Y428" s="114" t="s">
        <v>8857</v>
      </c>
      <c r="Z428" s="114" t="s">
        <v>8858</v>
      </c>
      <c r="AA428" s="114" t="s">
        <v>9405</v>
      </c>
      <c r="AB428" s="114" t="s">
        <v>8867</v>
      </c>
    </row>
    <row r="429" spans="1:28" ht="48" x14ac:dyDescent="0.2">
      <c r="A429" s="133" t="s">
        <v>2093</v>
      </c>
      <c r="B429" s="130"/>
      <c r="C429" s="130" t="s">
        <v>619</v>
      </c>
      <c r="D429" s="130" t="s">
        <v>2094</v>
      </c>
      <c r="E429" s="131">
        <v>40778</v>
      </c>
      <c r="F429" s="131">
        <v>40781</v>
      </c>
      <c r="G429" s="132" t="s">
        <v>2095</v>
      </c>
      <c r="H429" s="132" t="s">
        <v>2096</v>
      </c>
      <c r="I429" s="132" t="s">
        <v>2097</v>
      </c>
      <c r="J429" s="132" t="s">
        <v>2098</v>
      </c>
      <c r="K429" s="440" t="str">
        <f>HYPERLINK("https://okcountyrecords.com/detail/roger+mills/2011-005695","OKCountyRecords: 2011-005695")</f>
        <v>OKCountyRecords: 2011-005695</v>
      </c>
      <c r="L429" s="133" t="s">
        <v>653</v>
      </c>
      <c r="M429" s="133" t="s">
        <v>641</v>
      </c>
      <c r="N429" s="133" t="s">
        <v>8710</v>
      </c>
      <c r="O429" s="133" t="s">
        <v>428</v>
      </c>
      <c r="P429" s="114" t="s">
        <v>8934</v>
      </c>
      <c r="Q429" s="114" t="s">
        <v>118</v>
      </c>
      <c r="R429" s="114" t="s">
        <v>89</v>
      </c>
      <c r="S429" s="114" t="s">
        <v>118</v>
      </c>
      <c r="T429" s="114" t="s">
        <v>89</v>
      </c>
      <c r="U429" s="114" t="s">
        <v>8896</v>
      </c>
      <c r="V429" s="114" t="s">
        <v>3386</v>
      </c>
      <c r="W429" s="114" t="s">
        <v>9670</v>
      </c>
      <c r="X429" s="114" t="s">
        <v>2701</v>
      </c>
      <c r="Y429" s="114" t="s">
        <v>8857</v>
      </c>
      <c r="Z429" s="114" t="s">
        <v>8858</v>
      </c>
      <c r="AA429" s="114" t="s">
        <v>9406</v>
      </c>
      <c r="AB429" s="114" t="s">
        <v>8867</v>
      </c>
    </row>
    <row r="430" spans="1:28" ht="60" x14ac:dyDescent="0.2">
      <c r="A430" s="133" t="s">
        <v>2099</v>
      </c>
      <c r="B430" s="130"/>
      <c r="C430" s="130" t="s">
        <v>2073</v>
      </c>
      <c r="D430" s="130" t="s">
        <v>2100</v>
      </c>
      <c r="E430" s="131">
        <v>40788</v>
      </c>
      <c r="F430" s="131">
        <v>40793</v>
      </c>
      <c r="G430" s="132" t="s">
        <v>2076</v>
      </c>
      <c r="H430" s="132" t="s">
        <v>2075</v>
      </c>
      <c r="I430" s="132" t="s">
        <v>569</v>
      </c>
      <c r="J430" s="132" t="s">
        <v>2101</v>
      </c>
      <c r="K430" s="440" t="str">
        <f>HYPERLINK("https://okcountyrecords.com/detail/roger+mills/2011-005926","OKCountyRecords: 2011-005926")</f>
        <v>OKCountyRecords: 2011-005926</v>
      </c>
      <c r="L430" s="133" t="s">
        <v>653</v>
      </c>
      <c r="M430" s="133" t="s">
        <v>641</v>
      </c>
      <c r="N430" s="133" t="s">
        <v>8710</v>
      </c>
      <c r="O430" s="133" t="s">
        <v>422</v>
      </c>
      <c r="P430" s="114" t="s">
        <v>8854</v>
      </c>
      <c r="Q430" s="114" t="s">
        <v>118</v>
      </c>
      <c r="R430" s="114" t="s">
        <v>89</v>
      </c>
      <c r="S430" s="114" t="s">
        <v>2701</v>
      </c>
      <c r="T430" s="114" t="s">
        <v>89</v>
      </c>
      <c r="U430" s="114" t="s">
        <v>8896</v>
      </c>
      <c r="V430" s="114" t="s">
        <v>3386</v>
      </c>
      <c r="W430" s="114" t="s">
        <v>8906</v>
      </c>
      <c r="X430" s="114" t="s">
        <v>2701</v>
      </c>
      <c r="Y430" s="114" t="s">
        <v>8857</v>
      </c>
      <c r="Z430" s="114" t="s">
        <v>8858</v>
      </c>
      <c r="AA430" s="114" t="s">
        <v>9407</v>
      </c>
    </row>
    <row r="431" spans="1:28" ht="132" x14ac:dyDescent="0.2">
      <c r="A431" s="133" t="s">
        <v>2102</v>
      </c>
      <c r="B431" s="130"/>
      <c r="C431" s="130" t="s">
        <v>2103</v>
      </c>
      <c r="D431" s="130" t="s">
        <v>2104</v>
      </c>
      <c r="E431" s="131">
        <v>40839</v>
      </c>
      <c r="F431" s="131">
        <v>40869</v>
      </c>
      <c r="G431" s="132" t="s">
        <v>2105</v>
      </c>
      <c r="H431" s="132" t="s">
        <v>2106</v>
      </c>
      <c r="I431" s="132" t="s">
        <v>1280</v>
      </c>
      <c r="J431" s="132" t="s">
        <v>63</v>
      </c>
      <c r="K431" s="440" t="str">
        <f>HYPERLINK("https://okcountyrecords.com/detail/roger+mills/2011-007727","OKCountyRecords: 2011-007727")</f>
        <v>OKCountyRecords: 2011-007727</v>
      </c>
      <c r="L431" s="133" t="s">
        <v>8708</v>
      </c>
      <c r="M431" s="133" t="s">
        <v>405</v>
      </c>
      <c r="N431" s="133"/>
      <c r="O431" s="133" t="s">
        <v>422</v>
      </c>
      <c r="P431" s="114" t="s">
        <v>8886</v>
      </c>
      <c r="Q431" s="114" t="s">
        <v>118</v>
      </c>
      <c r="R431" s="114" t="s">
        <v>89</v>
      </c>
      <c r="S431" s="114" t="s">
        <v>118</v>
      </c>
      <c r="T431" s="114" t="s">
        <v>89</v>
      </c>
      <c r="U431" s="114" t="s">
        <v>8862</v>
      </c>
      <c r="V431" s="114" t="s">
        <v>3072</v>
      </c>
      <c r="W431" s="114" t="s">
        <v>9671</v>
      </c>
      <c r="X431" s="114" t="s">
        <v>2701</v>
      </c>
      <c r="Y431" s="114" t="s">
        <v>8851</v>
      </c>
      <c r="Z431" s="114" t="s">
        <v>2701</v>
      </c>
      <c r="AA431" s="114" t="s">
        <v>9408</v>
      </c>
      <c r="AB431" s="114" t="s">
        <v>8888</v>
      </c>
    </row>
    <row r="432" spans="1:28" ht="132" x14ac:dyDescent="0.2">
      <c r="A432" s="133" t="s">
        <v>2107</v>
      </c>
      <c r="B432" s="130"/>
      <c r="C432" s="130" t="s">
        <v>408</v>
      </c>
      <c r="D432" s="130" t="s">
        <v>2108</v>
      </c>
      <c r="E432" s="131">
        <v>40839</v>
      </c>
      <c r="F432" s="131">
        <v>40869</v>
      </c>
      <c r="G432" s="132" t="s">
        <v>2109</v>
      </c>
      <c r="H432" s="132" t="s">
        <v>2110</v>
      </c>
      <c r="I432" s="132" t="s">
        <v>2111</v>
      </c>
      <c r="J432" s="132" t="s">
        <v>63</v>
      </c>
      <c r="K432" s="440" t="str">
        <f>HYPERLINK("https://okcountyrecords.com/detail/roger+mills/2011-007728","OKCountyRecords: 2011-007728")</f>
        <v>OKCountyRecords: 2011-007728</v>
      </c>
      <c r="L432" s="133" t="s">
        <v>412</v>
      </c>
      <c r="M432" s="133" t="s">
        <v>405</v>
      </c>
      <c r="N432" s="133"/>
      <c r="O432" s="133" t="s">
        <v>422</v>
      </c>
      <c r="P432" s="114" t="s">
        <v>8854</v>
      </c>
      <c r="Q432" s="114" t="s">
        <v>118</v>
      </c>
      <c r="R432" s="114" t="s">
        <v>89</v>
      </c>
      <c r="S432" s="114" t="s">
        <v>2701</v>
      </c>
      <c r="T432" s="114" t="s">
        <v>89</v>
      </c>
      <c r="U432" s="114" t="s">
        <v>8862</v>
      </c>
      <c r="V432" s="114" t="s">
        <v>3072</v>
      </c>
      <c r="W432" s="114" t="s">
        <v>9671</v>
      </c>
      <c r="X432" s="114" t="s">
        <v>2701</v>
      </c>
      <c r="Y432" s="114" t="s">
        <v>8857</v>
      </c>
      <c r="Z432" s="114" t="s">
        <v>8858</v>
      </c>
      <c r="AA432" s="114" t="s">
        <v>9409</v>
      </c>
      <c r="AB432" s="114" t="s">
        <v>8867</v>
      </c>
    </row>
    <row r="433" spans="1:28" ht="264" x14ac:dyDescent="0.2">
      <c r="A433" s="133" t="s">
        <v>2112</v>
      </c>
      <c r="B433" s="130"/>
      <c r="C433" s="130" t="s">
        <v>619</v>
      </c>
      <c r="D433" s="130" t="s">
        <v>2113</v>
      </c>
      <c r="E433" s="131">
        <v>40839</v>
      </c>
      <c r="F433" s="131">
        <v>40869</v>
      </c>
      <c r="G433" s="132" t="s">
        <v>2109</v>
      </c>
      <c r="H433" s="132" t="s">
        <v>2114</v>
      </c>
      <c r="I433" s="132" t="s">
        <v>1280</v>
      </c>
      <c r="J433" s="132" t="s">
        <v>63</v>
      </c>
      <c r="K433" s="440" t="str">
        <f>HYPERLINK("https://okcountyrecords.com/detail/roger+mills/2011-007729","OKCountyRecords: 2011-007729")</f>
        <v>OKCountyRecords: 2011-007729</v>
      </c>
      <c r="L433" s="133" t="s">
        <v>412</v>
      </c>
      <c r="M433" s="133" t="s">
        <v>405</v>
      </c>
      <c r="N433" s="133"/>
      <c r="O433" s="133" t="s">
        <v>422</v>
      </c>
      <c r="P433" s="114" t="s">
        <v>8934</v>
      </c>
      <c r="Q433" s="114" t="s">
        <v>118</v>
      </c>
      <c r="R433" s="114" t="s">
        <v>89</v>
      </c>
      <c r="S433" s="114" t="s">
        <v>118</v>
      </c>
      <c r="T433" s="114" t="s">
        <v>89</v>
      </c>
      <c r="U433" s="114" t="s">
        <v>8862</v>
      </c>
      <c r="V433" s="114" t="s">
        <v>3072</v>
      </c>
      <c r="W433" s="114" t="s">
        <v>9671</v>
      </c>
      <c r="X433" s="114" t="s">
        <v>2701</v>
      </c>
      <c r="Y433" s="114" t="s">
        <v>8857</v>
      </c>
      <c r="Z433" s="114" t="s">
        <v>8858</v>
      </c>
      <c r="AA433" s="114" t="s">
        <v>9410</v>
      </c>
      <c r="AB433" s="114" t="s">
        <v>8867</v>
      </c>
    </row>
    <row r="434" spans="1:28" ht="108" x14ac:dyDescent="0.2">
      <c r="A434" s="133" t="s">
        <v>2115</v>
      </c>
      <c r="B434" s="130"/>
      <c r="C434" s="130" t="s">
        <v>619</v>
      </c>
      <c r="D434" s="130" t="s">
        <v>2116</v>
      </c>
      <c r="E434" s="131">
        <v>40855</v>
      </c>
      <c r="F434" s="131">
        <v>40876</v>
      </c>
      <c r="G434" s="132" t="s">
        <v>2117</v>
      </c>
      <c r="H434" s="132" t="s">
        <v>2118</v>
      </c>
      <c r="I434" s="132" t="s">
        <v>2119</v>
      </c>
      <c r="J434" s="132" t="s">
        <v>2120</v>
      </c>
      <c r="K434" s="440" t="str">
        <f>HYPERLINK("https://okcountyrecords.com/detail/roger+mills/2011-007826","OKCountyRecords: 2011-007826")</f>
        <v>OKCountyRecords: 2011-007826</v>
      </c>
      <c r="L434" s="133" t="s">
        <v>412</v>
      </c>
      <c r="M434" s="133" t="s">
        <v>405</v>
      </c>
      <c r="N434" s="133" t="s">
        <v>2121</v>
      </c>
      <c r="O434" s="133" t="s">
        <v>422</v>
      </c>
      <c r="P434" s="114" t="s">
        <v>8934</v>
      </c>
      <c r="Q434" s="114" t="s">
        <v>118</v>
      </c>
      <c r="R434" s="114" t="s">
        <v>89</v>
      </c>
      <c r="S434" s="114" t="s">
        <v>118</v>
      </c>
      <c r="T434" s="114" t="s">
        <v>89</v>
      </c>
      <c r="U434" s="114" t="s">
        <v>9230</v>
      </c>
      <c r="V434" s="114" t="s">
        <v>3072</v>
      </c>
      <c r="W434" s="114" t="s">
        <v>8864</v>
      </c>
      <c r="X434" s="114" t="s">
        <v>8873</v>
      </c>
      <c r="Y434" s="114" t="s">
        <v>9002</v>
      </c>
      <c r="Z434" s="114" t="s">
        <v>8858</v>
      </c>
      <c r="AA434" s="114" t="s">
        <v>9411</v>
      </c>
      <c r="AB434" s="114" t="s">
        <v>8867</v>
      </c>
    </row>
    <row r="435" spans="1:28" ht="48" x14ac:dyDescent="0.2">
      <c r="A435" s="133" t="s">
        <v>2122</v>
      </c>
      <c r="B435" s="130"/>
      <c r="C435" s="130" t="s">
        <v>2123</v>
      </c>
      <c r="D435" s="130" t="s">
        <v>2124</v>
      </c>
      <c r="E435" s="131">
        <v>40876</v>
      </c>
      <c r="F435" s="131">
        <v>40886</v>
      </c>
      <c r="G435" s="132" t="s">
        <v>357</v>
      </c>
      <c r="H435" s="132" t="s">
        <v>164</v>
      </c>
      <c r="I435" s="132" t="s">
        <v>2125</v>
      </c>
      <c r="J435" s="132" t="s">
        <v>2126</v>
      </c>
      <c r="K435" s="440" t="str">
        <f>HYPERLINK("https://okcountyrecords.com/detail/roger+mills/2011-008134","OKCountyRecords: 2011-008134")</f>
        <v>OKCountyRecords: 2011-008134</v>
      </c>
      <c r="L435" s="133" t="s">
        <v>412</v>
      </c>
      <c r="M435" s="133" t="s">
        <v>405</v>
      </c>
      <c r="N435" s="133"/>
      <c r="O435" s="133" t="s">
        <v>422</v>
      </c>
      <c r="P435" s="114" t="s">
        <v>8934</v>
      </c>
      <c r="Q435" s="114" t="s">
        <v>118</v>
      </c>
      <c r="R435" s="114" t="s">
        <v>89</v>
      </c>
      <c r="S435" s="114" t="s">
        <v>118</v>
      </c>
      <c r="T435" s="114" t="s">
        <v>89</v>
      </c>
      <c r="U435" s="114" t="s">
        <v>9412</v>
      </c>
      <c r="V435" s="114" t="s">
        <v>3072</v>
      </c>
      <c r="W435" s="114" t="s">
        <v>8906</v>
      </c>
      <c r="X435" s="114" t="s">
        <v>8865</v>
      </c>
      <c r="Y435" s="114" t="s">
        <v>9004</v>
      </c>
      <c r="Z435" s="114" t="s">
        <v>8858</v>
      </c>
      <c r="AA435" s="114" t="s">
        <v>9413</v>
      </c>
    </row>
    <row r="436" spans="1:28" ht="48" x14ac:dyDescent="0.2">
      <c r="A436" s="133" t="s">
        <v>2128</v>
      </c>
      <c r="B436" s="130"/>
      <c r="C436" s="130" t="s">
        <v>2123</v>
      </c>
      <c r="D436" s="130" t="s">
        <v>2129</v>
      </c>
      <c r="E436" s="131">
        <v>40876</v>
      </c>
      <c r="F436" s="131">
        <v>41592</v>
      </c>
      <c r="G436" s="132" t="s">
        <v>357</v>
      </c>
      <c r="H436" s="132" t="s">
        <v>164</v>
      </c>
      <c r="I436" s="132" t="s">
        <v>1280</v>
      </c>
      <c r="J436" s="132" t="s">
        <v>2126</v>
      </c>
      <c r="K436" s="440" t="str">
        <f>HYPERLINK("https://okcountyrecords.com/detail/roger+mills/2013-006083","OKCountyRecords: 2013-006083")</f>
        <v>OKCountyRecords: 2013-006083</v>
      </c>
      <c r="L436" s="133" t="s">
        <v>412</v>
      </c>
      <c r="M436" s="133" t="s">
        <v>405</v>
      </c>
      <c r="N436" s="133"/>
      <c r="O436" s="133" t="s">
        <v>422</v>
      </c>
      <c r="P436" s="114" t="s">
        <v>8934</v>
      </c>
      <c r="Q436" s="114" t="s">
        <v>118</v>
      </c>
      <c r="R436" s="114" t="s">
        <v>89</v>
      </c>
      <c r="S436" s="114" t="s">
        <v>118</v>
      </c>
      <c r="T436" s="114" t="s">
        <v>89</v>
      </c>
      <c r="U436" s="114" t="s">
        <v>8862</v>
      </c>
      <c r="V436" s="114" t="s">
        <v>3072</v>
      </c>
      <c r="W436" s="114" t="s">
        <v>8906</v>
      </c>
      <c r="X436" s="114" t="s">
        <v>8865</v>
      </c>
      <c r="Y436" s="114" t="s">
        <v>9004</v>
      </c>
      <c r="Z436" s="114" t="s">
        <v>8858</v>
      </c>
      <c r="AA436" s="114" t="s">
        <v>9414</v>
      </c>
    </row>
    <row r="437" spans="1:28" ht="48" x14ac:dyDescent="0.2">
      <c r="A437" s="133" t="s">
        <v>2130</v>
      </c>
      <c r="B437" s="130"/>
      <c r="C437" s="130" t="s">
        <v>619</v>
      </c>
      <c r="D437" s="130" t="s">
        <v>2131</v>
      </c>
      <c r="E437" s="131">
        <v>40892</v>
      </c>
      <c r="F437" s="131">
        <v>40896</v>
      </c>
      <c r="G437" s="132" t="s">
        <v>2132</v>
      </c>
      <c r="H437" s="132" t="s">
        <v>2096</v>
      </c>
      <c r="I437" s="132" t="s">
        <v>2097</v>
      </c>
      <c r="J437" s="132" t="s">
        <v>63</v>
      </c>
      <c r="K437" s="440" t="str">
        <f>HYPERLINK("https://okcountyrecords.com/detail/roger+mills/2011-008366","OKCountyRecords: 2011-008366")</f>
        <v>OKCountyRecords: 2011-008366</v>
      </c>
      <c r="L437" s="133" t="s">
        <v>653</v>
      </c>
      <c r="M437" s="133" t="s">
        <v>405</v>
      </c>
      <c r="N437" s="133"/>
      <c r="O437" s="133" t="s">
        <v>428</v>
      </c>
      <c r="P437" s="114" t="s">
        <v>8934</v>
      </c>
      <c r="Q437" s="114" t="s">
        <v>118</v>
      </c>
      <c r="R437" s="114" t="s">
        <v>89</v>
      </c>
      <c r="S437" s="114" t="s">
        <v>118</v>
      </c>
      <c r="T437" s="114" t="s">
        <v>89</v>
      </c>
      <c r="U437" s="114" t="s">
        <v>8896</v>
      </c>
      <c r="V437" s="114" t="s">
        <v>3386</v>
      </c>
      <c r="W437" s="114" t="s">
        <v>8864</v>
      </c>
      <c r="X437" s="114" t="s">
        <v>2701</v>
      </c>
      <c r="Y437" s="114" t="s">
        <v>8857</v>
      </c>
      <c r="Z437" s="114" t="s">
        <v>8858</v>
      </c>
      <c r="AA437" s="114" t="s">
        <v>9415</v>
      </c>
      <c r="AB437" s="114" t="s">
        <v>8867</v>
      </c>
    </row>
    <row r="438" spans="1:28" ht="72" x14ac:dyDescent="0.2">
      <c r="A438" s="133" t="s">
        <v>2133</v>
      </c>
      <c r="B438" s="130"/>
      <c r="C438" s="130" t="s">
        <v>2134</v>
      </c>
      <c r="D438" s="130" t="s">
        <v>2135</v>
      </c>
      <c r="E438" s="131">
        <v>40905</v>
      </c>
      <c r="F438" s="131">
        <v>40949</v>
      </c>
      <c r="G438" s="132" t="s">
        <v>2136</v>
      </c>
      <c r="H438" s="132" t="s">
        <v>102</v>
      </c>
      <c r="I438" s="132" t="s">
        <v>2097</v>
      </c>
      <c r="J438" s="132" t="s">
        <v>9593</v>
      </c>
      <c r="K438" s="440" t="str">
        <f>HYPERLINK("https://okcountyrecords.com/detail/roger+mills/2012-000970","OKCountyRecords: 2012-000970")</f>
        <v>OKCountyRecords: 2012-000970</v>
      </c>
      <c r="L438" s="133" t="s">
        <v>503</v>
      </c>
      <c r="M438" s="133" t="s">
        <v>467</v>
      </c>
      <c r="N438" s="133" t="s">
        <v>504</v>
      </c>
      <c r="O438" s="133" t="s">
        <v>505</v>
      </c>
      <c r="P438" s="114" t="s">
        <v>8886</v>
      </c>
      <c r="Q438" s="114" t="s">
        <v>118</v>
      </c>
      <c r="R438" s="114" t="s">
        <v>89</v>
      </c>
      <c r="S438" s="114" t="s">
        <v>118</v>
      </c>
      <c r="T438" s="114" t="s">
        <v>89</v>
      </c>
      <c r="U438" s="114" t="s">
        <v>8896</v>
      </c>
      <c r="V438" s="114" t="s">
        <v>3386</v>
      </c>
      <c r="W438" s="114" t="s">
        <v>8864</v>
      </c>
      <c r="X438" s="114" t="s">
        <v>2701</v>
      </c>
      <c r="Y438" s="114" t="s">
        <v>8851</v>
      </c>
      <c r="Z438" s="114" t="s">
        <v>2701</v>
      </c>
      <c r="AA438" s="114" t="s">
        <v>9416</v>
      </c>
      <c r="AB438" s="114" t="s">
        <v>8888</v>
      </c>
    </row>
    <row r="439" spans="1:28" ht="60" x14ac:dyDescent="0.2">
      <c r="A439" s="133" t="s">
        <v>2137</v>
      </c>
      <c r="B439" s="130"/>
      <c r="C439" s="130" t="s">
        <v>2138</v>
      </c>
      <c r="D439" s="130" t="s">
        <v>2139</v>
      </c>
      <c r="E439" s="131">
        <v>40961</v>
      </c>
      <c r="F439" s="131">
        <v>41106</v>
      </c>
      <c r="G439" s="132" t="s">
        <v>2140</v>
      </c>
      <c r="H439" s="132" t="s">
        <v>2141</v>
      </c>
      <c r="I439" s="132" t="s">
        <v>579</v>
      </c>
      <c r="J439" s="132" t="s">
        <v>2142</v>
      </c>
      <c r="K439" s="440" t="str">
        <f>HYPERLINK("https://okcountyrecords.com/detail/roger+mills/2012-005041","OKCountyRecords: 2012-005041")</f>
        <v>OKCountyRecords: 2012-005041</v>
      </c>
      <c r="L439" s="133" t="s">
        <v>466</v>
      </c>
      <c r="M439" s="133"/>
      <c r="N439" s="133"/>
      <c r="O439" s="133" t="s">
        <v>422</v>
      </c>
      <c r="P439" s="114" t="s">
        <v>8886</v>
      </c>
      <c r="Q439" s="114" t="s">
        <v>118</v>
      </c>
      <c r="R439" s="114" t="s">
        <v>89</v>
      </c>
      <c r="S439" s="114" t="s">
        <v>118</v>
      </c>
      <c r="T439" s="114" t="s">
        <v>89</v>
      </c>
      <c r="U439" s="114" t="s">
        <v>8901</v>
      </c>
      <c r="V439" s="114" t="s">
        <v>3072</v>
      </c>
      <c r="W439" s="114" t="s">
        <v>8864</v>
      </c>
      <c r="X439" s="114" t="s">
        <v>8873</v>
      </c>
      <c r="Y439" s="114" t="s">
        <v>8851</v>
      </c>
      <c r="Z439" s="114" t="s">
        <v>2701</v>
      </c>
      <c r="AA439" s="114" t="s">
        <v>9417</v>
      </c>
      <c r="AB439" s="114" t="s">
        <v>8888</v>
      </c>
    </row>
    <row r="440" spans="1:28" ht="60" x14ac:dyDescent="0.2">
      <c r="A440" s="133"/>
      <c r="B440" s="130"/>
      <c r="C440" s="130"/>
      <c r="D440" s="130"/>
      <c r="E440" s="131"/>
      <c r="F440" s="131"/>
      <c r="G440" s="132"/>
      <c r="H440" s="132"/>
      <c r="I440" s="132"/>
      <c r="J440" s="132"/>
      <c r="K440" s="440"/>
      <c r="L440" s="133"/>
      <c r="M440" s="133"/>
      <c r="N440" s="133"/>
      <c r="O440" s="133"/>
      <c r="P440" s="114"/>
      <c r="Q440" s="114"/>
      <c r="R440" s="114"/>
      <c r="S440" s="114" t="s">
        <v>89</v>
      </c>
      <c r="T440" s="114" t="s">
        <v>118</v>
      </c>
      <c r="U440" s="114" t="s">
        <v>9227</v>
      </c>
      <c r="V440" s="114" t="s">
        <v>2701</v>
      </c>
      <c r="W440" s="114" t="s">
        <v>8864</v>
      </c>
      <c r="X440" s="114" t="s">
        <v>2701</v>
      </c>
      <c r="Y440" s="114" t="s">
        <v>8851</v>
      </c>
      <c r="Z440" s="114" t="s">
        <v>2701</v>
      </c>
      <c r="AA440" s="114" t="s">
        <v>9419</v>
      </c>
      <c r="AB440" s="114" t="s">
        <v>9139</v>
      </c>
    </row>
    <row r="441" spans="1:28" ht="60" x14ac:dyDescent="0.2">
      <c r="A441" s="133" t="s">
        <v>2150</v>
      </c>
      <c r="B441" s="130"/>
      <c r="C441" s="130" t="s">
        <v>2151</v>
      </c>
      <c r="D441" s="130" t="s">
        <v>2152</v>
      </c>
      <c r="E441" s="131">
        <v>40988</v>
      </c>
      <c r="F441" s="131">
        <v>40990</v>
      </c>
      <c r="G441" s="132" t="s">
        <v>2153</v>
      </c>
      <c r="H441" s="132" t="s">
        <v>2154</v>
      </c>
      <c r="I441" s="132" t="s">
        <v>579</v>
      </c>
      <c r="J441" s="132" t="s">
        <v>63</v>
      </c>
      <c r="K441" s="440" t="str">
        <f>HYPERLINK("https://okcountyrecords.com/detail/roger+mills/2012-002191","OKCountyRecords: 2012-002191")</f>
        <v>OKCountyRecords: 2012-002191</v>
      </c>
      <c r="L441" s="133" t="s">
        <v>412</v>
      </c>
      <c r="M441" s="133" t="s">
        <v>405</v>
      </c>
      <c r="N441" s="133"/>
      <c r="O441" s="133" t="s">
        <v>422</v>
      </c>
      <c r="P441" s="114" t="s">
        <v>8886</v>
      </c>
      <c r="Q441" s="114" t="s">
        <v>118</v>
      </c>
      <c r="R441" s="114" t="s">
        <v>89</v>
      </c>
      <c r="S441" s="114" t="s">
        <v>118</v>
      </c>
      <c r="T441" s="114" t="s">
        <v>89</v>
      </c>
      <c r="U441" s="114" t="s">
        <v>8901</v>
      </c>
      <c r="V441" s="114" t="s">
        <v>3072</v>
      </c>
      <c r="W441" s="114" t="s">
        <v>8864</v>
      </c>
      <c r="X441" s="114" t="s">
        <v>8873</v>
      </c>
      <c r="Y441" s="114" t="s">
        <v>8857</v>
      </c>
      <c r="Z441" s="114" t="s">
        <v>8858</v>
      </c>
      <c r="AA441" s="114" t="s">
        <v>9420</v>
      </c>
      <c r="AB441" s="114" t="s">
        <v>8867</v>
      </c>
    </row>
    <row r="442" spans="1:28" ht="60" x14ac:dyDescent="0.2">
      <c r="A442" s="133" t="s">
        <v>2155</v>
      </c>
      <c r="B442" s="130"/>
      <c r="C442" s="130" t="s">
        <v>2156</v>
      </c>
      <c r="D442" s="130" t="s">
        <v>2157</v>
      </c>
      <c r="E442" s="131">
        <v>41000</v>
      </c>
      <c r="F442" s="131">
        <v>41145</v>
      </c>
      <c r="G442" s="132" t="s">
        <v>2147</v>
      </c>
      <c r="H442" s="132" t="s">
        <v>2158</v>
      </c>
      <c r="I442" s="132" t="s">
        <v>569</v>
      </c>
      <c r="J442" s="132" t="s">
        <v>2159</v>
      </c>
      <c r="K442" s="440" t="str">
        <f>HYPERLINK("https://okcountyrecords.com/detail/roger+mills/2012-005854","OKCountyRecords: 2012-005854")</f>
        <v>OKCountyRecords: 2012-005854</v>
      </c>
      <c r="L442" s="133" t="s">
        <v>1490</v>
      </c>
      <c r="M442" s="133"/>
      <c r="N442" s="133"/>
      <c r="O442" s="133" t="s">
        <v>422</v>
      </c>
      <c r="P442" s="114" t="s">
        <v>8903</v>
      </c>
      <c r="Q442" s="114" t="s">
        <v>2701</v>
      </c>
      <c r="R442" s="114" t="s">
        <v>2701</v>
      </c>
      <c r="S442" s="114" t="s">
        <v>2701</v>
      </c>
      <c r="T442" s="114" t="s">
        <v>2701</v>
      </c>
      <c r="U442" s="114" t="s">
        <v>8896</v>
      </c>
      <c r="V442" s="114" t="s">
        <v>3386</v>
      </c>
      <c r="W442" s="114" t="s">
        <v>8906</v>
      </c>
      <c r="X442" s="114" t="s">
        <v>2701</v>
      </c>
      <c r="Y442" s="114" t="s">
        <v>8851</v>
      </c>
      <c r="Z442" s="114" t="s">
        <v>2701</v>
      </c>
      <c r="AA442" s="114" t="s">
        <v>9421</v>
      </c>
      <c r="AB442" s="114" t="s">
        <v>8908</v>
      </c>
    </row>
    <row r="443" spans="1:28" ht="60" x14ac:dyDescent="0.2">
      <c r="A443" s="133" t="s">
        <v>2160</v>
      </c>
      <c r="B443" s="130"/>
      <c r="C443" s="130" t="s">
        <v>1456</v>
      </c>
      <c r="D443" s="130" t="s">
        <v>2161</v>
      </c>
      <c r="E443" s="131">
        <v>41000</v>
      </c>
      <c r="F443" s="131">
        <v>41002</v>
      </c>
      <c r="G443" s="132" t="s">
        <v>2147</v>
      </c>
      <c r="H443" s="132" t="s">
        <v>2158</v>
      </c>
      <c r="I443" s="132" t="s">
        <v>569</v>
      </c>
      <c r="J443" s="132" t="s">
        <v>2159</v>
      </c>
      <c r="K443" s="440" t="str">
        <f>HYPERLINK("https://okcountyrecords.com/detail/roger+mills/2012-002539","OKCountyRecords: 2012-002539")</f>
        <v>OKCountyRecords: 2012-002539</v>
      </c>
      <c r="L443" s="133" t="s">
        <v>1490</v>
      </c>
      <c r="M443" s="133"/>
      <c r="N443" s="133"/>
      <c r="O443" s="133" t="s">
        <v>422</v>
      </c>
      <c r="P443" s="114" t="s">
        <v>9043</v>
      </c>
      <c r="Q443" s="114" t="s">
        <v>2701</v>
      </c>
      <c r="R443" s="114" t="s">
        <v>118</v>
      </c>
      <c r="S443" s="114" t="s">
        <v>2701</v>
      </c>
      <c r="T443" s="114" t="s">
        <v>118</v>
      </c>
      <c r="U443" s="114" t="s">
        <v>8896</v>
      </c>
      <c r="V443" s="114" t="s">
        <v>3386</v>
      </c>
      <c r="W443" s="114" t="s">
        <v>8906</v>
      </c>
      <c r="X443" s="114" t="s">
        <v>2701</v>
      </c>
      <c r="Y443" s="114" t="s">
        <v>8851</v>
      </c>
      <c r="Z443" s="114" t="s">
        <v>2701</v>
      </c>
      <c r="AA443" s="114" t="s">
        <v>9422</v>
      </c>
      <c r="AB443" s="114" t="s">
        <v>8853</v>
      </c>
    </row>
    <row r="444" spans="1:28" ht="48" x14ac:dyDescent="0.2">
      <c r="A444" s="133" t="s">
        <v>2162</v>
      </c>
      <c r="B444" s="130"/>
      <c r="C444" s="130" t="s">
        <v>619</v>
      </c>
      <c r="D444" s="130" t="s">
        <v>2163</v>
      </c>
      <c r="E444" s="131">
        <v>41011</v>
      </c>
      <c r="F444" s="131">
        <v>41015</v>
      </c>
      <c r="G444" s="132" t="s">
        <v>2164</v>
      </c>
      <c r="H444" s="132" t="s">
        <v>2165</v>
      </c>
      <c r="I444" s="132" t="s">
        <v>1280</v>
      </c>
      <c r="J444" s="132" t="s">
        <v>2166</v>
      </c>
      <c r="K444" s="440" t="str">
        <f>HYPERLINK("https://okcountyrecords.com/detail/roger+mills/2012-002930","OKCountyRecords: 2012-002930")</f>
        <v>OKCountyRecords: 2012-002930</v>
      </c>
      <c r="L444" s="133" t="s">
        <v>412</v>
      </c>
      <c r="M444" s="133" t="s">
        <v>641</v>
      </c>
      <c r="N444" s="133" t="s">
        <v>2167</v>
      </c>
      <c r="O444" s="133" t="s">
        <v>422</v>
      </c>
      <c r="P444" s="114" t="s">
        <v>8934</v>
      </c>
      <c r="Q444" s="114" t="s">
        <v>118</v>
      </c>
      <c r="R444" s="114" t="s">
        <v>89</v>
      </c>
      <c r="S444" s="114" t="s">
        <v>118</v>
      </c>
      <c r="T444" s="114" t="s">
        <v>89</v>
      </c>
      <c r="U444" s="114" t="s">
        <v>8862</v>
      </c>
      <c r="V444" s="114" t="s">
        <v>3072</v>
      </c>
      <c r="W444" s="114" t="s">
        <v>8864</v>
      </c>
      <c r="X444" s="114" t="s">
        <v>8865</v>
      </c>
      <c r="Y444" s="114" t="s">
        <v>9423</v>
      </c>
      <c r="Z444" s="114" t="s">
        <v>8858</v>
      </c>
      <c r="AA444" s="114" t="s">
        <v>9424</v>
      </c>
      <c r="AB444" s="114" t="s">
        <v>8867</v>
      </c>
    </row>
    <row r="445" spans="1:28" ht="72" x14ac:dyDescent="0.2">
      <c r="A445" s="133" t="s">
        <v>2168</v>
      </c>
      <c r="B445" s="130"/>
      <c r="C445" s="130" t="s">
        <v>619</v>
      </c>
      <c r="D445" s="130" t="s">
        <v>2169</v>
      </c>
      <c r="E445" s="131">
        <v>41059</v>
      </c>
      <c r="F445" s="131">
        <v>41061</v>
      </c>
      <c r="G445" s="132" t="s">
        <v>8758</v>
      </c>
      <c r="H445" s="132" t="s">
        <v>2171</v>
      </c>
      <c r="I445" s="132" t="s">
        <v>2125</v>
      </c>
      <c r="J445" s="132" t="s">
        <v>2172</v>
      </c>
      <c r="K445" s="440" t="str">
        <f>HYPERLINK("https://okcountyrecords.com/detail/roger+mills/2012-004060","OKCountyRecords: 2012-004060")</f>
        <v>OKCountyRecords: 2012-004060</v>
      </c>
      <c r="L445" s="133" t="s">
        <v>412</v>
      </c>
      <c r="M445" s="133" t="s">
        <v>405</v>
      </c>
      <c r="N445" s="133"/>
      <c r="O445" s="133" t="s">
        <v>422</v>
      </c>
      <c r="P445" s="114" t="s">
        <v>8934</v>
      </c>
      <c r="Q445" s="114" t="s">
        <v>118</v>
      </c>
      <c r="R445" s="114" t="s">
        <v>89</v>
      </c>
      <c r="S445" s="114" t="s">
        <v>118</v>
      </c>
      <c r="T445" s="114" t="s">
        <v>89</v>
      </c>
      <c r="U445" s="114" t="s">
        <v>9412</v>
      </c>
      <c r="V445" s="114" t="s">
        <v>3072</v>
      </c>
      <c r="W445" s="114" t="s">
        <v>9660</v>
      </c>
      <c r="X445" s="114" t="s">
        <v>2701</v>
      </c>
      <c r="Y445" s="114" t="s">
        <v>8857</v>
      </c>
      <c r="Z445" s="114" t="s">
        <v>8858</v>
      </c>
      <c r="AA445" s="114" t="s">
        <v>9425</v>
      </c>
      <c r="AB445" s="114" t="s">
        <v>8867</v>
      </c>
    </row>
    <row r="446" spans="1:28" ht="48" x14ac:dyDescent="0.2">
      <c r="A446" s="133" t="s">
        <v>2173</v>
      </c>
      <c r="B446" s="130"/>
      <c r="C446" s="130" t="s">
        <v>1907</v>
      </c>
      <c r="D446" s="130" t="s">
        <v>2174</v>
      </c>
      <c r="E446" s="131">
        <v>41074</v>
      </c>
      <c r="F446" s="131">
        <v>41173</v>
      </c>
      <c r="G446" s="132" t="s">
        <v>2175</v>
      </c>
      <c r="H446" s="132" t="s">
        <v>2176</v>
      </c>
      <c r="I446" s="132" t="s">
        <v>2177</v>
      </c>
      <c r="J446" s="132" t="s">
        <v>1912</v>
      </c>
      <c r="K446" s="440" t="str">
        <f>HYPERLINK("https://okcountyrecords.com/detail/roger+mills/2012-006477","OKCountyRecords: 2012-006477")</f>
        <v>OKCountyRecords: 2012-006477</v>
      </c>
      <c r="L446" s="133" t="s">
        <v>1501</v>
      </c>
      <c r="M446" s="133" t="s">
        <v>8756</v>
      </c>
      <c r="N446" s="133"/>
      <c r="O446" s="133" t="s">
        <v>1532</v>
      </c>
      <c r="P446" s="114" t="s">
        <v>9359</v>
      </c>
      <c r="Q446" s="114" t="s">
        <v>89</v>
      </c>
      <c r="R446" s="114" t="s">
        <v>2701</v>
      </c>
      <c r="S446" s="114" t="s">
        <v>89</v>
      </c>
      <c r="T446" s="114" t="s">
        <v>118</v>
      </c>
      <c r="U446" s="114" t="s">
        <v>8901</v>
      </c>
      <c r="V446" s="114" t="s">
        <v>3072</v>
      </c>
      <c r="W446" s="114" t="s">
        <v>8864</v>
      </c>
      <c r="X446" s="114" t="s">
        <v>2701</v>
      </c>
      <c r="Y446" s="114" t="s">
        <v>8851</v>
      </c>
      <c r="Z446" s="114" t="s">
        <v>2701</v>
      </c>
      <c r="AA446" s="114" t="s">
        <v>9426</v>
      </c>
      <c r="AB446" s="114" t="s">
        <v>8888</v>
      </c>
    </row>
    <row r="447" spans="1:28" ht="60" x14ac:dyDescent="0.2">
      <c r="A447" s="133" t="s">
        <v>2179</v>
      </c>
      <c r="B447" s="130"/>
      <c r="C447" s="130" t="s">
        <v>1975</v>
      </c>
      <c r="D447" s="130" t="s">
        <v>2180</v>
      </c>
      <c r="E447" s="131">
        <v>41092</v>
      </c>
      <c r="F447" s="131">
        <v>41095</v>
      </c>
      <c r="G447" s="132" t="s">
        <v>2181</v>
      </c>
      <c r="H447" s="132" t="s">
        <v>2182</v>
      </c>
      <c r="I447" s="132" t="s">
        <v>569</v>
      </c>
      <c r="J447" s="132" t="s">
        <v>760</v>
      </c>
      <c r="K447" s="440" t="str">
        <f>HYPERLINK("https://okcountyrecords.com/detail/roger+mills/2012-004836","OKCountyRecords: 2012-004836")</f>
        <v>OKCountyRecords: 2012-004836</v>
      </c>
      <c r="L447" s="133" t="s">
        <v>503</v>
      </c>
      <c r="M447" s="133" t="s">
        <v>685</v>
      </c>
      <c r="N447" s="133"/>
      <c r="O447" s="133" t="s">
        <v>422</v>
      </c>
      <c r="P447" s="114" t="s">
        <v>9376</v>
      </c>
      <c r="Q447" s="114" t="s">
        <v>89</v>
      </c>
      <c r="R447" s="114" t="s">
        <v>89</v>
      </c>
      <c r="S447" s="114" t="s">
        <v>89</v>
      </c>
      <c r="T447" s="114" t="s">
        <v>89</v>
      </c>
      <c r="U447" s="114" t="s">
        <v>8896</v>
      </c>
      <c r="V447" s="114" t="s">
        <v>3386</v>
      </c>
      <c r="W447" s="114" t="s">
        <v>8906</v>
      </c>
      <c r="X447" s="114" t="s">
        <v>2701</v>
      </c>
      <c r="Y447" s="114" t="s">
        <v>8851</v>
      </c>
      <c r="Z447" s="114" t="s">
        <v>2701</v>
      </c>
      <c r="AA447" s="114" t="s">
        <v>9427</v>
      </c>
    </row>
    <row r="448" spans="1:28" ht="48" x14ac:dyDescent="0.2">
      <c r="A448" s="133" t="s">
        <v>2183</v>
      </c>
      <c r="B448" s="130"/>
      <c r="C448" s="130" t="s">
        <v>1907</v>
      </c>
      <c r="D448" s="130" t="s">
        <v>2184</v>
      </c>
      <c r="E448" s="131">
        <v>41215</v>
      </c>
      <c r="F448" s="131">
        <v>41227</v>
      </c>
      <c r="G448" s="132" t="s">
        <v>1549</v>
      </c>
      <c r="H448" s="132" t="s">
        <v>2185</v>
      </c>
      <c r="I448" s="132" t="s">
        <v>2186</v>
      </c>
      <c r="J448" s="132" t="s">
        <v>1912</v>
      </c>
      <c r="K448" s="440" t="str">
        <f>HYPERLINK("https://okcountyrecords.com/detail/roger+mills/2012-007511","OKCountyRecords: 2012-007511")</f>
        <v>OKCountyRecords: 2012-007511</v>
      </c>
      <c r="L448" s="133" t="s">
        <v>1501</v>
      </c>
      <c r="M448" s="133" t="s">
        <v>8756</v>
      </c>
      <c r="N448" s="133"/>
      <c r="O448" s="133" t="s">
        <v>1532</v>
      </c>
      <c r="P448" s="114" t="s">
        <v>9359</v>
      </c>
      <c r="Q448" s="114" t="s">
        <v>89</v>
      </c>
      <c r="R448" s="114" t="s">
        <v>2701</v>
      </c>
      <c r="S448" s="114" t="s">
        <v>89</v>
      </c>
      <c r="T448" s="114" t="s">
        <v>118</v>
      </c>
      <c r="U448" s="114" t="s">
        <v>8901</v>
      </c>
      <c r="V448" s="114" t="s">
        <v>3072</v>
      </c>
      <c r="W448" s="114" t="s">
        <v>8906</v>
      </c>
      <c r="X448" s="114" t="s">
        <v>2701</v>
      </c>
      <c r="Y448" s="114" t="s">
        <v>8851</v>
      </c>
      <c r="Z448" s="114" t="s">
        <v>2701</v>
      </c>
      <c r="AA448" s="114" t="s">
        <v>9428</v>
      </c>
      <c r="AB448" s="114" t="s">
        <v>8853</v>
      </c>
    </row>
    <row r="449" spans="1:28" ht="60" x14ac:dyDescent="0.2">
      <c r="A449" s="133" t="s">
        <v>2188</v>
      </c>
      <c r="B449" s="130">
        <v>42</v>
      </c>
      <c r="C449" s="130" t="s">
        <v>2189</v>
      </c>
      <c r="D449" s="130" t="s">
        <v>2190</v>
      </c>
      <c r="E449" s="131">
        <v>41255</v>
      </c>
      <c r="F449" s="131">
        <v>41318</v>
      </c>
      <c r="G449" s="132" t="s">
        <v>2191</v>
      </c>
      <c r="H449" s="132" t="s">
        <v>2192</v>
      </c>
      <c r="I449" s="132" t="s">
        <v>2193</v>
      </c>
      <c r="J449" s="132" t="s">
        <v>2194</v>
      </c>
      <c r="K449" s="440" t="str">
        <f>HYPERLINK("https://okcountyrecords.com/detail/roger+mills/2013-002047","OKCountyRecords: 2013-002047")</f>
        <v>OKCountyRecords: 2013-002047</v>
      </c>
      <c r="L449" s="133" t="s">
        <v>1490</v>
      </c>
      <c r="M449" s="133" t="s">
        <v>1491</v>
      </c>
      <c r="N449" s="133"/>
      <c r="O449" s="133" t="s">
        <v>422</v>
      </c>
      <c r="P449" s="114" t="s">
        <v>8903</v>
      </c>
      <c r="Q449" s="114" t="s">
        <v>2701</v>
      </c>
      <c r="R449" s="114" t="s">
        <v>2701</v>
      </c>
      <c r="S449" s="114" t="s">
        <v>2701</v>
      </c>
      <c r="T449" s="114" t="s">
        <v>2701</v>
      </c>
      <c r="U449" s="114" t="s">
        <v>8896</v>
      </c>
      <c r="V449" s="114" t="s">
        <v>3386</v>
      </c>
      <c r="W449" s="114" t="s">
        <v>8864</v>
      </c>
      <c r="X449" s="114" t="s">
        <v>2701</v>
      </c>
      <c r="Y449" s="114" t="s">
        <v>8851</v>
      </c>
      <c r="Z449" s="114" t="s">
        <v>2701</v>
      </c>
      <c r="AA449" s="114" t="s">
        <v>9429</v>
      </c>
      <c r="AB449" s="114" t="s">
        <v>8905</v>
      </c>
    </row>
    <row r="450" spans="1:28" ht="72" x14ac:dyDescent="0.2">
      <c r="A450" s="133" t="s">
        <v>2195</v>
      </c>
      <c r="B450" s="130"/>
      <c r="C450" s="130" t="s">
        <v>2196</v>
      </c>
      <c r="D450" s="130" t="s">
        <v>2197</v>
      </c>
      <c r="E450" s="131">
        <v>41290</v>
      </c>
      <c r="F450" s="131">
        <v>41304</v>
      </c>
      <c r="G450" s="132" t="s">
        <v>2198</v>
      </c>
      <c r="H450" s="132" t="s">
        <v>186</v>
      </c>
      <c r="I450" s="132" t="s">
        <v>2199</v>
      </c>
      <c r="J450" s="132" t="s">
        <v>9594</v>
      </c>
      <c r="K450" s="440" t="str">
        <f>HYPERLINK("https://okcountyrecords.com/detail/roger+mills/2013-000518","OKCountyRecords: 2013-000518")</f>
        <v>OKCountyRecords: 2013-000518</v>
      </c>
      <c r="L450" s="133" t="s">
        <v>412</v>
      </c>
      <c r="M450" s="133" t="s">
        <v>405</v>
      </c>
      <c r="N450" s="133"/>
      <c r="O450" s="133" t="s">
        <v>422</v>
      </c>
      <c r="P450" s="114" t="s">
        <v>8886</v>
      </c>
      <c r="Q450" s="114" t="s">
        <v>118</v>
      </c>
      <c r="R450" s="114" t="s">
        <v>89</v>
      </c>
      <c r="S450" s="114" t="s">
        <v>118</v>
      </c>
      <c r="T450" s="114" t="s">
        <v>89</v>
      </c>
      <c r="U450" s="114" t="s">
        <v>8939</v>
      </c>
      <c r="V450" s="114" t="s">
        <v>2701</v>
      </c>
      <c r="W450" s="114" t="s">
        <v>8864</v>
      </c>
      <c r="X450" s="114" t="s">
        <v>8882</v>
      </c>
      <c r="Y450" s="114" t="s">
        <v>8857</v>
      </c>
      <c r="Z450" s="114" t="s">
        <v>8858</v>
      </c>
      <c r="AA450" s="114" t="s">
        <v>9430</v>
      </c>
      <c r="AB450" s="114" t="s">
        <v>8877</v>
      </c>
    </row>
    <row r="451" spans="1:28" ht="132" x14ac:dyDescent="0.2">
      <c r="A451" s="133" t="s">
        <v>2201</v>
      </c>
      <c r="B451" s="130"/>
      <c r="C451" s="130" t="s">
        <v>1186</v>
      </c>
      <c r="D451" s="130" t="s">
        <v>2202</v>
      </c>
      <c r="E451" s="131">
        <v>41340</v>
      </c>
      <c r="F451" s="131">
        <v>41346</v>
      </c>
      <c r="G451" s="132" t="s">
        <v>1698</v>
      </c>
      <c r="H451" s="132" t="s">
        <v>119</v>
      </c>
      <c r="I451" s="132" t="s">
        <v>2203</v>
      </c>
      <c r="J451" s="132" t="s">
        <v>2204</v>
      </c>
      <c r="K451" s="440" t="str">
        <f>HYPERLINK("https://okcountyrecords.com/detail/roger+mills/2013-001272","OKCountyRecords: 2013-001272")</f>
        <v>OKCountyRecords: 2013-001272</v>
      </c>
      <c r="L451" s="133" t="s">
        <v>653</v>
      </c>
      <c r="M451" s="133" t="s">
        <v>641</v>
      </c>
      <c r="N451" s="133" t="s">
        <v>8723</v>
      </c>
      <c r="O451" s="133" t="s">
        <v>428</v>
      </c>
      <c r="P451" s="114" t="s">
        <v>8934</v>
      </c>
      <c r="Q451" s="114" t="s">
        <v>118</v>
      </c>
      <c r="R451" s="114" t="s">
        <v>89</v>
      </c>
      <c r="S451" s="114" t="s">
        <v>118</v>
      </c>
      <c r="T451" s="114" t="s">
        <v>89</v>
      </c>
      <c r="U451" s="114" t="s">
        <v>8896</v>
      </c>
      <c r="V451" s="114" t="s">
        <v>3386</v>
      </c>
      <c r="W451" s="114" t="s">
        <v>8906</v>
      </c>
      <c r="X451" s="114" t="s">
        <v>2701</v>
      </c>
      <c r="Y451" s="114" t="s">
        <v>9431</v>
      </c>
      <c r="Z451" s="114" t="s">
        <v>8858</v>
      </c>
      <c r="AA451" s="114" t="s">
        <v>9432</v>
      </c>
    </row>
    <row r="452" spans="1:28" ht="132" x14ac:dyDescent="0.2">
      <c r="A452" s="133" t="s">
        <v>2206</v>
      </c>
      <c r="B452" s="130"/>
      <c r="C452" s="130" t="s">
        <v>1160</v>
      </c>
      <c r="D452" s="130" t="s">
        <v>2207</v>
      </c>
      <c r="E452" s="131">
        <v>41368</v>
      </c>
      <c r="F452" s="131">
        <v>41372</v>
      </c>
      <c r="G452" s="132" t="s">
        <v>119</v>
      </c>
      <c r="H452" s="132" t="s">
        <v>2118</v>
      </c>
      <c r="I452" s="132" t="s">
        <v>2208</v>
      </c>
      <c r="J452" s="132" t="s">
        <v>9595</v>
      </c>
      <c r="K452" s="440" t="str">
        <f>HYPERLINK("https://okcountyrecords.com/detail/roger+mills/2013-001724","OKCountyRecords: 2013-001724")</f>
        <v>OKCountyRecords: 2013-001724</v>
      </c>
      <c r="L452" s="133" t="s">
        <v>412</v>
      </c>
      <c r="M452" s="133" t="s">
        <v>641</v>
      </c>
      <c r="N452" s="133" t="s">
        <v>8724</v>
      </c>
      <c r="O452" s="133" t="s">
        <v>428</v>
      </c>
      <c r="P452" s="114" t="s">
        <v>8934</v>
      </c>
      <c r="Q452" s="114" t="s">
        <v>118</v>
      </c>
      <c r="R452" s="114" t="s">
        <v>89</v>
      </c>
      <c r="S452" s="114" t="s">
        <v>118</v>
      </c>
      <c r="T452" s="114" t="s">
        <v>89</v>
      </c>
      <c r="U452" s="114" t="s">
        <v>9230</v>
      </c>
      <c r="V452" s="114" t="s">
        <v>3072</v>
      </c>
      <c r="W452" s="114" t="s">
        <v>8906</v>
      </c>
      <c r="X452" s="114" t="s">
        <v>8873</v>
      </c>
      <c r="Y452" s="114" t="s">
        <v>9002</v>
      </c>
      <c r="Z452" s="114" t="s">
        <v>8858</v>
      </c>
      <c r="AA452" s="114" t="s">
        <v>9433</v>
      </c>
    </row>
    <row r="453" spans="1:28" ht="60" x14ac:dyDescent="0.2">
      <c r="A453" s="133" t="s">
        <v>2210</v>
      </c>
      <c r="B453" s="130"/>
      <c r="C453" s="130" t="s">
        <v>2189</v>
      </c>
      <c r="D453" s="130" t="s">
        <v>2211</v>
      </c>
      <c r="E453" s="131">
        <v>41404</v>
      </c>
      <c r="F453" s="131">
        <v>41422</v>
      </c>
      <c r="G453" s="132" t="s">
        <v>361</v>
      </c>
      <c r="H453" s="132" t="s">
        <v>2212</v>
      </c>
      <c r="I453" s="132" t="s">
        <v>569</v>
      </c>
      <c r="J453" s="132" t="s">
        <v>2213</v>
      </c>
      <c r="K453" s="440" t="str">
        <f>HYPERLINK("https://okcountyrecords.com/detail/roger+mills/2013-002727","OKCountyRecords: 2013-002727")</f>
        <v>OKCountyRecords: 2013-002727</v>
      </c>
      <c r="L453" s="133" t="s">
        <v>1490</v>
      </c>
      <c r="M453" s="133" t="s">
        <v>8756</v>
      </c>
      <c r="N453" s="133"/>
      <c r="O453" s="133" t="s">
        <v>422</v>
      </c>
      <c r="P453" s="114" t="s">
        <v>8903</v>
      </c>
      <c r="Q453" s="114" t="s">
        <v>2701</v>
      </c>
      <c r="R453" s="114" t="s">
        <v>2701</v>
      </c>
      <c r="S453" s="114" t="s">
        <v>2701</v>
      </c>
      <c r="T453" s="114" t="s">
        <v>2701</v>
      </c>
      <c r="U453" s="114" t="s">
        <v>8896</v>
      </c>
      <c r="V453" s="114" t="s">
        <v>3386</v>
      </c>
      <c r="W453" s="114" t="s">
        <v>8864</v>
      </c>
      <c r="X453" s="114" t="s">
        <v>2701</v>
      </c>
      <c r="Y453" s="114" t="s">
        <v>8851</v>
      </c>
      <c r="Z453" s="114" t="s">
        <v>2701</v>
      </c>
      <c r="AA453" s="114" t="s">
        <v>9434</v>
      </c>
      <c r="AB453" s="114" t="s">
        <v>8905</v>
      </c>
    </row>
    <row r="454" spans="1:28" ht="132" x14ac:dyDescent="0.2">
      <c r="A454" s="133" t="s">
        <v>2215</v>
      </c>
      <c r="B454" s="130"/>
      <c r="C454" s="130" t="s">
        <v>619</v>
      </c>
      <c r="D454" s="130" t="s">
        <v>2216</v>
      </c>
      <c r="E454" s="131">
        <v>41456</v>
      </c>
      <c r="F454" s="131">
        <v>41495</v>
      </c>
      <c r="G454" s="132" t="s">
        <v>119</v>
      </c>
      <c r="H454" s="132" t="s">
        <v>2118</v>
      </c>
      <c r="I454" s="132" t="s">
        <v>2217</v>
      </c>
      <c r="J454" s="132" t="s">
        <v>2218</v>
      </c>
      <c r="K454" s="440" t="str">
        <f>HYPERLINK("https://okcountyrecords.com/detail/roger+mills/2013-004163","OKCountyRecords: 2013-004163")</f>
        <v>OKCountyRecords: 2013-004163</v>
      </c>
      <c r="L454" s="133" t="s">
        <v>653</v>
      </c>
      <c r="M454" s="133" t="s">
        <v>405</v>
      </c>
      <c r="N454" s="133" t="s">
        <v>2167</v>
      </c>
      <c r="O454" s="133" t="s">
        <v>428</v>
      </c>
      <c r="P454" s="114" t="s">
        <v>8934</v>
      </c>
      <c r="Q454" s="114" t="s">
        <v>118</v>
      </c>
      <c r="R454" s="114" t="s">
        <v>89</v>
      </c>
      <c r="S454" s="114" t="s">
        <v>118</v>
      </c>
      <c r="T454" s="114" t="s">
        <v>89</v>
      </c>
      <c r="U454" s="114" t="s">
        <v>8896</v>
      </c>
      <c r="V454" s="114" t="s">
        <v>3386</v>
      </c>
      <c r="W454" s="114" t="s">
        <v>8906</v>
      </c>
      <c r="X454" s="114" t="s">
        <v>9435</v>
      </c>
      <c r="Y454" s="114" t="s">
        <v>9436</v>
      </c>
      <c r="Z454" s="114" t="s">
        <v>8858</v>
      </c>
      <c r="AA454" s="114" t="s">
        <v>9437</v>
      </c>
    </row>
    <row r="455" spans="1:28" ht="60" x14ac:dyDescent="0.2">
      <c r="A455" s="133" t="s">
        <v>2219</v>
      </c>
      <c r="B455" s="130"/>
      <c r="C455" s="130" t="s">
        <v>1907</v>
      </c>
      <c r="D455" s="130" t="s">
        <v>2220</v>
      </c>
      <c r="E455" s="131">
        <v>41474</v>
      </c>
      <c r="F455" s="131">
        <v>41488</v>
      </c>
      <c r="G455" s="132" t="s">
        <v>1910</v>
      </c>
      <c r="H455" s="132" t="s">
        <v>2221</v>
      </c>
      <c r="I455" s="132" t="s">
        <v>569</v>
      </c>
      <c r="J455" s="132" t="s">
        <v>1912</v>
      </c>
      <c r="K455" s="440" t="str">
        <f>HYPERLINK("https://okcountyrecords.com/detail/roger+mills/2013-004038","OKCountyRecords: 2013-004038")</f>
        <v>OKCountyRecords: 2013-004038</v>
      </c>
      <c r="L455" s="133" t="s">
        <v>1490</v>
      </c>
      <c r="M455" s="133" t="s">
        <v>8756</v>
      </c>
      <c r="N455" s="133"/>
      <c r="O455" s="133" t="s">
        <v>422</v>
      </c>
      <c r="P455" s="114" t="s">
        <v>9359</v>
      </c>
      <c r="Q455" s="114" t="s">
        <v>89</v>
      </c>
      <c r="R455" s="114" t="s">
        <v>2701</v>
      </c>
      <c r="S455" s="114" t="s">
        <v>89</v>
      </c>
      <c r="T455" s="114" t="s">
        <v>118</v>
      </c>
      <c r="U455" s="114" t="s">
        <v>8896</v>
      </c>
      <c r="V455" s="114" t="s">
        <v>3386</v>
      </c>
      <c r="W455" s="114" t="s">
        <v>8906</v>
      </c>
      <c r="X455" s="114" t="s">
        <v>2701</v>
      </c>
      <c r="Y455" s="114" t="s">
        <v>8851</v>
      </c>
      <c r="Z455" s="114" t="s">
        <v>2701</v>
      </c>
      <c r="AA455" s="114" t="s">
        <v>9438</v>
      </c>
      <c r="AB455" s="114" t="s">
        <v>8853</v>
      </c>
    </row>
    <row r="456" spans="1:28" ht="48" x14ac:dyDescent="0.2">
      <c r="A456" s="133" t="s">
        <v>2223</v>
      </c>
      <c r="B456" s="130"/>
      <c r="C456" s="130" t="s">
        <v>619</v>
      </c>
      <c r="D456" s="130" t="s">
        <v>2224</v>
      </c>
      <c r="E456" s="131">
        <v>41486</v>
      </c>
      <c r="F456" s="131">
        <v>41625</v>
      </c>
      <c r="G456" s="132" t="s">
        <v>2225</v>
      </c>
      <c r="H456" s="132" t="s">
        <v>2226</v>
      </c>
      <c r="I456" s="132" t="s">
        <v>2227</v>
      </c>
      <c r="J456" s="132" t="s">
        <v>2228</v>
      </c>
      <c r="K456" s="440" t="str">
        <f>HYPERLINK("https://okcountyrecords.com/detail/roger+mills/2013-006585","OKCountyRecords: 2013-006585")</f>
        <v>OKCountyRecords: 2013-006585</v>
      </c>
      <c r="L456" s="133" t="s">
        <v>412</v>
      </c>
      <c r="M456" s="133" t="s">
        <v>641</v>
      </c>
      <c r="N456" s="133" t="s">
        <v>8724</v>
      </c>
      <c r="O456" s="133" t="s">
        <v>422</v>
      </c>
      <c r="P456" s="114" t="s">
        <v>8934</v>
      </c>
      <c r="Q456" s="114" t="s">
        <v>118</v>
      </c>
      <c r="R456" s="114" t="s">
        <v>89</v>
      </c>
      <c r="S456" s="114" t="s">
        <v>118</v>
      </c>
      <c r="T456" s="114" t="s">
        <v>89</v>
      </c>
      <c r="U456" s="114" t="s">
        <v>9439</v>
      </c>
      <c r="V456" s="114" t="s">
        <v>2701</v>
      </c>
      <c r="W456" s="114" t="s">
        <v>9672</v>
      </c>
      <c r="X456" s="114" t="s">
        <v>8865</v>
      </c>
      <c r="Y456" s="114" t="s">
        <v>9440</v>
      </c>
      <c r="Z456" s="114" t="s">
        <v>8858</v>
      </c>
      <c r="AA456" s="114" t="s">
        <v>9441</v>
      </c>
      <c r="AB456" s="114" t="s">
        <v>8877</v>
      </c>
    </row>
    <row r="457" spans="1:28" ht="48" x14ac:dyDescent="0.2">
      <c r="A457" s="133" t="s">
        <v>2230</v>
      </c>
      <c r="B457" s="130"/>
      <c r="C457" s="130" t="s">
        <v>1160</v>
      </c>
      <c r="D457" s="130" t="s">
        <v>2231</v>
      </c>
      <c r="E457" s="131">
        <v>41505</v>
      </c>
      <c r="F457" s="131">
        <v>41596</v>
      </c>
      <c r="G457" s="132" t="s">
        <v>299</v>
      </c>
      <c r="H457" s="132" t="s">
        <v>2232</v>
      </c>
      <c r="I457" s="132" t="s">
        <v>579</v>
      </c>
      <c r="J457" s="132" t="s">
        <v>2233</v>
      </c>
      <c r="K457" s="440" t="str">
        <f>HYPERLINK("https://okcountyrecords.com/detail/roger+mills/2013-006129","OKCountyRecords: 2013-006129")</f>
        <v>OKCountyRecords: 2013-006129</v>
      </c>
      <c r="L457" s="133" t="s">
        <v>412</v>
      </c>
      <c r="M457" s="133" t="s">
        <v>405</v>
      </c>
      <c r="N457" s="133"/>
      <c r="O457" s="133" t="s">
        <v>422</v>
      </c>
      <c r="P457" s="114" t="s">
        <v>8934</v>
      </c>
      <c r="Q457" s="114" t="s">
        <v>118</v>
      </c>
      <c r="R457" s="114" t="s">
        <v>89</v>
      </c>
      <c r="S457" s="114" t="s">
        <v>118</v>
      </c>
      <c r="T457" s="114" t="s">
        <v>89</v>
      </c>
      <c r="U457" s="114" t="s">
        <v>8901</v>
      </c>
      <c r="V457" s="114" t="s">
        <v>3072</v>
      </c>
      <c r="W457" s="114" t="s">
        <v>8906</v>
      </c>
      <c r="X457" s="114" t="s">
        <v>8873</v>
      </c>
      <c r="Y457" s="114" t="s">
        <v>8899</v>
      </c>
      <c r="Z457" s="114" t="s">
        <v>8858</v>
      </c>
      <c r="AA457" s="114" t="s">
        <v>9442</v>
      </c>
    </row>
    <row r="458" spans="1:28" ht="60" x14ac:dyDescent="0.2">
      <c r="A458" s="133" t="s">
        <v>2234</v>
      </c>
      <c r="B458" s="130"/>
      <c r="C458" s="130" t="s">
        <v>2235</v>
      </c>
      <c r="D458" s="130" t="s">
        <v>2236</v>
      </c>
      <c r="E458" s="131">
        <v>41517</v>
      </c>
      <c r="F458" s="131">
        <v>41621</v>
      </c>
      <c r="G458" s="132" t="s">
        <v>2237</v>
      </c>
      <c r="H458" s="132" t="s">
        <v>2238</v>
      </c>
      <c r="I458" s="132" t="s">
        <v>238</v>
      </c>
      <c r="J458" s="132" t="s">
        <v>2239</v>
      </c>
      <c r="K458" s="440" t="str">
        <f>HYPERLINK("https://okcountyrecords.com/detail/roger+mills/2013-006501","OKCountyRecords: 2013-006501")</f>
        <v>OKCountyRecords: 2013-006501</v>
      </c>
      <c r="L458" s="133" t="s">
        <v>653</v>
      </c>
      <c r="M458" s="133" t="s">
        <v>641</v>
      </c>
      <c r="N458" s="133" t="s">
        <v>2240</v>
      </c>
      <c r="O458" s="133" t="s">
        <v>1912</v>
      </c>
      <c r="P458" s="114" t="s">
        <v>8934</v>
      </c>
      <c r="Q458" s="114" t="s">
        <v>118</v>
      </c>
      <c r="R458" s="114" t="s">
        <v>89</v>
      </c>
      <c r="S458" s="114" t="s">
        <v>118</v>
      </c>
      <c r="T458" s="114" t="s">
        <v>89</v>
      </c>
      <c r="U458" s="114" t="s">
        <v>8896</v>
      </c>
      <c r="V458" s="114" t="s">
        <v>3386</v>
      </c>
      <c r="W458" s="114" t="s">
        <v>8864</v>
      </c>
      <c r="X458" s="114" t="s">
        <v>2701</v>
      </c>
      <c r="Y458" s="114" t="s">
        <v>8857</v>
      </c>
      <c r="Z458" s="114" t="s">
        <v>8858</v>
      </c>
      <c r="AA458" s="114" t="s">
        <v>9443</v>
      </c>
      <c r="AB458" s="114" t="s">
        <v>8867</v>
      </c>
    </row>
    <row r="459" spans="1:28" ht="48" x14ac:dyDescent="0.2">
      <c r="A459" s="133" t="s">
        <v>2241</v>
      </c>
      <c r="B459" s="130"/>
      <c r="C459" s="130" t="s">
        <v>2242</v>
      </c>
      <c r="D459" s="130" t="s">
        <v>2243</v>
      </c>
      <c r="E459" s="131">
        <v>41526</v>
      </c>
      <c r="F459" s="131">
        <v>41625</v>
      </c>
      <c r="G459" s="132" t="s">
        <v>2244</v>
      </c>
      <c r="H459" s="132" t="s">
        <v>2245</v>
      </c>
      <c r="I459" s="132" t="s">
        <v>2227</v>
      </c>
      <c r="J459" s="132" t="s">
        <v>760</v>
      </c>
      <c r="K459" s="440" t="str">
        <f>HYPERLINK("https://okcountyrecords.com/detail/roger+mills/2013-006584","OKCountyRecords: 2013-006584")</f>
        <v>OKCountyRecords: 2013-006584</v>
      </c>
      <c r="L459" s="133" t="s">
        <v>466</v>
      </c>
      <c r="M459" s="133"/>
      <c r="N459" s="133"/>
      <c r="O459" s="133" t="s">
        <v>422</v>
      </c>
      <c r="P459" s="114" t="s">
        <v>8903</v>
      </c>
      <c r="Q459" s="114" t="s">
        <v>2701</v>
      </c>
      <c r="R459" s="114" t="s">
        <v>2701</v>
      </c>
      <c r="S459" s="114" t="s">
        <v>2701</v>
      </c>
      <c r="T459" s="114" t="s">
        <v>2701</v>
      </c>
      <c r="U459" s="114" t="s">
        <v>9439</v>
      </c>
      <c r="V459" s="114" t="s">
        <v>2701</v>
      </c>
      <c r="W459" s="114" t="s">
        <v>9672</v>
      </c>
      <c r="X459" s="114" t="s">
        <v>2701</v>
      </c>
      <c r="Y459" s="114" t="s">
        <v>8851</v>
      </c>
      <c r="Z459" s="114" t="s">
        <v>2701</v>
      </c>
      <c r="AA459" s="114" t="s">
        <v>9444</v>
      </c>
      <c r="AB459" s="114" t="s">
        <v>9445</v>
      </c>
    </row>
    <row r="460" spans="1:28" ht="60" x14ac:dyDescent="0.2">
      <c r="A460" s="133" t="s">
        <v>2246</v>
      </c>
      <c r="B460" s="130"/>
      <c r="C460" s="130" t="s">
        <v>1456</v>
      </c>
      <c r="D460" s="130" t="s">
        <v>2247</v>
      </c>
      <c r="E460" s="131">
        <v>41543</v>
      </c>
      <c r="F460" s="131">
        <v>41599</v>
      </c>
      <c r="G460" s="132" t="s">
        <v>262</v>
      </c>
      <c r="H460" s="132" t="s">
        <v>2248</v>
      </c>
      <c r="I460" s="132" t="s">
        <v>569</v>
      </c>
      <c r="J460" s="132" t="s">
        <v>63</v>
      </c>
      <c r="K460" s="440" t="str">
        <f>HYPERLINK("https://okcountyrecords.com/detail/roger+mills/2013-006188","OKCountyRecords: 2013-006188")</f>
        <v>OKCountyRecords: 2013-006188</v>
      </c>
      <c r="L460" s="133" t="s">
        <v>1490</v>
      </c>
      <c r="M460" s="133"/>
      <c r="N460" s="133"/>
      <c r="O460" s="133" t="s">
        <v>422</v>
      </c>
      <c r="P460" s="114" t="s">
        <v>9043</v>
      </c>
      <c r="Q460" s="114" t="s">
        <v>2701</v>
      </c>
      <c r="R460" s="114" t="s">
        <v>118</v>
      </c>
      <c r="S460" s="114" t="s">
        <v>2701</v>
      </c>
      <c r="T460" s="114" t="s">
        <v>118</v>
      </c>
      <c r="U460" s="114" t="s">
        <v>8896</v>
      </c>
      <c r="V460" s="114" t="s">
        <v>3386</v>
      </c>
      <c r="W460" s="114" t="s">
        <v>8906</v>
      </c>
      <c r="X460" s="114" t="s">
        <v>2701</v>
      </c>
      <c r="Y460" s="114" t="s">
        <v>8851</v>
      </c>
      <c r="Z460" s="114" t="s">
        <v>2701</v>
      </c>
      <c r="AA460" s="114" t="s">
        <v>9446</v>
      </c>
      <c r="AB460" s="114" t="s">
        <v>8853</v>
      </c>
    </row>
    <row r="461" spans="1:28" ht="60" x14ac:dyDescent="0.2">
      <c r="A461" s="133" t="s">
        <v>2250</v>
      </c>
      <c r="B461" s="130"/>
      <c r="C461" s="130" t="s">
        <v>619</v>
      </c>
      <c r="D461" s="130" t="s">
        <v>2251</v>
      </c>
      <c r="E461" s="131">
        <v>41575</v>
      </c>
      <c r="F461" s="131">
        <v>41621</v>
      </c>
      <c r="G461" s="132" t="s">
        <v>2252</v>
      </c>
      <c r="H461" s="132" t="s">
        <v>2238</v>
      </c>
      <c r="I461" s="132" t="s">
        <v>238</v>
      </c>
      <c r="J461" s="132" t="s">
        <v>2239</v>
      </c>
      <c r="K461" s="440" t="str">
        <f>HYPERLINK("https://okcountyrecords.com/detail/roger+mills/2013-006502","OKCountyRecords: 2013-006502")</f>
        <v>OKCountyRecords: 2013-006502</v>
      </c>
      <c r="L461" s="133" t="s">
        <v>653</v>
      </c>
      <c r="M461" s="133" t="s">
        <v>641</v>
      </c>
      <c r="N461" s="133" t="s">
        <v>2240</v>
      </c>
      <c r="O461" s="133" t="s">
        <v>1912</v>
      </c>
      <c r="P461" s="114" t="s">
        <v>8934</v>
      </c>
      <c r="Q461" s="114" t="s">
        <v>118</v>
      </c>
      <c r="R461" s="114" t="s">
        <v>89</v>
      </c>
      <c r="S461" s="114" t="s">
        <v>118</v>
      </c>
      <c r="T461" s="114" t="s">
        <v>89</v>
      </c>
      <c r="U461" s="114" t="s">
        <v>8896</v>
      </c>
      <c r="V461" s="114" t="s">
        <v>3386</v>
      </c>
      <c r="W461" s="114" t="s">
        <v>8864</v>
      </c>
      <c r="X461" s="114" t="s">
        <v>2701</v>
      </c>
      <c r="Y461" s="114" t="s">
        <v>8857</v>
      </c>
      <c r="Z461" s="114" t="s">
        <v>8858</v>
      </c>
      <c r="AA461" s="114" t="s">
        <v>9447</v>
      </c>
      <c r="AB461" s="114" t="s">
        <v>8867</v>
      </c>
    </row>
    <row r="462" spans="1:28" ht="72" x14ac:dyDescent="0.2">
      <c r="A462" s="133" t="s">
        <v>2253</v>
      </c>
      <c r="B462" s="130"/>
      <c r="C462" s="130" t="s">
        <v>1368</v>
      </c>
      <c r="D462" s="130" t="s">
        <v>2254</v>
      </c>
      <c r="E462" s="131">
        <v>41624</v>
      </c>
      <c r="F462" s="131">
        <v>41631</v>
      </c>
      <c r="G462" s="132" t="s">
        <v>2255</v>
      </c>
      <c r="H462" s="132" t="s">
        <v>2256</v>
      </c>
      <c r="I462" s="132" t="s">
        <v>1280</v>
      </c>
      <c r="J462" s="132" t="s">
        <v>63</v>
      </c>
      <c r="K462" s="440" t="str">
        <f>HYPERLINK("https://okcountyrecords.com/detail/roger+mills/2013-006644","OKCountyRecords: 2013-006644")</f>
        <v>OKCountyRecords: 2013-006644</v>
      </c>
      <c r="L462" s="133" t="s">
        <v>8711</v>
      </c>
      <c r="M462" s="133" t="s">
        <v>641</v>
      </c>
      <c r="N462" s="133" t="s">
        <v>8712</v>
      </c>
      <c r="O462" s="133" t="s">
        <v>422</v>
      </c>
      <c r="P462" s="114" t="s">
        <v>8886</v>
      </c>
      <c r="Q462" s="114" t="s">
        <v>118</v>
      </c>
      <c r="R462" s="114" t="s">
        <v>89</v>
      </c>
      <c r="S462" s="114" t="s">
        <v>118</v>
      </c>
      <c r="T462" s="114" t="s">
        <v>89</v>
      </c>
      <c r="U462" s="114" t="s">
        <v>8862</v>
      </c>
      <c r="V462" s="114" t="s">
        <v>3072</v>
      </c>
      <c r="W462" s="114" t="s">
        <v>8864</v>
      </c>
      <c r="X462" s="114" t="s">
        <v>2701</v>
      </c>
      <c r="Y462" s="114" t="s">
        <v>8857</v>
      </c>
      <c r="Z462" s="114" t="s">
        <v>8858</v>
      </c>
      <c r="AA462" s="114" t="s">
        <v>9448</v>
      </c>
      <c r="AB462" s="114" t="s">
        <v>8867</v>
      </c>
    </row>
    <row r="463" spans="1:28" ht="72" x14ac:dyDescent="0.2">
      <c r="A463" s="133" t="s">
        <v>2257</v>
      </c>
      <c r="B463" s="130"/>
      <c r="C463" s="130" t="s">
        <v>1368</v>
      </c>
      <c r="D463" s="130" t="s">
        <v>2258</v>
      </c>
      <c r="E463" s="131">
        <v>41624</v>
      </c>
      <c r="F463" s="131">
        <v>41631</v>
      </c>
      <c r="G463" s="132" t="s">
        <v>2255</v>
      </c>
      <c r="H463" s="132" t="s">
        <v>2259</v>
      </c>
      <c r="I463" s="132" t="s">
        <v>1280</v>
      </c>
      <c r="J463" s="132" t="s">
        <v>63</v>
      </c>
      <c r="K463" s="440" t="str">
        <f>HYPERLINK("https://okcountyrecords.com/detail/roger+mills/2013-006645","OKCountyRecords: 2013-006645")</f>
        <v>OKCountyRecords: 2013-006645</v>
      </c>
      <c r="L463" s="133" t="s">
        <v>8711</v>
      </c>
      <c r="M463" s="133" t="s">
        <v>641</v>
      </c>
      <c r="N463" s="133" t="s">
        <v>8712</v>
      </c>
      <c r="O463" s="133" t="s">
        <v>422</v>
      </c>
      <c r="P463" s="114" t="s">
        <v>8886</v>
      </c>
      <c r="Q463" s="114" t="s">
        <v>118</v>
      </c>
      <c r="R463" s="114" t="s">
        <v>89</v>
      </c>
      <c r="S463" s="114" t="s">
        <v>118</v>
      </c>
      <c r="T463" s="114" t="s">
        <v>89</v>
      </c>
      <c r="U463" s="114" t="s">
        <v>8862</v>
      </c>
      <c r="V463" s="114" t="s">
        <v>3072</v>
      </c>
      <c r="W463" s="114" t="s">
        <v>8864</v>
      </c>
      <c r="X463" s="114" t="s">
        <v>2701</v>
      </c>
      <c r="Y463" s="114" t="s">
        <v>8857</v>
      </c>
      <c r="Z463" s="114" t="s">
        <v>8858</v>
      </c>
      <c r="AA463" s="114" t="s">
        <v>9449</v>
      </c>
      <c r="AB463" s="114" t="s">
        <v>8867</v>
      </c>
    </row>
    <row r="464" spans="1:28" ht="72" x14ac:dyDescent="0.2">
      <c r="A464" s="133" t="s">
        <v>2260</v>
      </c>
      <c r="B464" s="130"/>
      <c r="C464" s="130" t="s">
        <v>2261</v>
      </c>
      <c r="D464" s="130" t="s">
        <v>2262</v>
      </c>
      <c r="E464" s="131">
        <v>41730</v>
      </c>
      <c r="F464" s="131">
        <v>41746</v>
      </c>
      <c r="G464" s="132" t="s">
        <v>2263</v>
      </c>
      <c r="H464" s="132" t="s">
        <v>102</v>
      </c>
      <c r="I464" s="132" t="s">
        <v>569</v>
      </c>
      <c r="J464" s="132" t="s">
        <v>9596</v>
      </c>
      <c r="K464" s="440" t="str">
        <f>HYPERLINK("https://okcountyrecords.com/detail/roger+mills/2014-002337","OKCountyRecords: 2014-002337")</f>
        <v>OKCountyRecords: 2014-002337</v>
      </c>
      <c r="L464" s="133" t="s">
        <v>503</v>
      </c>
      <c r="M464" s="133" t="s">
        <v>467</v>
      </c>
      <c r="N464" s="133" t="s">
        <v>504</v>
      </c>
      <c r="O464" s="133" t="s">
        <v>422</v>
      </c>
      <c r="P464" s="114" t="s">
        <v>8886</v>
      </c>
      <c r="Q464" s="114" t="s">
        <v>118</v>
      </c>
      <c r="R464" s="114" t="s">
        <v>89</v>
      </c>
      <c r="S464" s="114" t="s">
        <v>118</v>
      </c>
      <c r="T464" s="114" t="s">
        <v>89</v>
      </c>
      <c r="U464" s="114" t="s">
        <v>8896</v>
      </c>
      <c r="V464" s="114" t="s">
        <v>3386</v>
      </c>
      <c r="W464" s="114" t="s">
        <v>8864</v>
      </c>
      <c r="X464" s="114" t="s">
        <v>2701</v>
      </c>
      <c r="Y464" s="114" t="s">
        <v>8851</v>
      </c>
      <c r="Z464" s="114" t="s">
        <v>2701</v>
      </c>
      <c r="AA464" s="114" t="s">
        <v>9450</v>
      </c>
      <c r="AB464" s="114" t="s">
        <v>8888</v>
      </c>
    </row>
    <row r="465" spans="1:28" ht="48" x14ac:dyDescent="0.2">
      <c r="A465" s="133" t="s">
        <v>2265</v>
      </c>
      <c r="B465" s="130"/>
      <c r="C465" s="130" t="s">
        <v>619</v>
      </c>
      <c r="D465" s="130" t="s">
        <v>2266</v>
      </c>
      <c r="E465" s="131">
        <v>41734</v>
      </c>
      <c r="F465" s="131">
        <v>41766</v>
      </c>
      <c r="G465" s="132" t="s">
        <v>2017</v>
      </c>
      <c r="H465" s="132" t="s">
        <v>2267</v>
      </c>
      <c r="I465" s="132" t="s">
        <v>1280</v>
      </c>
      <c r="J465" s="132" t="s">
        <v>2268</v>
      </c>
      <c r="K465" s="440" t="str">
        <f>HYPERLINK("https://okcountyrecords.com/detail/roger+mills/2014-002935","OKCountyRecords: 2014-002935")</f>
        <v>OKCountyRecords: 2014-002935</v>
      </c>
      <c r="L465" s="133" t="s">
        <v>412</v>
      </c>
      <c r="M465" s="133" t="s">
        <v>405</v>
      </c>
      <c r="N465" s="133"/>
      <c r="O465" s="133" t="s">
        <v>422</v>
      </c>
      <c r="P465" s="114" t="s">
        <v>8934</v>
      </c>
      <c r="Q465" s="114" t="s">
        <v>118</v>
      </c>
      <c r="R465" s="114" t="s">
        <v>89</v>
      </c>
      <c r="S465" s="114" t="s">
        <v>118</v>
      </c>
      <c r="T465" s="114" t="s">
        <v>89</v>
      </c>
      <c r="U465" s="114" t="s">
        <v>8862</v>
      </c>
      <c r="V465" s="114" t="s">
        <v>3072</v>
      </c>
      <c r="W465" s="114" t="s">
        <v>8906</v>
      </c>
      <c r="X465" s="114" t="s">
        <v>2701</v>
      </c>
      <c r="Y465" s="114" t="s">
        <v>9166</v>
      </c>
      <c r="Z465" s="114" t="s">
        <v>8858</v>
      </c>
      <c r="AA465" s="114" t="s">
        <v>9451</v>
      </c>
    </row>
    <row r="466" spans="1:28" ht="84" x14ac:dyDescent="0.2">
      <c r="A466" s="133" t="s">
        <v>2269</v>
      </c>
      <c r="B466" s="130"/>
      <c r="C466" s="130" t="s">
        <v>619</v>
      </c>
      <c r="D466" s="130" t="s">
        <v>2270</v>
      </c>
      <c r="E466" s="131">
        <v>41746</v>
      </c>
      <c r="F466" s="131">
        <v>41774</v>
      </c>
      <c r="G466" s="132" t="s">
        <v>2271</v>
      </c>
      <c r="H466" s="132" t="s">
        <v>2272</v>
      </c>
      <c r="I466" s="132" t="s">
        <v>1256</v>
      </c>
      <c r="J466" s="132" t="s">
        <v>2273</v>
      </c>
      <c r="K466" s="440" t="str">
        <f>HYPERLINK("https://okcountyrecords.com/detail/roger+mills/2014-003089","OKCountyRecords: 2014-003089")</f>
        <v>OKCountyRecords: 2014-003089</v>
      </c>
      <c r="L466" s="133" t="s">
        <v>412</v>
      </c>
      <c r="M466" s="133" t="s">
        <v>405</v>
      </c>
      <c r="N466" s="133"/>
      <c r="O466" s="133" t="s">
        <v>422</v>
      </c>
      <c r="P466" s="114" t="s">
        <v>8934</v>
      </c>
      <c r="Q466" s="114" t="s">
        <v>118</v>
      </c>
      <c r="R466" s="114" t="s">
        <v>89</v>
      </c>
      <c r="S466" s="114" t="s">
        <v>118</v>
      </c>
      <c r="T466" s="114" t="s">
        <v>89</v>
      </c>
      <c r="U466" s="114" t="s">
        <v>8935</v>
      </c>
      <c r="V466" s="114" t="s">
        <v>2701</v>
      </c>
      <c r="W466" s="114" t="s">
        <v>8864</v>
      </c>
      <c r="X466" s="114" t="s">
        <v>2701</v>
      </c>
      <c r="Y466" s="114" t="s">
        <v>9452</v>
      </c>
      <c r="Z466" s="114" t="s">
        <v>8858</v>
      </c>
      <c r="AA466" s="114" t="s">
        <v>9453</v>
      </c>
      <c r="AB466" s="114" t="s">
        <v>8877</v>
      </c>
    </row>
    <row r="467" spans="1:28" ht="120" x14ac:dyDescent="0.2">
      <c r="A467" s="133" t="s">
        <v>2274</v>
      </c>
      <c r="B467" s="130"/>
      <c r="C467" s="130" t="s">
        <v>2275</v>
      </c>
      <c r="D467" s="130" t="s">
        <v>2276</v>
      </c>
      <c r="E467" s="131">
        <v>41782</v>
      </c>
      <c r="F467" s="131">
        <v>41834</v>
      </c>
      <c r="G467" s="132" t="s">
        <v>2277</v>
      </c>
      <c r="H467" s="132" t="s">
        <v>2278</v>
      </c>
      <c r="I467" s="132" t="s">
        <v>2279</v>
      </c>
      <c r="J467" s="132" t="s">
        <v>8707</v>
      </c>
      <c r="K467" s="440" t="str">
        <f>HYPERLINK("https://okcountyrecords.com/detail/roger+mills/2014-004525","OKCountyRecords: 2014-004525")</f>
        <v>OKCountyRecords: 2014-004525</v>
      </c>
      <c r="L467" s="133" t="s">
        <v>543</v>
      </c>
      <c r="M467" s="133" t="s">
        <v>405</v>
      </c>
      <c r="N467" s="133"/>
      <c r="O467" s="133" t="s">
        <v>428</v>
      </c>
      <c r="P467" s="114" t="s">
        <v>8910</v>
      </c>
      <c r="Q467" s="114" t="s">
        <v>118</v>
      </c>
      <c r="R467" s="114" t="s">
        <v>89</v>
      </c>
      <c r="S467" s="114" t="s">
        <v>118</v>
      </c>
      <c r="T467" s="114" t="s">
        <v>89</v>
      </c>
      <c r="U467" s="114" t="s">
        <v>8911</v>
      </c>
      <c r="V467" s="114" t="s">
        <v>3072</v>
      </c>
      <c r="W467" s="114" t="s">
        <v>8864</v>
      </c>
      <c r="X467" s="114" t="s">
        <v>2701</v>
      </c>
      <c r="Y467" s="114" t="s">
        <v>8857</v>
      </c>
      <c r="Z467" s="114" t="s">
        <v>8858</v>
      </c>
      <c r="AA467" s="114" t="s">
        <v>9454</v>
      </c>
      <c r="AB467" s="114" t="s">
        <v>8867</v>
      </c>
    </row>
    <row r="468" spans="1:28" ht="60" x14ac:dyDescent="0.2">
      <c r="A468" s="133" t="s">
        <v>2280</v>
      </c>
      <c r="B468" s="130"/>
      <c r="C468" s="130" t="s">
        <v>1456</v>
      </c>
      <c r="D468" s="130" t="s">
        <v>2281</v>
      </c>
      <c r="E468" s="131">
        <v>41821</v>
      </c>
      <c r="F468" s="131">
        <v>42250</v>
      </c>
      <c r="G468" s="132" t="s">
        <v>2282</v>
      </c>
      <c r="H468" s="132" t="s">
        <v>2283</v>
      </c>
      <c r="I468" s="132" t="s">
        <v>569</v>
      </c>
      <c r="J468" s="132" t="s">
        <v>63</v>
      </c>
      <c r="K468" s="440" t="str">
        <f>HYPERLINK("https://okcountyrecords.com/detail/roger+mills/2015-002747","OKCountyRecords: 2015-002747")</f>
        <v>OKCountyRecords: 2015-002747</v>
      </c>
      <c r="L468" s="133" t="s">
        <v>1490</v>
      </c>
      <c r="M468" s="133" t="s">
        <v>8756</v>
      </c>
      <c r="N468" s="133"/>
      <c r="O468" s="133" t="s">
        <v>422</v>
      </c>
      <c r="P468" s="114" t="s">
        <v>9043</v>
      </c>
      <c r="Q468" s="114" t="s">
        <v>2701</v>
      </c>
      <c r="R468" s="114" t="s">
        <v>118</v>
      </c>
      <c r="S468" s="114" t="s">
        <v>2701</v>
      </c>
      <c r="T468" s="114" t="s">
        <v>118</v>
      </c>
      <c r="U468" s="114" t="s">
        <v>8896</v>
      </c>
      <c r="V468" s="114" t="s">
        <v>3386</v>
      </c>
      <c r="W468" s="114" t="s">
        <v>8864</v>
      </c>
      <c r="X468" s="114" t="s">
        <v>2701</v>
      </c>
      <c r="Y468" s="114" t="s">
        <v>8851</v>
      </c>
      <c r="Z468" s="114" t="s">
        <v>2701</v>
      </c>
      <c r="AA468" s="114" t="s">
        <v>9455</v>
      </c>
      <c r="AB468" s="114" t="s">
        <v>8888</v>
      </c>
    </row>
    <row r="469" spans="1:28" ht="60" x14ac:dyDescent="0.2">
      <c r="A469" s="133" t="s">
        <v>2284</v>
      </c>
      <c r="B469" s="130"/>
      <c r="C469" s="130" t="s">
        <v>1456</v>
      </c>
      <c r="D469" s="130" t="s">
        <v>2285</v>
      </c>
      <c r="E469" s="131">
        <v>41821</v>
      </c>
      <c r="F469" s="131">
        <v>41907</v>
      </c>
      <c r="G469" s="132" t="s">
        <v>2286</v>
      </c>
      <c r="H469" s="132" t="s">
        <v>2287</v>
      </c>
      <c r="I469" s="132" t="s">
        <v>569</v>
      </c>
      <c r="J469" s="132" t="s">
        <v>63</v>
      </c>
      <c r="K469" s="440" t="str">
        <f>HYPERLINK("https://okcountyrecords.com/detail/roger+mills/2014-005920","OKCountyRecords: 2014-005920")</f>
        <v>OKCountyRecords: 2014-005920</v>
      </c>
      <c r="L469" s="133" t="s">
        <v>1490</v>
      </c>
      <c r="M469" s="133" t="s">
        <v>8756</v>
      </c>
      <c r="N469" s="133"/>
      <c r="O469" s="133" t="s">
        <v>422</v>
      </c>
      <c r="P469" s="114" t="s">
        <v>9043</v>
      </c>
      <c r="Q469" s="114" t="s">
        <v>2701</v>
      </c>
      <c r="R469" s="114" t="s">
        <v>118</v>
      </c>
      <c r="S469" s="114" t="s">
        <v>2701</v>
      </c>
      <c r="T469" s="114" t="s">
        <v>118</v>
      </c>
      <c r="U469" s="114" t="s">
        <v>8896</v>
      </c>
      <c r="V469" s="114" t="s">
        <v>3386</v>
      </c>
      <c r="W469" s="114" t="s">
        <v>8864</v>
      </c>
      <c r="X469" s="114" t="s">
        <v>2701</v>
      </c>
      <c r="Y469" s="114" t="s">
        <v>8851</v>
      </c>
      <c r="Z469" s="114" t="s">
        <v>2701</v>
      </c>
      <c r="AA469" s="114" t="s">
        <v>9456</v>
      </c>
      <c r="AB469" s="114" t="s">
        <v>8888</v>
      </c>
    </row>
    <row r="470" spans="1:28" ht="96" x14ac:dyDescent="0.2">
      <c r="A470" s="133" t="s">
        <v>2289</v>
      </c>
      <c r="B470" s="130"/>
      <c r="C470" s="130" t="s">
        <v>2290</v>
      </c>
      <c r="D470" s="130" t="s">
        <v>2291</v>
      </c>
      <c r="E470" s="131">
        <v>41821</v>
      </c>
      <c r="F470" s="131">
        <v>41821</v>
      </c>
      <c r="G470" s="132" t="s">
        <v>2292</v>
      </c>
      <c r="H470" s="132" t="s">
        <v>2293</v>
      </c>
      <c r="I470" s="132" t="s">
        <v>1280</v>
      </c>
      <c r="J470" s="132" t="s">
        <v>2294</v>
      </c>
      <c r="K470" s="440" t="str">
        <f>HYPERLINK("https://okcountyrecords.com/detail/roger+mills/2014-004286","OKCountyRecords: 2014-004286")</f>
        <v>OKCountyRecords: 2014-004286</v>
      </c>
      <c r="L470" s="133" t="s">
        <v>412</v>
      </c>
      <c r="M470" s="133" t="s">
        <v>405</v>
      </c>
      <c r="N470" s="133"/>
      <c r="O470" s="133" t="s">
        <v>422</v>
      </c>
      <c r="P470" s="114" t="s">
        <v>8886</v>
      </c>
      <c r="Q470" s="114" t="s">
        <v>118</v>
      </c>
      <c r="R470" s="114" t="s">
        <v>89</v>
      </c>
      <c r="S470" s="114" t="s">
        <v>118</v>
      </c>
      <c r="T470" s="114" t="s">
        <v>89</v>
      </c>
      <c r="U470" s="114" t="s">
        <v>8862</v>
      </c>
      <c r="V470" s="114" t="s">
        <v>3072</v>
      </c>
      <c r="W470" s="114" t="s">
        <v>8864</v>
      </c>
      <c r="X470" s="114" t="s">
        <v>2701</v>
      </c>
      <c r="Y470" s="114" t="s">
        <v>8857</v>
      </c>
      <c r="Z470" s="114" t="s">
        <v>8858</v>
      </c>
      <c r="AA470" s="114" t="s">
        <v>9457</v>
      </c>
      <c r="AB470" s="114" t="s">
        <v>8867</v>
      </c>
    </row>
    <row r="471" spans="1:28" ht="60" x14ac:dyDescent="0.2">
      <c r="A471" s="133" t="s">
        <v>2295</v>
      </c>
      <c r="B471" s="130"/>
      <c r="C471" s="130" t="s">
        <v>619</v>
      </c>
      <c r="D471" s="130" t="s">
        <v>2296</v>
      </c>
      <c r="E471" s="131">
        <v>41851</v>
      </c>
      <c r="F471" s="131">
        <v>41905</v>
      </c>
      <c r="G471" s="132" t="s">
        <v>2297</v>
      </c>
      <c r="H471" s="132" t="s">
        <v>2298</v>
      </c>
      <c r="I471" s="132" t="s">
        <v>2299</v>
      </c>
      <c r="J471" s="132" t="s">
        <v>63</v>
      </c>
      <c r="K471" s="440" t="str">
        <f>HYPERLINK("https://okcountyrecords.com/detail/roger+mills/2014-005899","OKCountyRecords: 2014-005899")</f>
        <v>OKCountyRecords: 2014-005899</v>
      </c>
      <c r="L471" s="133" t="s">
        <v>412</v>
      </c>
      <c r="M471" s="133" t="s">
        <v>405</v>
      </c>
      <c r="N471" s="133"/>
      <c r="O471" s="133" t="s">
        <v>422</v>
      </c>
      <c r="P471" s="114" t="s">
        <v>8934</v>
      </c>
      <c r="Q471" s="114" t="s">
        <v>118</v>
      </c>
      <c r="R471" s="114" t="s">
        <v>89</v>
      </c>
      <c r="S471" s="114" t="s">
        <v>118</v>
      </c>
      <c r="T471" s="114" t="s">
        <v>89</v>
      </c>
      <c r="U471" s="114" t="s">
        <v>8975</v>
      </c>
      <c r="V471" s="114" t="s">
        <v>3386</v>
      </c>
      <c r="W471" s="114" t="s">
        <v>9673</v>
      </c>
      <c r="X471" s="114" t="s">
        <v>8856</v>
      </c>
      <c r="Y471" s="114" t="s">
        <v>8857</v>
      </c>
      <c r="Z471" s="114" t="s">
        <v>8858</v>
      </c>
      <c r="AA471" s="114" t="s">
        <v>9458</v>
      </c>
      <c r="AB471" s="114" t="s">
        <v>8867</v>
      </c>
    </row>
    <row r="472" spans="1:28" ht="48" x14ac:dyDescent="0.2">
      <c r="A472" s="133" t="s">
        <v>2300</v>
      </c>
      <c r="B472" s="130"/>
      <c r="C472" s="130" t="s">
        <v>619</v>
      </c>
      <c r="D472" s="130" t="s">
        <v>2301</v>
      </c>
      <c r="E472" s="131">
        <v>41926</v>
      </c>
      <c r="F472" s="131">
        <v>41927</v>
      </c>
      <c r="G472" s="132" t="s">
        <v>2302</v>
      </c>
      <c r="H472" s="132" t="s">
        <v>2303</v>
      </c>
      <c r="I472" s="132" t="s">
        <v>2304</v>
      </c>
      <c r="J472" s="132" t="s">
        <v>8646</v>
      </c>
      <c r="K472" s="440" t="str">
        <f>HYPERLINK("https://okcountyrecords.com/detail/roger+mills/2014-006293","OKCountyRecords: 2014-006293")</f>
        <v>OKCountyRecords: 2014-006293</v>
      </c>
      <c r="L472" s="133" t="s">
        <v>412</v>
      </c>
      <c r="M472" s="133" t="s">
        <v>405</v>
      </c>
      <c r="N472" s="133"/>
      <c r="O472" s="133" t="s">
        <v>422</v>
      </c>
      <c r="P472" s="114" t="s">
        <v>8934</v>
      </c>
      <c r="Q472" s="114" t="s">
        <v>118</v>
      </c>
      <c r="R472" s="114" t="s">
        <v>89</v>
      </c>
      <c r="S472" s="114" t="s">
        <v>118</v>
      </c>
      <c r="T472" s="114" t="s">
        <v>89</v>
      </c>
      <c r="U472" s="114" t="s">
        <v>9204</v>
      </c>
      <c r="V472" s="114" t="s">
        <v>2701</v>
      </c>
      <c r="W472" s="114" t="s">
        <v>9648</v>
      </c>
      <c r="X472" s="114" t="s">
        <v>8869</v>
      </c>
      <c r="Y472" s="114" t="s">
        <v>8857</v>
      </c>
      <c r="Z472" s="114" t="s">
        <v>8858</v>
      </c>
      <c r="AA472" s="114" t="s">
        <v>9459</v>
      </c>
      <c r="AB472" s="114" t="s">
        <v>8877</v>
      </c>
    </row>
    <row r="473" spans="1:28" ht="96" x14ac:dyDescent="0.2">
      <c r="A473" s="133" t="s">
        <v>2305</v>
      </c>
      <c r="B473" s="130"/>
      <c r="C473" s="130" t="s">
        <v>2134</v>
      </c>
      <c r="D473" s="130" t="s">
        <v>2306</v>
      </c>
      <c r="E473" s="131">
        <v>41926</v>
      </c>
      <c r="F473" s="131">
        <v>41932</v>
      </c>
      <c r="G473" s="132" t="s">
        <v>2307</v>
      </c>
      <c r="H473" s="132" t="s">
        <v>2308</v>
      </c>
      <c r="I473" s="132" t="s">
        <v>569</v>
      </c>
      <c r="J473" s="132" t="s">
        <v>760</v>
      </c>
      <c r="K473" s="440" t="str">
        <f>HYPERLINK("https://okcountyrecords.com/detail/roger+mills/2014-006352","OKCountyRecords: 2014-006352")</f>
        <v>OKCountyRecords: 2014-006352</v>
      </c>
      <c r="L473" s="133" t="s">
        <v>8725</v>
      </c>
      <c r="M473" s="133" t="s">
        <v>641</v>
      </c>
      <c r="N473" s="133" t="s">
        <v>8712</v>
      </c>
      <c r="O473" s="133" t="s">
        <v>422</v>
      </c>
      <c r="P473" s="114" t="s">
        <v>8886</v>
      </c>
      <c r="Q473" s="114" t="s">
        <v>118</v>
      </c>
      <c r="R473" s="114" t="s">
        <v>89</v>
      </c>
      <c r="S473" s="114" t="s">
        <v>118</v>
      </c>
      <c r="T473" s="114" t="s">
        <v>89</v>
      </c>
      <c r="U473" s="114" t="s">
        <v>8896</v>
      </c>
      <c r="V473" s="114" t="s">
        <v>3386</v>
      </c>
      <c r="W473" s="114" t="s">
        <v>8864</v>
      </c>
      <c r="X473" s="114" t="s">
        <v>2701</v>
      </c>
      <c r="Y473" s="114" t="s">
        <v>8851</v>
      </c>
      <c r="Z473" s="114" t="s">
        <v>2701</v>
      </c>
      <c r="AA473" s="114" t="s">
        <v>9460</v>
      </c>
      <c r="AB473" s="114" t="s">
        <v>8888</v>
      </c>
    </row>
    <row r="474" spans="1:28" ht="60" x14ac:dyDescent="0.2">
      <c r="A474" s="133" t="s">
        <v>2309</v>
      </c>
      <c r="B474" s="130"/>
      <c r="C474" s="130" t="s">
        <v>1456</v>
      </c>
      <c r="D474" s="130" t="s">
        <v>2310</v>
      </c>
      <c r="E474" s="131">
        <v>41944</v>
      </c>
      <c r="F474" s="131">
        <v>42250</v>
      </c>
      <c r="G474" s="132" t="s">
        <v>2311</v>
      </c>
      <c r="H474" s="132" t="s">
        <v>2283</v>
      </c>
      <c r="I474" s="132" t="s">
        <v>569</v>
      </c>
      <c r="J474" s="132" t="s">
        <v>63</v>
      </c>
      <c r="K474" s="440" t="str">
        <f>HYPERLINK("https://okcountyrecords.com/detail/roger+mills/2015-002749","OKCountyRecords: 2015-002749")</f>
        <v>OKCountyRecords: 2015-002749</v>
      </c>
      <c r="L474" s="133" t="s">
        <v>1490</v>
      </c>
      <c r="M474" s="133" t="s">
        <v>8756</v>
      </c>
      <c r="N474" s="133"/>
      <c r="O474" s="133" t="s">
        <v>422</v>
      </c>
      <c r="P474" s="114" t="s">
        <v>9043</v>
      </c>
      <c r="Q474" s="114" t="s">
        <v>2701</v>
      </c>
      <c r="R474" s="114" t="s">
        <v>118</v>
      </c>
      <c r="S474" s="114" t="s">
        <v>2701</v>
      </c>
      <c r="T474" s="114" t="s">
        <v>118</v>
      </c>
      <c r="U474" s="114" t="s">
        <v>8896</v>
      </c>
      <c r="V474" s="114" t="s">
        <v>3386</v>
      </c>
      <c r="W474" s="114" t="s">
        <v>8864</v>
      </c>
      <c r="X474" s="114" t="s">
        <v>2701</v>
      </c>
      <c r="Y474" s="114" t="s">
        <v>8851</v>
      </c>
      <c r="Z474" s="114" t="s">
        <v>2701</v>
      </c>
      <c r="AA474" s="114" t="s">
        <v>9461</v>
      </c>
      <c r="AB474" s="114" t="s">
        <v>8888</v>
      </c>
    </row>
    <row r="475" spans="1:28" ht="180" x14ac:dyDescent="0.2">
      <c r="A475" s="133" t="s">
        <v>2312</v>
      </c>
      <c r="B475" s="130"/>
      <c r="C475" s="130" t="s">
        <v>1456</v>
      </c>
      <c r="D475" s="130" t="s">
        <v>2313</v>
      </c>
      <c r="E475" s="131">
        <v>41988</v>
      </c>
      <c r="F475" s="131">
        <v>42011</v>
      </c>
      <c r="G475" s="132" t="s">
        <v>8812</v>
      </c>
      <c r="H475" s="132" t="s">
        <v>8825</v>
      </c>
      <c r="I475" s="132" t="s">
        <v>569</v>
      </c>
      <c r="J475" s="132" t="s">
        <v>63</v>
      </c>
      <c r="K475" s="440" t="str">
        <f>HYPERLINK("https://okcountyrecords.com/detail/roger+mills/2015-000058","OKCountyRecords: 2015-000058")</f>
        <v>OKCountyRecords: 2015-000058</v>
      </c>
      <c r="L475" s="133" t="s">
        <v>1490</v>
      </c>
      <c r="M475" s="133" t="s">
        <v>8756</v>
      </c>
      <c r="N475" s="133"/>
      <c r="O475" s="133" t="s">
        <v>422</v>
      </c>
      <c r="P475" s="114" t="s">
        <v>9043</v>
      </c>
      <c r="Q475" s="114" t="s">
        <v>2701</v>
      </c>
      <c r="R475" s="114" t="s">
        <v>118</v>
      </c>
      <c r="S475" s="114" t="s">
        <v>2701</v>
      </c>
      <c r="T475" s="114" t="s">
        <v>118</v>
      </c>
      <c r="U475" s="114" t="s">
        <v>8896</v>
      </c>
      <c r="V475" s="114" t="s">
        <v>3386</v>
      </c>
      <c r="W475" s="114" t="s">
        <v>8864</v>
      </c>
      <c r="X475" s="114" t="s">
        <v>2701</v>
      </c>
      <c r="Y475" s="114" t="s">
        <v>8851</v>
      </c>
      <c r="Z475" s="114" t="s">
        <v>2701</v>
      </c>
      <c r="AA475" s="114" t="s">
        <v>9462</v>
      </c>
      <c r="AB475" s="114" t="s">
        <v>8888</v>
      </c>
    </row>
    <row r="476" spans="1:28" ht="48" x14ac:dyDescent="0.2">
      <c r="A476" s="133" t="s">
        <v>2317</v>
      </c>
      <c r="B476" s="130"/>
      <c r="C476" s="130" t="s">
        <v>619</v>
      </c>
      <c r="D476" s="130" t="s">
        <v>2318</v>
      </c>
      <c r="E476" s="131">
        <v>42061</v>
      </c>
      <c r="F476" s="131">
        <v>42068</v>
      </c>
      <c r="G476" s="132" t="s">
        <v>2319</v>
      </c>
      <c r="H476" s="132" t="s">
        <v>166</v>
      </c>
      <c r="I476" s="132" t="s">
        <v>1280</v>
      </c>
      <c r="J476" s="132" t="s">
        <v>63</v>
      </c>
      <c r="K476" s="440" t="str">
        <f>HYPERLINK("https://okcountyrecords.com/detail/roger+mills/2015-000877","OKCountyRecords: 2015-000877")</f>
        <v>OKCountyRecords: 2015-000877</v>
      </c>
      <c r="L476" s="133" t="s">
        <v>412</v>
      </c>
      <c r="M476" s="133" t="s">
        <v>405</v>
      </c>
      <c r="N476" s="133"/>
      <c r="O476" s="133" t="s">
        <v>422</v>
      </c>
      <c r="P476" s="114" t="s">
        <v>8934</v>
      </c>
      <c r="Q476" s="114" t="s">
        <v>118</v>
      </c>
      <c r="R476" s="114" t="s">
        <v>89</v>
      </c>
      <c r="S476" s="114" t="s">
        <v>118</v>
      </c>
      <c r="T476" s="114" t="s">
        <v>89</v>
      </c>
      <c r="U476" s="114" t="s">
        <v>8862</v>
      </c>
      <c r="V476" s="114" t="s">
        <v>3072</v>
      </c>
      <c r="W476" s="114" t="s">
        <v>9674</v>
      </c>
      <c r="X476" s="114" t="s">
        <v>2701</v>
      </c>
      <c r="Y476" s="114" t="s">
        <v>8857</v>
      </c>
      <c r="Z476" s="114" t="s">
        <v>8858</v>
      </c>
      <c r="AA476" s="114" t="s">
        <v>9463</v>
      </c>
      <c r="AB476" s="114" t="s">
        <v>8867</v>
      </c>
    </row>
    <row r="477" spans="1:28" ht="48" x14ac:dyDescent="0.2">
      <c r="A477" s="133" t="s">
        <v>2321</v>
      </c>
      <c r="B477" s="130"/>
      <c r="C477" s="130" t="s">
        <v>2029</v>
      </c>
      <c r="D477" s="130" t="s">
        <v>2322</v>
      </c>
      <c r="E477" s="131">
        <v>42111</v>
      </c>
      <c r="F477" s="131">
        <v>42115</v>
      </c>
      <c r="G477" s="132" t="s">
        <v>306</v>
      </c>
      <c r="H477" s="132" t="s">
        <v>2323</v>
      </c>
      <c r="I477" s="132" t="s">
        <v>215</v>
      </c>
      <c r="J477" s="132" t="s">
        <v>2324</v>
      </c>
      <c r="K477" s="440" t="str">
        <f>HYPERLINK("https://okcountyrecords.com/detail/roger+mills/2015-001388","OKCountyRecords: 2015-001388")</f>
        <v>OKCountyRecords: 2015-001388</v>
      </c>
      <c r="L477" s="133" t="s">
        <v>1501</v>
      </c>
      <c r="M477" s="133" t="s">
        <v>467</v>
      </c>
      <c r="N477" s="133" t="s">
        <v>504</v>
      </c>
      <c r="O477" s="133" t="s">
        <v>428</v>
      </c>
      <c r="P477" s="114" t="s">
        <v>9389</v>
      </c>
      <c r="Q477" s="114" t="s">
        <v>118</v>
      </c>
      <c r="R477" s="114" t="s">
        <v>89</v>
      </c>
      <c r="S477" s="114" t="s">
        <v>118</v>
      </c>
      <c r="T477" s="114" t="s">
        <v>89</v>
      </c>
      <c r="U477" s="114" t="s">
        <v>8862</v>
      </c>
      <c r="V477" s="114" t="s">
        <v>3072</v>
      </c>
      <c r="W477" s="114" t="s">
        <v>8864</v>
      </c>
      <c r="X477" s="114" t="s">
        <v>2701</v>
      </c>
      <c r="Y477" s="114" t="s">
        <v>8851</v>
      </c>
      <c r="Z477" s="114" t="s">
        <v>2701</v>
      </c>
      <c r="AA477" s="114" t="s">
        <v>9464</v>
      </c>
      <c r="AB477" s="114" t="s">
        <v>8888</v>
      </c>
    </row>
    <row r="478" spans="1:28" ht="60" x14ac:dyDescent="0.2">
      <c r="A478" s="133" t="s">
        <v>2326</v>
      </c>
      <c r="B478" s="130"/>
      <c r="C478" s="130" t="s">
        <v>1456</v>
      </c>
      <c r="D478" s="130" t="s">
        <v>2327</v>
      </c>
      <c r="E478" s="131">
        <v>42129</v>
      </c>
      <c r="F478" s="131">
        <v>42139</v>
      </c>
      <c r="G478" s="132" t="s">
        <v>2328</v>
      </c>
      <c r="H478" s="132" t="s">
        <v>8826</v>
      </c>
      <c r="I478" s="132" t="s">
        <v>569</v>
      </c>
      <c r="J478" s="132" t="s">
        <v>2330</v>
      </c>
      <c r="K478" s="440" t="str">
        <f>HYPERLINK("https://okcountyrecords.com/detail/roger+mills/2015-001661","OKCountyRecords: 2015-001661")</f>
        <v>OKCountyRecords: 2015-001661</v>
      </c>
      <c r="L478" s="133" t="s">
        <v>8726</v>
      </c>
      <c r="M478" s="133" t="s">
        <v>8756</v>
      </c>
      <c r="N478" s="133"/>
      <c r="O478" s="133" t="s">
        <v>422</v>
      </c>
      <c r="P478" s="114" t="s">
        <v>9043</v>
      </c>
      <c r="Q478" s="114" t="s">
        <v>2701</v>
      </c>
      <c r="R478" s="114" t="s">
        <v>118</v>
      </c>
      <c r="S478" s="114" t="s">
        <v>2701</v>
      </c>
      <c r="T478" s="114" t="s">
        <v>118</v>
      </c>
      <c r="U478" s="114" t="s">
        <v>8896</v>
      </c>
      <c r="V478" s="114" t="s">
        <v>3386</v>
      </c>
      <c r="W478" s="114" t="s">
        <v>9675</v>
      </c>
      <c r="X478" s="114" t="s">
        <v>2701</v>
      </c>
      <c r="Y478" s="114" t="s">
        <v>8851</v>
      </c>
      <c r="Z478" s="114" t="s">
        <v>2701</v>
      </c>
      <c r="AA478" s="114" t="s">
        <v>9465</v>
      </c>
      <c r="AB478" s="114" t="s">
        <v>8888</v>
      </c>
    </row>
    <row r="479" spans="1:28" ht="60" x14ac:dyDescent="0.2">
      <c r="A479" s="133" t="s">
        <v>2332</v>
      </c>
      <c r="B479" s="130"/>
      <c r="C479" s="130" t="s">
        <v>2189</v>
      </c>
      <c r="D479" s="130" t="s">
        <v>2333</v>
      </c>
      <c r="E479" s="131">
        <v>42199</v>
      </c>
      <c r="F479" s="131">
        <v>42207</v>
      </c>
      <c r="G479" s="132" t="s">
        <v>2334</v>
      </c>
      <c r="H479" s="132" t="s">
        <v>2335</v>
      </c>
      <c r="I479" s="132" t="s">
        <v>569</v>
      </c>
      <c r="J479" s="132" t="s">
        <v>2336</v>
      </c>
      <c r="K479" s="440" t="str">
        <f>HYPERLINK("https://okcountyrecords.com/detail/roger+mills/2015-002368","OKCountyRecords: 2015-002368")</f>
        <v>OKCountyRecords: 2015-002368</v>
      </c>
      <c r="L479" s="133" t="s">
        <v>1490</v>
      </c>
      <c r="M479" s="133" t="s">
        <v>8756</v>
      </c>
      <c r="N479" s="133"/>
      <c r="O479" s="133" t="s">
        <v>422</v>
      </c>
      <c r="P479" s="114" t="s">
        <v>8903</v>
      </c>
      <c r="Q479" s="114" t="s">
        <v>2701</v>
      </c>
      <c r="R479" s="114" t="s">
        <v>2701</v>
      </c>
      <c r="S479" s="114" t="s">
        <v>2701</v>
      </c>
      <c r="T479" s="114" t="s">
        <v>2701</v>
      </c>
      <c r="U479" s="114" t="s">
        <v>8896</v>
      </c>
      <c r="V479" s="114" t="s">
        <v>3386</v>
      </c>
      <c r="W479" s="114" t="s">
        <v>8864</v>
      </c>
      <c r="X479" s="114" t="s">
        <v>2701</v>
      </c>
      <c r="Y479" s="114" t="s">
        <v>8851</v>
      </c>
      <c r="Z479" s="114" t="s">
        <v>2701</v>
      </c>
      <c r="AA479" s="114" t="s">
        <v>9466</v>
      </c>
      <c r="AB479" s="114" t="s">
        <v>8905</v>
      </c>
    </row>
    <row r="480" spans="1:28" ht="60" x14ac:dyDescent="0.2">
      <c r="A480" s="133" t="s">
        <v>2338</v>
      </c>
      <c r="B480" s="130"/>
      <c r="C480" s="130" t="s">
        <v>2189</v>
      </c>
      <c r="D480" s="130" t="s">
        <v>2339</v>
      </c>
      <c r="E480" s="131">
        <v>42199</v>
      </c>
      <c r="F480" s="131">
        <v>42207</v>
      </c>
      <c r="G480" s="132" t="s">
        <v>2340</v>
      </c>
      <c r="H480" s="132" t="s">
        <v>2341</v>
      </c>
      <c r="I480" s="132" t="s">
        <v>569</v>
      </c>
      <c r="J480" s="132" t="s">
        <v>2336</v>
      </c>
      <c r="K480" s="440" t="str">
        <f>HYPERLINK("https://okcountyrecords.com/detail/roger+mills/2015-002369","OKCountyRecords: 2015-002369")</f>
        <v>OKCountyRecords: 2015-002369</v>
      </c>
      <c r="L480" s="133" t="s">
        <v>1490</v>
      </c>
      <c r="M480" s="133" t="s">
        <v>8756</v>
      </c>
      <c r="N480" s="133"/>
      <c r="O480" s="133" t="s">
        <v>422</v>
      </c>
      <c r="P480" s="114" t="s">
        <v>8903</v>
      </c>
      <c r="Q480" s="114" t="s">
        <v>2701</v>
      </c>
      <c r="R480" s="114" t="s">
        <v>2701</v>
      </c>
      <c r="S480" s="114" t="s">
        <v>2701</v>
      </c>
      <c r="T480" s="114" t="s">
        <v>2701</v>
      </c>
      <c r="U480" s="114" t="s">
        <v>8896</v>
      </c>
      <c r="V480" s="114" t="s">
        <v>3386</v>
      </c>
      <c r="W480" s="114" t="s">
        <v>8864</v>
      </c>
      <c r="X480" s="114" t="s">
        <v>2701</v>
      </c>
      <c r="Y480" s="114" t="s">
        <v>8851</v>
      </c>
      <c r="Z480" s="114" t="s">
        <v>2701</v>
      </c>
      <c r="AA480" s="114" t="s">
        <v>9467</v>
      </c>
      <c r="AB480" s="114" t="s">
        <v>8905</v>
      </c>
    </row>
    <row r="481" spans="1:28" ht="60" x14ac:dyDescent="0.2">
      <c r="A481" s="133" t="s">
        <v>2343</v>
      </c>
      <c r="B481" s="130"/>
      <c r="C481" s="130" t="s">
        <v>2344</v>
      </c>
      <c r="D481" s="130" t="s">
        <v>2345</v>
      </c>
      <c r="E481" s="131">
        <v>42199</v>
      </c>
      <c r="F481" s="131">
        <v>42285</v>
      </c>
      <c r="G481" s="132" t="s">
        <v>2346</v>
      </c>
      <c r="H481" s="132" t="s">
        <v>2347</v>
      </c>
      <c r="I481" s="132" t="s">
        <v>569</v>
      </c>
      <c r="J481" s="132" t="s">
        <v>9597</v>
      </c>
      <c r="K481" s="440" t="str">
        <f>HYPERLINK("https://okcountyrecords.com/detail/roger+mills/2015-003023","OKCountyRecords: 2015-003023")</f>
        <v>OKCountyRecords: 2015-003023</v>
      </c>
      <c r="L481" s="133" t="s">
        <v>8727</v>
      </c>
      <c r="M481" s="133" t="s">
        <v>641</v>
      </c>
      <c r="N481" s="133" t="s">
        <v>8723</v>
      </c>
      <c r="O481" s="133" t="s">
        <v>422</v>
      </c>
      <c r="P481" s="114" t="s">
        <v>8854</v>
      </c>
      <c r="Q481" s="114" t="s">
        <v>118</v>
      </c>
      <c r="R481" s="114" t="s">
        <v>89</v>
      </c>
      <c r="S481" s="114" t="s">
        <v>2701</v>
      </c>
      <c r="T481" s="114" t="s">
        <v>89</v>
      </c>
      <c r="U481" s="114" t="s">
        <v>8896</v>
      </c>
      <c r="V481" s="114" t="s">
        <v>3386</v>
      </c>
      <c r="W481" s="114" t="s">
        <v>8864</v>
      </c>
      <c r="X481" s="114" t="s">
        <v>2701</v>
      </c>
      <c r="Y481" s="114" t="s">
        <v>8851</v>
      </c>
      <c r="Z481" s="114" t="s">
        <v>2701</v>
      </c>
      <c r="AA481" s="114" t="s">
        <v>9468</v>
      </c>
      <c r="AB481" s="114" t="s">
        <v>8888</v>
      </c>
    </row>
    <row r="482" spans="1:28" ht="60" x14ac:dyDescent="0.2">
      <c r="A482" s="133" t="s">
        <v>2349</v>
      </c>
      <c r="B482" s="130"/>
      <c r="C482" s="130" t="s">
        <v>2344</v>
      </c>
      <c r="D482" s="130" t="s">
        <v>2350</v>
      </c>
      <c r="E482" s="131">
        <v>42199</v>
      </c>
      <c r="F482" s="131">
        <v>42285</v>
      </c>
      <c r="G482" s="132" t="s">
        <v>2351</v>
      </c>
      <c r="H482" s="132" t="s">
        <v>2352</v>
      </c>
      <c r="I482" s="132" t="s">
        <v>569</v>
      </c>
      <c r="J482" s="132" t="s">
        <v>9598</v>
      </c>
      <c r="K482" s="440" t="str">
        <f>HYPERLINK("https://okcountyrecords.com/detail/roger+mills/2015-003022","OKCountyRecords: 2015-003022")</f>
        <v>OKCountyRecords: 2015-003022</v>
      </c>
      <c r="L482" s="133" t="s">
        <v>8727</v>
      </c>
      <c r="M482" s="133" t="s">
        <v>641</v>
      </c>
      <c r="N482" s="133" t="s">
        <v>8723</v>
      </c>
      <c r="O482" s="133" t="s">
        <v>422</v>
      </c>
      <c r="P482" s="114" t="s">
        <v>8854</v>
      </c>
      <c r="Q482" s="114" t="s">
        <v>118</v>
      </c>
      <c r="R482" s="114" t="s">
        <v>89</v>
      </c>
      <c r="S482" s="114" t="s">
        <v>2701</v>
      </c>
      <c r="T482" s="114" t="s">
        <v>89</v>
      </c>
      <c r="U482" s="114" t="s">
        <v>8896</v>
      </c>
      <c r="V482" s="114" t="s">
        <v>3386</v>
      </c>
      <c r="W482" s="114" t="s">
        <v>8864</v>
      </c>
      <c r="X482" s="114" t="s">
        <v>2701</v>
      </c>
      <c r="Y482" s="114" t="s">
        <v>8851</v>
      </c>
      <c r="Z482" s="114" t="s">
        <v>2701</v>
      </c>
      <c r="AA482" s="114" t="s">
        <v>9469</v>
      </c>
      <c r="AB482" s="114" t="s">
        <v>8888</v>
      </c>
    </row>
    <row r="483" spans="1:28" ht="60" x14ac:dyDescent="0.2">
      <c r="A483" s="133" t="s">
        <v>2354</v>
      </c>
      <c r="B483" s="130"/>
      <c r="C483" s="130" t="s">
        <v>619</v>
      </c>
      <c r="D483" s="130" t="s">
        <v>2355</v>
      </c>
      <c r="E483" s="131">
        <v>42242</v>
      </c>
      <c r="F483" s="131">
        <v>42255</v>
      </c>
      <c r="G483" s="132" t="s">
        <v>2356</v>
      </c>
      <c r="H483" s="132" t="s">
        <v>8827</v>
      </c>
      <c r="I483" s="132" t="s">
        <v>2358</v>
      </c>
      <c r="J483" s="132" t="s">
        <v>2359</v>
      </c>
      <c r="K483" s="440" t="str">
        <f>HYPERLINK("https://okcountyrecords.com/detail/roger+mills/2015-002791","OKCountyRecords: 2015-002791")</f>
        <v>OKCountyRecords: 2015-002791</v>
      </c>
      <c r="L483" s="133" t="s">
        <v>412</v>
      </c>
      <c r="M483" s="133" t="s">
        <v>405</v>
      </c>
      <c r="N483" s="133"/>
      <c r="O483" s="133" t="s">
        <v>422</v>
      </c>
      <c r="P483" s="114" t="s">
        <v>8934</v>
      </c>
      <c r="Q483" s="114" t="s">
        <v>118</v>
      </c>
      <c r="R483" s="114" t="s">
        <v>89</v>
      </c>
      <c r="S483" s="114" t="s">
        <v>118</v>
      </c>
      <c r="T483" s="114" t="s">
        <v>89</v>
      </c>
      <c r="U483" s="114" t="s">
        <v>9470</v>
      </c>
      <c r="V483" s="114" t="s">
        <v>2701</v>
      </c>
      <c r="W483" s="114" t="s">
        <v>8864</v>
      </c>
      <c r="X483" s="114" t="s">
        <v>2701</v>
      </c>
      <c r="Y483" s="114" t="s">
        <v>9166</v>
      </c>
      <c r="Z483" s="114" t="s">
        <v>8858</v>
      </c>
      <c r="AA483" s="114" t="s">
        <v>9471</v>
      </c>
      <c r="AB483" s="114" t="s">
        <v>8877</v>
      </c>
    </row>
    <row r="484" spans="1:28" ht="48" x14ac:dyDescent="0.2">
      <c r="A484" s="133" t="s">
        <v>2361</v>
      </c>
      <c r="B484" s="130"/>
      <c r="C484" s="130" t="s">
        <v>1920</v>
      </c>
      <c r="D484" s="130" t="s">
        <v>2362</v>
      </c>
      <c r="E484" s="131">
        <v>42255</v>
      </c>
      <c r="F484" s="131">
        <v>42513</v>
      </c>
      <c r="G484" s="132" t="s">
        <v>2363</v>
      </c>
      <c r="H484" s="132" t="s">
        <v>2364</v>
      </c>
      <c r="I484" s="132" t="s">
        <v>2358</v>
      </c>
      <c r="J484" s="132" t="s">
        <v>1355</v>
      </c>
      <c r="K484" s="440" t="str">
        <f>HYPERLINK("https://okcountyrecords.com/detail/roger+mills/2016-001244","OKCountyRecords: 2016-001244")</f>
        <v>OKCountyRecords: 2016-001244</v>
      </c>
      <c r="L484" s="133" t="s">
        <v>1501</v>
      </c>
      <c r="M484" s="133"/>
      <c r="N484" s="133"/>
      <c r="O484" s="133" t="s">
        <v>422</v>
      </c>
      <c r="P484" s="114" t="s">
        <v>8886</v>
      </c>
      <c r="Q484" s="114" t="s">
        <v>118</v>
      </c>
      <c r="R484" s="114" t="s">
        <v>89</v>
      </c>
      <c r="S484" s="114" t="s">
        <v>118</v>
      </c>
      <c r="T484" s="114" t="s">
        <v>89</v>
      </c>
      <c r="U484" s="114" t="s">
        <v>9470</v>
      </c>
      <c r="V484" s="114" t="s">
        <v>2701</v>
      </c>
      <c r="W484" s="114" t="s">
        <v>8906</v>
      </c>
      <c r="X484" s="114" t="s">
        <v>2701</v>
      </c>
      <c r="Y484" s="114" t="s">
        <v>8851</v>
      </c>
      <c r="Z484" s="114" t="s">
        <v>2701</v>
      </c>
      <c r="AA484" s="114" t="s">
        <v>9472</v>
      </c>
      <c r="AB484" s="114" t="s">
        <v>8871</v>
      </c>
    </row>
    <row r="485" spans="1:28" ht="48" x14ac:dyDescent="0.2">
      <c r="A485" s="133" t="s">
        <v>2365</v>
      </c>
      <c r="B485" s="130"/>
      <c r="C485" s="130" t="s">
        <v>619</v>
      </c>
      <c r="D485" s="130" t="s">
        <v>2366</v>
      </c>
      <c r="E485" s="131">
        <v>42305</v>
      </c>
      <c r="F485" s="131">
        <v>42313</v>
      </c>
      <c r="G485" s="132" t="s">
        <v>2165</v>
      </c>
      <c r="H485" s="132" t="s">
        <v>2367</v>
      </c>
      <c r="I485" s="132" t="s">
        <v>1280</v>
      </c>
      <c r="J485" s="132" t="s">
        <v>2368</v>
      </c>
      <c r="K485" s="440" t="str">
        <f>HYPERLINK("https://okcountyrecords.com/detail/roger+mills/2015-003284","OKCountyRecords: 2015-003284")</f>
        <v>OKCountyRecords: 2015-003284</v>
      </c>
      <c r="L485" s="133" t="s">
        <v>412</v>
      </c>
      <c r="M485" s="133" t="s">
        <v>405</v>
      </c>
      <c r="N485" s="133" t="s">
        <v>2167</v>
      </c>
      <c r="O485" s="133" t="s">
        <v>422</v>
      </c>
      <c r="P485" s="114" t="s">
        <v>8934</v>
      </c>
      <c r="Q485" s="114" t="s">
        <v>118</v>
      </c>
      <c r="R485" s="114" t="s">
        <v>89</v>
      </c>
      <c r="S485" s="114" t="s">
        <v>118</v>
      </c>
      <c r="T485" s="114" t="s">
        <v>89</v>
      </c>
      <c r="U485" s="114" t="s">
        <v>8862</v>
      </c>
      <c r="V485" s="114" t="s">
        <v>3072</v>
      </c>
      <c r="W485" s="114" t="s">
        <v>8906</v>
      </c>
      <c r="X485" s="114" t="s">
        <v>8865</v>
      </c>
      <c r="Y485" s="114" t="s">
        <v>9423</v>
      </c>
      <c r="Z485" s="114" t="s">
        <v>8858</v>
      </c>
      <c r="AA485" s="114" t="s">
        <v>9473</v>
      </c>
    </row>
    <row r="486" spans="1:28" ht="60" x14ac:dyDescent="0.2">
      <c r="A486" s="133" t="s">
        <v>2369</v>
      </c>
      <c r="B486" s="130">
        <v>45</v>
      </c>
      <c r="C486" s="130" t="s">
        <v>1456</v>
      </c>
      <c r="D486" s="130" t="s">
        <v>2370</v>
      </c>
      <c r="E486" s="131">
        <v>42370</v>
      </c>
      <c r="F486" s="131">
        <v>42593</v>
      </c>
      <c r="G486" s="132" t="s">
        <v>361</v>
      </c>
      <c r="H486" s="132" t="s">
        <v>2371</v>
      </c>
      <c r="I486" s="132" t="s">
        <v>569</v>
      </c>
      <c r="J486" s="132" t="s">
        <v>63</v>
      </c>
      <c r="K486" s="440" t="str">
        <f>HYPERLINK("https://okcountyrecords.com/detail/roger+mills/2016-001883","OKCountyRecords: 2016-001883")</f>
        <v>OKCountyRecords: 2016-001883</v>
      </c>
      <c r="L486" s="133" t="s">
        <v>1490</v>
      </c>
      <c r="M486" s="133" t="s">
        <v>1491</v>
      </c>
      <c r="N486" s="133"/>
      <c r="O486" s="133" t="s">
        <v>422</v>
      </c>
      <c r="P486" s="114" t="s">
        <v>9043</v>
      </c>
      <c r="Q486" s="114" t="s">
        <v>2701</v>
      </c>
      <c r="R486" s="114" t="s">
        <v>118</v>
      </c>
      <c r="S486" s="114" t="s">
        <v>2701</v>
      </c>
      <c r="T486" s="114" t="s">
        <v>118</v>
      </c>
      <c r="U486" s="114" t="s">
        <v>8896</v>
      </c>
      <c r="V486" s="114" t="s">
        <v>3386</v>
      </c>
      <c r="W486" s="114" t="s">
        <v>8864</v>
      </c>
      <c r="X486" s="114" t="s">
        <v>2701</v>
      </c>
      <c r="Y486" s="114" t="s">
        <v>8851</v>
      </c>
      <c r="Z486" s="114" t="s">
        <v>2701</v>
      </c>
      <c r="AA486" s="114" t="s">
        <v>9474</v>
      </c>
      <c r="AB486" s="114" t="s">
        <v>8888</v>
      </c>
    </row>
    <row r="487" spans="1:28" ht="60" x14ac:dyDescent="0.2">
      <c r="A487" s="133" t="s">
        <v>2372</v>
      </c>
      <c r="B487" s="130">
        <v>43</v>
      </c>
      <c r="C487" s="130" t="s">
        <v>1160</v>
      </c>
      <c r="D487" s="130" t="s">
        <v>2373</v>
      </c>
      <c r="E487" s="131">
        <v>42370</v>
      </c>
      <c r="F487" s="131">
        <v>42593</v>
      </c>
      <c r="G487" s="132" t="s">
        <v>8759</v>
      </c>
      <c r="H487" s="132" t="s">
        <v>2375</v>
      </c>
      <c r="I487" s="132" t="s">
        <v>776</v>
      </c>
      <c r="J487" s="132" t="s">
        <v>2376</v>
      </c>
      <c r="K487" s="440" t="str">
        <f>HYPERLINK("https://okcountyrecords.com/detail/roger+mills/2016-001882","OKCountyRecords: 2016-001882")</f>
        <v>OKCountyRecords: 2016-001882</v>
      </c>
      <c r="L487" s="133" t="s">
        <v>412</v>
      </c>
      <c r="M487" s="133" t="s">
        <v>641</v>
      </c>
      <c r="N487" s="133" t="s">
        <v>2240</v>
      </c>
      <c r="O487" s="133" t="s">
        <v>422</v>
      </c>
      <c r="P487" s="114" t="s">
        <v>8934</v>
      </c>
      <c r="Q487" s="114" t="s">
        <v>118</v>
      </c>
      <c r="R487" s="114" t="s">
        <v>89</v>
      </c>
      <c r="S487" s="114" t="s">
        <v>118</v>
      </c>
      <c r="T487" s="114" t="s">
        <v>89</v>
      </c>
      <c r="U487" s="114" t="s">
        <v>8983</v>
      </c>
      <c r="V487" s="114" t="s">
        <v>3072</v>
      </c>
      <c r="W487" s="114" t="s">
        <v>8864</v>
      </c>
      <c r="X487" s="114" t="s">
        <v>2701</v>
      </c>
      <c r="Y487" s="114" t="s">
        <v>8857</v>
      </c>
      <c r="Z487" s="114" t="s">
        <v>8858</v>
      </c>
      <c r="AA487" s="114" t="s">
        <v>9475</v>
      </c>
      <c r="AB487" s="114" t="s">
        <v>8867</v>
      </c>
    </row>
    <row r="488" spans="1:28" ht="60" x14ac:dyDescent="0.2">
      <c r="A488" s="133" t="s">
        <v>2377</v>
      </c>
      <c r="B488" s="130">
        <v>46</v>
      </c>
      <c r="C488" s="130" t="s">
        <v>1456</v>
      </c>
      <c r="D488" s="130" t="s">
        <v>2378</v>
      </c>
      <c r="E488" s="131">
        <v>42673</v>
      </c>
      <c r="F488" s="131">
        <v>42719</v>
      </c>
      <c r="G488" s="132" t="s">
        <v>2075</v>
      </c>
      <c r="H488" s="132" t="s">
        <v>2076</v>
      </c>
      <c r="I488" s="132" t="s">
        <v>569</v>
      </c>
      <c r="J488" s="132" t="s">
        <v>63</v>
      </c>
      <c r="K488" s="440" t="str">
        <f>HYPERLINK("https://okcountyrecords.com/detail/roger+mills/2016-002793","63e8b9a8d056433a9994fe46ca85076b.pdf | OKCountyRecords: 2016-002793")</f>
        <v>63e8b9a8d056433a9994fe46ca85076b.pdf | OKCountyRecords: 2016-002793</v>
      </c>
      <c r="L488" s="133" t="s">
        <v>1490</v>
      </c>
      <c r="M488" s="133" t="s">
        <v>1491</v>
      </c>
      <c r="N488" s="133"/>
      <c r="O488" s="133" t="s">
        <v>422</v>
      </c>
      <c r="P488" s="114" t="s">
        <v>9043</v>
      </c>
      <c r="Q488" s="114" t="s">
        <v>2701</v>
      </c>
      <c r="R488" s="114" t="s">
        <v>118</v>
      </c>
      <c r="S488" s="114" t="s">
        <v>2701</v>
      </c>
      <c r="T488" s="114" t="s">
        <v>118</v>
      </c>
      <c r="U488" s="114" t="s">
        <v>8896</v>
      </c>
      <c r="V488" s="114" t="s">
        <v>3386</v>
      </c>
      <c r="W488" s="114" t="s">
        <v>8906</v>
      </c>
      <c r="X488" s="114" t="s">
        <v>2701</v>
      </c>
      <c r="Y488" s="114" t="s">
        <v>8851</v>
      </c>
      <c r="Z488" s="114" t="s">
        <v>2701</v>
      </c>
      <c r="AA488" s="114" t="s">
        <v>9476</v>
      </c>
      <c r="AB488" s="114" t="s">
        <v>8853</v>
      </c>
    </row>
    <row r="489" spans="1:28" ht="60" x14ac:dyDescent="0.2">
      <c r="A489" s="133" t="s">
        <v>2379</v>
      </c>
      <c r="B489" s="130">
        <v>48</v>
      </c>
      <c r="C489" s="130" t="s">
        <v>1456</v>
      </c>
      <c r="D489" s="130" t="s">
        <v>2380</v>
      </c>
      <c r="E489" s="131">
        <v>42682</v>
      </c>
      <c r="F489" s="131">
        <v>42752</v>
      </c>
      <c r="G489" s="132" t="s">
        <v>2381</v>
      </c>
      <c r="H489" s="132" t="s">
        <v>2382</v>
      </c>
      <c r="I489" s="132" t="s">
        <v>2383</v>
      </c>
      <c r="J489" s="132" t="s">
        <v>63</v>
      </c>
      <c r="K489" s="440" t="str">
        <f>HYPERLINK("https://okcountyrecords.com/detail/roger+mills/2017-000083","OKCountyRecords: 2017-000083")</f>
        <v>OKCountyRecords: 2017-000083</v>
      </c>
      <c r="L489" s="133" t="s">
        <v>1490</v>
      </c>
      <c r="M489" s="133" t="s">
        <v>1491</v>
      </c>
      <c r="N489" s="133"/>
      <c r="O489" s="133" t="s">
        <v>422</v>
      </c>
      <c r="P489" s="114" t="s">
        <v>9043</v>
      </c>
      <c r="Q489" s="114" t="s">
        <v>2701</v>
      </c>
      <c r="R489" s="114" t="s">
        <v>118</v>
      </c>
      <c r="S489" s="114" t="s">
        <v>2701</v>
      </c>
      <c r="T489" s="114" t="s">
        <v>118</v>
      </c>
      <c r="U489" s="114" t="s">
        <v>8896</v>
      </c>
      <c r="V489" s="114" t="s">
        <v>3386</v>
      </c>
      <c r="W489" s="114" t="s">
        <v>8864</v>
      </c>
      <c r="X489" s="114" t="s">
        <v>2701</v>
      </c>
      <c r="Y489" s="114" t="s">
        <v>8851</v>
      </c>
      <c r="Z489" s="114" t="s">
        <v>2701</v>
      </c>
      <c r="AA489" s="114" t="s">
        <v>9477</v>
      </c>
      <c r="AB489" s="114" t="s">
        <v>8888</v>
      </c>
    </row>
    <row r="490" spans="1:28" ht="132" x14ac:dyDescent="0.2">
      <c r="A490" s="133" t="s">
        <v>2384</v>
      </c>
      <c r="B490" s="130"/>
      <c r="C490" s="130" t="s">
        <v>619</v>
      </c>
      <c r="D490" s="130" t="s">
        <v>2385</v>
      </c>
      <c r="E490" s="131">
        <v>42855</v>
      </c>
      <c r="F490" s="131">
        <v>42858</v>
      </c>
      <c r="G490" s="132" t="s">
        <v>374</v>
      </c>
      <c r="H490" s="132" t="s">
        <v>175</v>
      </c>
      <c r="I490" s="132" t="s">
        <v>2386</v>
      </c>
      <c r="J490" s="132" t="s">
        <v>2387</v>
      </c>
      <c r="K490" s="440" t="str">
        <f>HYPERLINK("https://okcountyrecords.com/detail/roger+mills/2017-000951/19673811","OKCountyRecords: 2017-000951")</f>
        <v>OKCountyRecords: 2017-000951</v>
      </c>
      <c r="L490" s="133" t="s">
        <v>2389</v>
      </c>
      <c r="M490" s="133" t="s">
        <v>467</v>
      </c>
      <c r="N490" s="133" t="s">
        <v>8728</v>
      </c>
      <c r="O490" s="133" t="s">
        <v>428</v>
      </c>
      <c r="P490" s="114" t="s">
        <v>8934</v>
      </c>
      <c r="Q490" s="114" t="s">
        <v>118</v>
      </c>
      <c r="R490" s="114" t="s">
        <v>89</v>
      </c>
      <c r="S490" s="114" t="s">
        <v>118</v>
      </c>
      <c r="T490" s="114" t="s">
        <v>89</v>
      </c>
      <c r="U490" s="114" t="s">
        <v>9478</v>
      </c>
      <c r="V490" s="114" t="s">
        <v>3386</v>
      </c>
      <c r="W490" s="114" t="s">
        <v>8864</v>
      </c>
      <c r="X490" s="114" t="s">
        <v>2701</v>
      </c>
      <c r="Y490" s="114" t="s">
        <v>9479</v>
      </c>
      <c r="Z490" s="114" t="s">
        <v>8858</v>
      </c>
      <c r="AA490" s="114" t="s">
        <v>9480</v>
      </c>
      <c r="AB490" s="114" t="s">
        <v>8867</v>
      </c>
    </row>
    <row r="491" spans="1:28" ht="60" x14ac:dyDescent="0.2">
      <c r="A491" s="133" t="s">
        <v>2391</v>
      </c>
      <c r="B491" s="130"/>
      <c r="C491" s="130" t="s">
        <v>1062</v>
      </c>
      <c r="D491" s="130" t="s">
        <v>2392</v>
      </c>
      <c r="E491" s="131">
        <v>42924</v>
      </c>
      <c r="F491" s="131">
        <v>42930</v>
      </c>
      <c r="G491" s="132" t="s">
        <v>2393</v>
      </c>
      <c r="H491" s="132" t="s">
        <v>102</v>
      </c>
      <c r="I491" s="132" t="s">
        <v>569</v>
      </c>
      <c r="J491" s="132" t="s">
        <v>2394</v>
      </c>
      <c r="K491" s="440" t="str">
        <f>HYPERLINK("https://okcountyrecords.com/detail/roger+mills/2017-001403","63e8b9a8d056433a9994fe46ca85076b.pdf | OKCountyRecords: 2017-001403")</f>
        <v>63e8b9a8d056433a9994fe46ca85076b.pdf | OKCountyRecords: 2017-001403</v>
      </c>
      <c r="L491" s="133" t="s">
        <v>503</v>
      </c>
      <c r="M491" s="133" t="s">
        <v>467</v>
      </c>
      <c r="N491" s="133" t="s">
        <v>504</v>
      </c>
      <c r="O491" s="133" t="s">
        <v>422</v>
      </c>
      <c r="P491" s="114" t="s">
        <v>9082</v>
      </c>
      <c r="Q491" s="114" t="s">
        <v>89</v>
      </c>
      <c r="R491" s="114" t="s">
        <v>89</v>
      </c>
      <c r="S491" s="114" t="s">
        <v>89</v>
      </c>
      <c r="T491" s="114" t="s">
        <v>89</v>
      </c>
      <c r="U491" s="114" t="s">
        <v>8896</v>
      </c>
      <c r="V491" s="114" t="s">
        <v>3386</v>
      </c>
      <c r="W491" s="114" t="s">
        <v>8864</v>
      </c>
      <c r="X491" s="114" t="s">
        <v>2701</v>
      </c>
      <c r="Y491" s="114" t="s">
        <v>8851</v>
      </c>
      <c r="Z491" s="114" t="s">
        <v>2701</v>
      </c>
      <c r="AA491" s="114" t="s">
        <v>9481</v>
      </c>
      <c r="AB491" s="114" t="s">
        <v>8867</v>
      </c>
    </row>
    <row r="492" spans="1:28" ht="48" x14ac:dyDescent="0.2">
      <c r="A492" s="133" t="s">
        <v>2395</v>
      </c>
      <c r="B492" s="130"/>
      <c r="C492" s="130" t="s">
        <v>619</v>
      </c>
      <c r="D492" s="130" t="s">
        <v>2396</v>
      </c>
      <c r="E492" s="131">
        <v>42985</v>
      </c>
      <c r="F492" s="131">
        <v>42996</v>
      </c>
      <c r="G492" s="132" t="s">
        <v>2397</v>
      </c>
      <c r="H492" s="132" t="s">
        <v>2398</v>
      </c>
      <c r="I492" s="132" t="s">
        <v>569</v>
      </c>
      <c r="J492" s="132" t="s">
        <v>63</v>
      </c>
      <c r="K492" s="440" t="str">
        <f>HYPERLINK("https://okcountyrecords.com/detail/roger+mills/2017-001880","OKCountyRecords: 2017-001880")</f>
        <v>OKCountyRecords: 2017-001880</v>
      </c>
      <c r="L492" s="133" t="s">
        <v>653</v>
      </c>
      <c r="M492" s="133" t="s">
        <v>405</v>
      </c>
      <c r="N492" s="133"/>
      <c r="O492" s="133" t="s">
        <v>422</v>
      </c>
      <c r="P492" s="114" t="s">
        <v>8934</v>
      </c>
      <c r="Q492" s="114" t="s">
        <v>118</v>
      </c>
      <c r="R492" s="114" t="s">
        <v>89</v>
      </c>
      <c r="S492" s="114" t="s">
        <v>118</v>
      </c>
      <c r="T492" s="114" t="s">
        <v>89</v>
      </c>
      <c r="U492" s="114" t="s">
        <v>8896</v>
      </c>
      <c r="V492" s="114" t="s">
        <v>3386</v>
      </c>
      <c r="W492" s="114" t="s">
        <v>8864</v>
      </c>
      <c r="X492" s="114" t="s">
        <v>2701</v>
      </c>
      <c r="Y492" s="114" t="s">
        <v>8857</v>
      </c>
      <c r="Z492" s="114" t="s">
        <v>8858</v>
      </c>
      <c r="AA492" s="114" t="s">
        <v>9482</v>
      </c>
      <c r="AB492" s="114" t="s">
        <v>8867</v>
      </c>
    </row>
    <row r="493" spans="1:28" ht="60" x14ac:dyDescent="0.2">
      <c r="A493" s="133" t="s">
        <v>2399</v>
      </c>
      <c r="B493" s="130">
        <v>47</v>
      </c>
      <c r="C493" s="130" t="s">
        <v>1456</v>
      </c>
      <c r="D493" s="130" t="s">
        <v>2400</v>
      </c>
      <c r="E493" s="131">
        <v>43083</v>
      </c>
      <c r="F493" s="131">
        <v>43119</v>
      </c>
      <c r="G493" s="132" t="s">
        <v>2401</v>
      </c>
      <c r="H493" s="132" t="s">
        <v>2287</v>
      </c>
      <c r="I493" s="132" t="s">
        <v>2097</v>
      </c>
      <c r="J493" s="132" t="s">
        <v>9599</v>
      </c>
      <c r="K493" s="440" t="str">
        <f>HYPERLINK("https://okcountyrecords.com/detail/roger+mills/2018-000119/20639253","OKCountyRecords: 2018-000119")</f>
        <v>OKCountyRecords: 2018-000119</v>
      </c>
      <c r="L493" s="133" t="s">
        <v>1490</v>
      </c>
      <c r="M493" s="133" t="s">
        <v>1491</v>
      </c>
      <c r="N493" s="133"/>
      <c r="O493" s="133" t="s">
        <v>1532</v>
      </c>
      <c r="P493" s="114" t="s">
        <v>9043</v>
      </c>
      <c r="Q493" s="114" t="s">
        <v>2701</v>
      </c>
      <c r="R493" s="114" t="s">
        <v>118</v>
      </c>
      <c r="S493" s="114" t="s">
        <v>2701</v>
      </c>
      <c r="T493" s="114" t="s">
        <v>118</v>
      </c>
      <c r="U493" s="114" t="s">
        <v>8896</v>
      </c>
      <c r="V493" s="114" t="s">
        <v>3386</v>
      </c>
      <c r="W493" s="114" t="s">
        <v>8864</v>
      </c>
      <c r="X493" s="114" t="s">
        <v>2701</v>
      </c>
      <c r="Y493" s="114" t="s">
        <v>8851</v>
      </c>
      <c r="Z493" s="114" t="s">
        <v>2701</v>
      </c>
      <c r="AA493" s="114" t="s">
        <v>9483</v>
      </c>
      <c r="AB493" s="114" t="s">
        <v>8888</v>
      </c>
    </row>
    <row r="494" spans="1:28" ht="108" x14ac:dyDescent="0.2">
      <c r="A494" s="133" t="s">
        <v>2403</v>
      </c>
      <c r="B494" s="130"/>
      <c r="C494" s="130" t="s">
        <v>2404</v>
      </c>
      <c r="D494" s="130" t="s">
        <v>2405</v>
      </c>
      <c r="E494" s="131">
        <v>43249</v>
      </c>
      <c r="F494" s="131">
        <v>43272</v>
      </c>
      <c r="G494" s="132" t="s">
        <v>2406</v>
      </c>
      <c r="H494" s="132" t="s">
        <v>102</v>
      </c>
      <c r="I494" s="132" t="s">
        <v>569</v>
      </c>
      <c r="J494" s="132" t="s">
        <v>9600</v>
      </c>
      <c r="K494" s="440" t="str">
        <f>HYPERLINK("https://okcountyrecords.com/detail/roger+mills/2018-001569","OKCountyRecords: 2018-001569")</f>
        <v>OKCountyRecords: 2018-001569</v>
      </c>
      <c r="L494" s="133" t="s">
        <v>503</v>
      </c>
      <c r="M494" s="133" t="s">
        <v>467</v>
      </c>
      <c r="N494" s="133" t="s">
        <v>504</v>
      </c>
      <c r="O494" s="133" t="s">
        <v>422</v>
      </c>
      <c r="P494" s="114" t="s">
        <v>8886</v>
      </c>
      <c r="Q494" s="114" t="s">
        <v>118</v>
      </c>
      <c r="R494" s="114" t="s">
        <v>89</v>
      </c>
      <c r="S494" s="114" t="s">
        <v>118</v>
      </c>
      <c r="T494" s="114" t="s">
        <v>89</v>
      </c>
      <c r="U494" s="114" t="s">
        <v>8896</v>
      </c>
      <c r="V494" s="114" t="s">
        <v>3386</v>
      </c>
      <c r="W494" s="114" t="s">
        <v>8864</v>
      </c>
      <c r="X494" s="114" t="s">
        <v>2701</v>
      </c>
      <c r="Y494" s="114" t="s">
        <v>8851</v>
      </c>
      <c r="Z494" s="114" t="s">
        <v>2701</v>
      </c>
      <c r="AA494" s="114" t="s">
        <v>9484</v>
      </c>
      <c r="AB494" s="114" t="s">
        <v>8888</v>
      </c>
    </row>
    <row r="495" spans="1:28" ht="60" x14ac:dyDescent="0.2">
      <c r="A495" s="133" t="s">
        <v>2408</v>
      </c>
      <c r="B495" s="130"/>
      <c r="C495" s="130" t="s">
        <v>2409</v>
      </c>
      <c r="D495" s="130" t="s">
        <v>2410</v>
      </c>
      <c r="E495" s="131">
        <v>43281</v>
      </c>
      <c r="F495" s="131">
        <v>43392</v>
      </c>
      <c r="G495" s="132" t="s">
        <v>8647</v>
      </c>
      <c r="H495" s="132" t="s">
        <v>2411</v>
      </c>
      <c r="I495" s="132" t="s">
        <v>569</v>
      </c>
      <c r="J495" s="132" t="s">
        <v>2412</v>
      </c>
      <c r="K495" s="440" t="str">
        <f>HYPERLINK("https://okcountyrecords.com/detail/roger+mills/2018-002786","OKCountyRecords: 2018-002786")</f>
        <v>OKCountyRecords: 2018-002786</v>
      </c>
      <c r="L495" s="133" t="s">
        <v>653</v>
      </c>
      <c r="M495" s="133" t="s">
        <v>405</v>
      </c>
      <c r="N495" s="133"/>
      <c r="O495" s="133" t="s">
        <v>422</v>
      </c>
      <c r="P495" s="114" t="s">
        <v>8934</v>
      </c>
      <c r="Q495" s="114" t="s">
        <v>118</v>
      </c>
      <c r="R495" s="114" t="s">
        <v>89</v>
      </c>
      <c r="S495" s="114" t="s">
        <v>118</v>
      </c>
      <c r="T495" s="114" t="s">
        <v>89</v>
      </c>
      <c r="U495" s="114" t="s">
        <v>8896</v>
      </c>
      <c r="V495" s="114" t="s">
        <v>3386</v>
      </c>
      <c r="W495" s="114" t="s">
        <v>8864</v>
      </c>
      <c r="X495" s="114" t="s">
        <v>2701</v>
      </c>
      <c r="Y495" s="114" t="s">
        <v>8857</v>
      </c>
      <c r="Z495" s="114" t="s">
        <v>8858</v>
      </c>
      <c r="AA495" s="114" t="s">
        <v>9485</v>
      </c>
      <c r="AB495" s="114" t="s">
        <v>8867</v>
      </c>
    </row>
    <row r="496" spans="1:28" ht="180" x14ac:dyDescent="0.2">
      <c r="A496" s="133" t="s">
        <v>2413</v>
      </c>
      <c r="B496" s="130">
        <v>52</v>
      </c>
      <c r="C496" s="130" t="s">
        <v>2414</v>
      </c>
      <c r="D496" s="130" t="s">
        <v>2415</v>
      </c>
      <c r="E496" s="131">
        <v>43314</v>
      </c>
      <c r="F496" s="131">
        <v>43327</v>
      </c>
      <c r="G496" s="132" t="s">
        <v>2416</v>
      </c>
      <c r="H496" s="132" t="s">
        <v>102</v>
      </c>
      <c r="I496" s="132" t="s">
        <v>569</v>
      </c>
      <c r="J496" s="132" t="s">
        <v>2194</v>
      </c>
      <c r="K496" s="440" t="str">
        <f>HYPERLINK("https://okcountyrecords.com/detail/roger+mills/2018-002049","63e8b9a8d056433a9994fe46ca85076b.pdf | OKCountyRecords: 2018-002049")</f>
        <v>63e8b9a8d056433a9994fe46ca85076b.pdf | OKCountyRecords: 2018-002049</v>
      </c>
      <c r="L496" s="133" t="s">
        <v>1490</v>
      </c>
      <c r="M496" s="133" t="s">
        <v>467</v>
      </c>
      <c r="N496" s="133" t="s">
        <v>504</v>
      </c>
      <c r="O496" s="133" t="s">
        <v>422</v>
      </c>
      <c r="P496" s="114" t="s">
        <v>9486</v>
      </c>
      <c r="Q496" s="114" t="s">
        <v>89</v>
      </c>
      <c r="R496" s="114" t="s">
        <v>2701</v>
      </c>
      <c r="S496" s="114" t="s">
        <v>89</v>
      </c>
      <c r="T496" s="114" t="s">
        <v>89</v>
      </c>
      <c r="U496" s="114" t="s">
        <v>8896</v>
      </c>
      <c r="V496" s="114" t="s">
        <v>3386</v>
      </c>
      <c r="W496" s="114" t="s">
        <v>8864</v>
      </c>
      <c r="X496" s="114" t="s">
        <v>2701</v>
      </c>
      <c r="Y496" s="114" t="s">
        <v>8851</v>
      </c>
      <c r="Z496" s="114" t="s">
        <v>2701</v>
      </c>
      <c r="AA496" s="114" t="s">
        <v>9487</v>
      </c>
      <c r="AB496" s="114" t="s">
        <v>8867</v>
      </c>
    </row>
    <row r="497" spans="1:28" ht="120" x14ac:dyDescent="0.2">
      <c r="A497" s="133" t="s">
        <v>2417</v>
      </c>
      <c r="B497" s="130"/>
      <c r="C497" s="130" t="s">
        <v>1160</v>
      </c>
      <c r="D497" s="130" t="s">
        <v>2418</v>
      </c>
      <c r="E497" s="131">
        <v>43363</v>
      </c>
      <c r="F497" s="131">
        <v>43382</v>
      </c>
      <c r="G497" s="132" t="s">
        <v>2419</v>
      </c>
      <c r="H497" s="132" t="s">
        <v>2420</v>
      </c>
      <c r="I497" s="132" t="s">
        <v>1256</v>
      </c>
      <c r="J497" s="132" t="s">
        <v>2421</v>
      </c>
      <c r="K497" s="440" t="str">
        <f>HYPERLINK("https://okcountyrecords.com/detail/roger+mills/2018-002650/21458328","OKCountyRecords: 2018-002650")</f>
        <v>OKCountyRecords: 2018-002650</v>
      </c>
      <c r="L497" s="133" t="s">
        <v>412</v>
      </c>
      <c r="M497" s="133" t="s">
        <v>8832</v>
      </c>
      <c r="N497" s="133" t="s">
        <v>2423</v>
      </c>
      <c r="O497" s="133" t="s">
        <v>422</v>
      </c>
      <c r="P497" s="114" t="s">
        <v>8934</v>
      </c>
      <c r="Q497" s="114" t="s">
        <v>118</v>
      </c>
      <c r="R497" s="114" t="s">
        <v>89</v>
      </c>
      <c r="S497" s="114" t="s">
        <v>118</v>
      </c>
      <c r="T497" s="114" t="s">
        <v>89</v>
      </c>
      <c r="U497" s="114" t="s">
        <v>8935</v>
      </c>
      <c r="V497" s="114" t="s">
        <v>2701</v>
      </c>
      <c r="W497" s="114" t="s">
        <v>8864</v>
      </c>
      <c r="X497" s="114" t="s">
        <v>2701</v>
      </c>
      <c r="Y497" s="114" t="s">
        <v>8857</v>
      </c>
      <c r="Z497" s="114" t="s">
        <v>8858</v>
      </c>
      <c r="AA497" s="114" t="s">
        <v>9488</v>
      </c>
      <c r="AB497" s="114" t="s">
        <v>8877</v>
      </c>
    </row>
    <row r="498" spans="1:28" ht="48" x14ac:dyDescent="0.2">
      <c r="A498" s="133" t="s">
        <v>2424</v>
      </c>
      <c r="B498" s="130"/>
      <c r="C498" s="130" t="s">
        <v>619</v>
      </c>
      <c r="D498" s="130" t="s">
        <v>2425</v>
      </c>
      <c r="E498" s="131">
        <v>43423</v>
      </c>
      <c r="F498" s="131">
        <v>43693</v>
      </c>
      <c r="G498" s="132" t="s">
        <v>863</v>
      </c>
      <c r="H498" s="132" t="s">
        <v>838</v>
      </c>
      <c r="I498" s="132" t="s">
        <v>1280</v>
      </c>
      <c r="J498" s="132" t="s">
        <v>63</v>
      </c>
      <c r="K498" s="440" t="str">
        <f>HYPERLINK("https://okcountyrecords.com/detail/roger+mills/2019-001747","OKCountyRecords: 2019-001747")</f>
        <v>OKCountyRecords: 2019-001747</v>
      </c>
      <c r="L498" s="133" t="s">
        <v>412</v>
      </c>
      <c r="M498" s="133" t="s">
        <v>405</v>
      </c>
      <c r="N498" s="133"/>
      <c r="O498" s="133" t="s">
        <v>422</v>
      </c>
      <c r="P498" s="114" t="s">
        <v>8934</v>
      </c>
      <c r="Q498" s="114" t="s">
        <v>118</v>
      </c>
      <c r="R498" s="114" t="s">
        <v>89</v>
      </c>
      <c r="S498" s="114" t="s">
        <v>118</v>
      </c>
      <c r="T498" s="114" t="s">
        <v>89</v>
      </c>
      <c r="U498" s="114" t="s">
        <v>8862</v>
      </c>
      <c r="V498" s="114" t="s">
        <v>3072</v>
      </c>
      <c r="W498" s="114" t="s">
        <v>8906</v>
      </c>
      <c r="X498" s="114" t="s">
        <v>8865</v>
      </c>
      <c r="Y498" s="114" t="s">
        <v>8857</v>
      </c>
      <c r="Z498" s="114" t="s">
        <v>8858</v>
      </c>
      <c r="AA498" s="114" t="s">
        <v>9489</v>
      </c>
    </row>
    <row r="499" spans="1:28" ht="60" x14ac:dyDescent="0.2">
      <c r="A499" s="133" t="s">
        <v>2426</v>
      </c>
      <c r="B499" s="130"/>
      <c r="C499" s="130" t="s">
        <v>2427</v>
      </c>
      <c r="D499" s="130" t="s">
        <v>2428</v>
      </c>
      <c r="E499" s="131">
        <v>43500</v>
      </c>
      <c r="F499" s="131">
        <v>46160</v>
      </c>
      <c r="G499" s="132" t="s">
        <v>2429</v>
      </c>
      <c r="H499" s="132" t="s">
        <v>2430</v>
      </c>
      <c r="I499" s="132" t="s">
        <v>2431</v>
      </c>
      <c r="J499" s="132" t="s">
        <v>8648</v>
      </c>
      <c r="K499" s="440" t="str">
        <f>HYPERLINK("https://okcountyrecords.com/detail/roger+mills/2026-002877/35377759","OKCountyRecords: 2026-002877")</f>
        <v>OKCountyRecords: 2026-002877</v>
      </c>
      <c r="L499" s="133" t="s">
        <v>412</v>
      </c>
      <c r="M499" s="133" t="s">
        <v>405</v>
      </c>
      <c r="N499" s="133"/>
      <c r="O499" s="133" t="s">
        <v>422</v>
      </c>
      <c r="P499" s="114" t="s">
        <v>8886</v>
      </c>
      <c r="Q499" s="114" t="s">
        <v>118</v>
      </c>
      <c r="R499" s="114" t="s">
        <v>89</v>
      </c>
      <c r="S499" s="114" t="s">
        <v>118</v>
      </c>
      <c r="T499" s="114" t="s">
        <v>89</v>
      </c>
      <c r="U499" s="114" t="s">
        <v>8930</v>
      </c>
      <c r="V499" s="114" t="s">
        <v>2701</v>
      </c>
      <c r="W499" s="114" t="s">
        <v>8864</v>
      </c>
      <c r="X499" s="114" t="s">
        <v>8869</v>
      </c>
      <c r="Y499" s="114" t="s">
        <v>8857</v>
      </c>
      <c r="Z499" s="114" t="s">
        <v>8858</v>
      </c>
      <c r="AA499" s="114" t="s">
        <v>9490</v>
      </c>
      <c r="AB499" s="114" t="s">
        <v>8877</v>
      </c>
    </row>
    <row r="500" spans="1:28" ht="48" x14ac:dyDescent="0.2">
      <c r="A500" s="133" t="s">
        <v>2432</v>
      </c>
      <c r="B500" s="130">
        <v>54</v>
      </c>
      <c r="C500" s="130" t="s">
        <v>1456</v>
      </c>
      <c r="D500" s="130" t="s">
        <v>2433</v>
      </c>
      <c r="E500" s="131">
        <v>43564</v>
      </c>
      <c r="F500" s="131">
        <v>43698</v>
      </c>
      <c r="G500" s="132" t="s">
        <v>2434</v>
      </c>
      <c r="H500" s="132" t="s">
        <v>2435</v>
      </c>
      <c r="I500" s="132" t="s">
        <v>332</v>
      </c>
      <c r="J500" s="132" t="s">
        <v>2436</v>
      </c>
      <c r="K500" s="440" t="str">
        <f>HYPERLINK("https://okcountyrecords.com/detail/roger+mills/2019-001779","63e8b9a8d056433a9994fe46ca85076b.pdf | OKCountyRecords: 2019-001779")</f>
        <v>63e8b9a8d056433a9994fe46ca85076b.pdf | OKCountyRecords: 2019-001779</v>
      </c>
      <c r="L500" s="133" t="s">
        <v>8708</v>
      </c>
      <c r="M500" s="133" t="s">
        <v>405</v>
      </c>
      <c r="N500" s="133"/>
      <c r="O500" s="133" t="s">
        <v>428</v>
      </c>
      <c r="P500" s="114" t="s">
        <v>9043</v>
      </c>
      <c r="Q500" s="114" t="s">
        <v>2701</v>
      </c>
      <c r="R500" s="114" t="s">
        <v>118</v>
      </c>
      <c r="S500" s="114" t="s">
        <v>2701</v>
      </c>
      <c r="T500" s="114" t="s">
        <v>118</v>
      </c>
      <c r="U500" s="114" t="s">
        <v>8986</v>
      </c>
      <c r="V500" s="114" t="s">
        <v>3072</v>
      </c>
      <c r="W500" s="114" t="s">
        <v>8864</v>
      </c>
      <c r="X500" s="114" t="s">
        <v>2701</v>
      </c>
      <c r="Y500" s="114" t="s">
        <v>8851</v>
      </c>
      <c r="Z500" s="114" t="s">
        <v>2701</v>
      </c>
      <c r="AA500" s="114" t="s">
        <v>9491</v>
      </c>
      <c r="AB500" s="114" t="s">
        <v>8888</v>
      </c>
    </row>
    <row r="501" spans="1:28" ht="60" x14ac:dyDescent="0.2">
      <c r="A501" s="133" t="s">
        <v>2437</v>
      </c>
      <c r="B501" s="130"/>
      <c r="C501" s="130" t="s">
        <v>2438</v>
      </c>
      <c r="D501" s="130" t="s">
        <v>2439</v>
      </c>
      <c r="E501" s="131">
        <v>43739</v>
      </c>
      <c r="F501" s="131">
        <v>43711</v>
      </c>
      <c r="G501" s="132" t="s">
        <v>2440</v>
      </c>
      <c r="H501" s="132" t="s">
        <v>174</v>
      </c>
      <c r="I501" s="132" t="s">
        <v>332</v>
      </c>
      <c r="J501" s="132" t="s">
        <v>63</v>
      </c>
      <c r="K501" s="440" t="str">
        <f>HYPERLINK("https://okcountyrecords.com/detail/roger+mills/2019-001855/22296278","OKCountyRecords: 2019-001855")</f>
        <v>OKCountyRecords: 2019-001855</v>
      </c>
      <c r="L501" s="133" t="s">
        <v>412</v>
      </c>
      <c r="M501" s="133" t="s">
        <v>405</v>
      </c>
      <c r="N501" s="133"/>
      <c r="O501" s="133" t="s">
        <v>428</v>
      </c>
      <c r="P501" s="114" t="s">
        <v>9195</v>
      </c>
      <c r="Q501" s="114" t="s">
        <v>89</v>
      </c>
      <c r="R501" s="114" t="s">
        <v>118</v>
      </c>
      <c r="S501" s="114" t="s">
        <v>2701</v>
      </c>
      <c r="T501" s="114" t="s">
        <v>118</v>
      </c>
      <c r="U501" s="114" t="s">
        <v>8986</v>
      </c>
      <c r="V501" s="114" t="s">
        <v>3072</v>
      </c>
      <c r="W501" s="114" t="s">
        <v>8864</v>
      </c>
      <c r="X501" s="114" t="s">
        <v>8856</v>
      </c>
      <c r="Y501" s="114" t="s">
        <v>8857</v>
      </c>
      <c r="Z501" s="114" t="s">
        <v>8858</v>
      </c>
      <c r="AA501" s="114" t="s">
        <v>9492</v>
      </c>
      <c r="AB501" s="114" t="s">
        <v>8867</v>
      </c>
    </row>
    <row r="502" spans="1:28" ht="144" x14ac:dyDescent="0.2">
      <c r="A502" s="133" t="s">
        <v>2441</v>
      </c>
      <c r="B502" s="130">
        <v>56</v>
      </c>
      <c r="C502" s="130" t="s">
        <v>1456</v>
      </c>
      <c r="D502" s="130" t="s">
        <v>2442</v>
      </c>
      <c r="E502" s="131">
        <v>43831</v>
      </c>
      <c r="F502" s="131">
        <v>44060</v>
      </c>
      <c r="G502" s="132" t="s">
        <v>8813</v>
      </c>
      <c r="H502" s="132" t="s">
        <v>2443</v>
      </c>
      <c r="I502" s="132" t="s">
        <v>569</v>
      </c>
      <c r="J502" s="132" t="s">
        <v>63</v>
      </c>
      <c r="K502" s="440" t="str">
        <f>HYPERLINK("https://okcountyrecords.com/detail/roger+mills/2020-001283","63e8b9a8d056433a9994fe46ca85076b.pdf | OKCountyRecords: 2020-001283")</f>
        <v>63e8b9a8d056433a9994fe46ca85076b.pdf | OKCountyRecords: 2020-001283</v>
      </c>
      <c r="L502" s="133" t="s">
        <v>1490</v>
      </c>
      <c r="M502" s="133" t="s">
        <v>1491</v>
      </c>
      <c r="N502" s="133"/>
      <c r="O502" s="133" t="s">
        <v>422</v>
      </c>
      <c r="P502" s="114" t="s">
        <v>9043</v>
      </c>
      <c r="Q502" s="114" t="s">
        <v>2701</v>
      </c>
      <c r="R502" s="114" t="s">
        <v>118</v>
      </c>
      <c r="S502" s="114" t="s">
        <v>2701</v>
      </c>
      <c r="T502" s="114" t="s">
        <v>118</v>
      </c>
      <c r="U502" s="114" t="s">
        <v>8896</v>
      </c>
      <c r="V502" s="114" t="s">
        <v>3386</v>
      </c>
      <c r="W502" s="114" t="s">
        <v>8864</v>
      </c>
      <c r="X502" s="114" t="s">
        <v>2701</v>
      </c>
      <c r="Y502" s="114" t="s">
        <v>8851</v>
      </c>
      <c r="Z502" s="114" t="s">
        <v>2701</v>
      </c>
      <c r="AA502" s="114" t="s">
        <v>9493</v>
      </c>
      <c r="AB502" s="114" t="s">
        <v>8888</v>
      </c>
    </row>
    <row r="503" spans="1:28" ht="60" x14ac:dyDescent="0.2">
      <c r="A503" s="133" t="s">
        <v>2444</v>
      </c>
      <c r="B503" s="130"/>
      <c r="C503" s="130" t="s">
        <v>2445</v>
      </c>
      <c r="D503" s="130" t="s">
        <v>2446</v>
      </c>
      <c r="E503" s="131">
        <v>44044</v>
      </c>
      <c r="F503" s="131">
        <v>44449</v>
      </c>
      <c r="G503" s="132" t="s">
        <v>2447</v>
      </c>
      <c r="H503" s="132" t="s">
        <v>2448</v>
      </c>
      <c r="I503" s="132" t="s">
        <v>569</v>
      </c>
      <c r="J503" s="132" t="s">
        <v>2449</v>
      </c>
      <c r="K503" s="440" t="str">
        <f>HYPERLINK("https://okcountyrecords.com/detail/roger+mills/2021-001486","OKCountyRecords: 2021-001486")</f>
        <v>OKCountyRecords: 2021-001486</v>
      </c>
      <c r="L503" s="133" t="s">
        <v>8727</v>
      </c>
      <c r="M503" s="133" t="s">
        <v>641</v>
      </c>
      <c r="N503" s="133" t="s">
        <v>8723</v>
      </c>
      <c r="O503" s="133" t="s">
        <v>422</v>
      </c>
      <c r="P503" s="114" t="s">
        <v>9195</v>
      </c>
      <c r="Q503" s="114" t="s">
        <v>89</v>
      </c>
      <c r="R503" s="114" t="s">
        <v>118</v>
      </c>
      <c r="S503" s="114" t="s">
        <v>2701</v>
      </c>
      <c r="T503" s="114" t="s">
        <v>118</v>
      </c>
      <c r="U503" s="114" t="s">
        <v>8896</v>
      </c>
      <c r="V503" s="114" t="s">
        <v>3386</v>
      </c>
      <c r="W503" s="114" t="s">
        <v>8864</v>
      </c>
      <c r="X503" s="114" t="s">
        <v>2701</v>
      </c>
      <c r="Y503" s="114" t="s">
        <v>8851</v>
      </c>
      <c r="Z503" s="114" t="s">
        <v>2701</v>
      </c>
      <c r="AA503" s="114" t="s">
        <v>9494</v>
      </c>
      <c r="AB503" s="114" t="s">
        <v>8888</v>
      </c>
    </row>
    <row r="504" spans="1:28" ht="60" x14ac:dyDescent="0.2">
      <c r="A504" s="133" t="s">
        <v>2450</v>
      </c>
      <c r="B504" s="130"/>
      <c r="C504" s="130" t="s">
        <v>461</v>
      </c>
      <c r="D504" s="130" t="s">
        <v>2451</v>
      </c>
      <c r="E504" s="131">
        <v>44050</v>
      </c>
      <c r="F504" s="131">
        <v>44060</v>
      </c>
      <c r="G504" s="132" t="s">
        <v>2452</v>
      </c>
      <c r="H504" s="132" t="s">
        <v>102</v>
      </c>
      <c r="I504" s="132" t="s">
        <v>569</v>
      </c>
      <c r="J504" s="132" t="s">
        <v>9601</v>
      </c>
      <c r="K504" s="440" t="str">
        <f>HYPERLINK("https://okcountyrecords.com/detail/roger+mills/2020-001279","OKCountyRecords: 2020-001279")</f>
        <v>OKCountyRecords: 2020-001279</v>
      </c>
      <c r="L504" s="133" t="s">
        <v>503</v>
      </c>
      <c r="M504" s="133" t="s">
        <v>467</v>
      </c>
      <c r="N504" s="133" t="s">
        <v>504</v>
      </c>
      <c r="O504" s="133" t="s">
        <v>422</v>
      </c>
      <c r="P504" s="114" t="s">
        <v>8886</v>
      </c>
      <c r="Q504" s="114" t="s">
        <v>118</v>
      </c>
      <c r="R504" s="114" t="s">
        <v>89</v>
      </c>
      <c r="S504" s="114" t="s">
        <v>118</v>
      </c>
      <c r="T504" s="114" t="s">
        <v>89</v>
      </c>
      <c r="U504" s="114" t="s">
        <v>8896</v>
      </c>
      <c r="V504" s="114" t="s">
        <v>3386</v>
      </c>
      <c r="W504" s="114" t="s">
        <v>9676</v>
      </c>
      <c r="X504" s="114" t="s">
        <v>2701</v>
      </c>
      <c r="Y504" s="114" t="s">
        <v>8928</v>
      </c>
      <c r="Z504" s="114" t="s">
        <v>8858</v>
      </c>
      <c r="AA504" s="114" t="s">
        <v>9495</v>
      </c>
      <c r="AB504" s="114" t="s">
        <v>8867</v>
      </c>
    </row>
    <row r="505" spans="1:28" ht="48" x14ac:dyDescent="0.2">
      <c r="A505" s="133" t="s">
        <v>2454</v>
      </c>
      <c r="B505" s="130"/>
      <c r="C505" s="130" t="s">
        <v>1160</v>
      </c>
      <c r="D505" s="130" t="s">
        <v>2455</v>
      </c>
      <c r="E505" s="131">
        <v>44071</v>
      </c>
      <c r="F505" s="131">
        <v>44076</v>
      </c>
      <c r="G505" s="132" t="s">
        <v>2456</v>
      </c>
      <c r="H505" s="132" t="s">
        <v>2457</v>
      </c>
      <c r="I505" s="132" t="s">
        <v>2458</v>
      </c>
      <c r="J505" s="132" t="s">
        <v>63</v>
      </c>
      <c r="K505" s="440" t="str">
        <f>HYPERLINK("https://okcountyrecords.com/detail/roger+mills/2020-001374","OKCountyRecords: 2020-001374")</f>
        <v>OKCountyRecords: 2020-001374</v>
      </c>
      <c r="L505" s="133" t="s">
        <v>412</v>
      </c>
      <c r="M505" s="133" t="s">
        <v>405</v>
      </c>
      <c r="N505" s="133"/>
      <c r="O505" s="133" t="s">
        <v>422</v>
      </c>
      <c r="P505" s="114" t="s">
        <v>8934</v>
      </c>
      <c r="Q505" s="114" t="s">
        <v>118</v>
      </c>
      <c r="R505" s="114" t="s">
        <v>89</v>
      </c>
      <c r="S505" s="114" t="s">
        <v>118</v>
      </c>
      <c r="T505" s="114" t="s">
        <v>89</v>
      </c>
      <c r="U505" s="114" t="s">
        <v>8930</v>
      </c>
      <c r="V505" s="114" t="s">
        <v>2701</v>
      </c>
      <c r="W505" s="114" t="s">
        <v>9677</v>
      </c>
      <c r="X505" s="114" t="s">
        <v>8869</v>
      </c>
      <c r="Y505" s="114" t="s">
        <v>8857</v>
      </c>
      <c r="Z505" s="114" t="s">
        <v>8858</v>
      </c>
      <c r="AA505" s="114" t="s">
        <v>9496</v>
      </c>
      <c r="AB505" s="114" t="s">
        <v>8877</v>
      </c>
    </row>
    <row r="506" spans="1:28" ht="48" x14ac:dyDescent="0.2">
      <c r="A506" s="133" t="s">
        <v>2459</v>
      </c>
      <c r="B506" s="130">
        <v>57</v>
      </c>
      <c r="C506" s="130" t="s">
        <v>1456</v>
      </c>
      <c r="D506" s="130" t="s">
        <v>2460</v>
      </c>
      <c r="E506" s="131">
        <v>44105</v>
      </c>
      <c r="F506" s="131">
        <v>44118</v>
      </c>
      <c r="G506" s="132" t="s">
        <v>8814</v>
      </c>
      <c r="H506" s="132" t="s">
        <v>2448</v>
      </c>
      <c r="I506" s="132" t="s">
        <v>2461</v>
      </c>
      <c r="J506" s="132" t="s">
        <v>63</v>
      </c>
      <c r="K506" s="440" t="str">
        <f>HYPERLINK("https://okcountyrecords.com/detail/roger+mills/2020-001577","63e8b9a8d056433a9994fe46ca85076b.pdf | OKCountyRecords: 2020-001577")</f>
        <v>63e8b9a8d056433a9994fe46ca85076b.pdf | OKCountyRecords: 2020-001577</v>
      </c>
      <c r="L506" s="133" t="s">
        <v>1501</v>
      </c>
      <c r="M506" s="133" t="s">
        <v>1491</v>
      </c>
      <c r="N506" s="133"/>
      <c r="O506" s="133" t="s">
        <v>422</v>
      </c>
      <c r="P506" s="114" t="s">
        <v>9043</v>
      </c>
      <c r="Q506" s="114" t="s">
        <v>2701</v>
      </c>
      <c r="R506" s="114" t="s">
        <v>118</v>
      </c>
      <c r="S506" s="114" t="s">
        <v>2701</v>
      </c>
      <c r="T506" s="114" t="s">
        <v>118</v>
      </c>
      <c r="U506" s="114" t="s">
        <v>9497</v>
      </c>
      <c r="V506" s="114" t="s">
        <v>3072</v>
      </c>
      <c r="W506" s="114" t="s">
        <v>8864</v>
      </c>
      <c r="X506" s="114" t="s">
        <v>2701</v>
      </c>
      <c r="Y506" s="114" t="s">
        <v>8851</v>
      </c>
      <c r="Z506" s="114" t="s">
        <v>2701</v>
      </c>
      <c r="AA506" s="114" t="s">
        <v>9498</v>
      </c>
      <c r="AB506" s="114" t="s">
        <v>8888</v>
      </c>
    </row>
    <row r="507" spans="1:28" ht="60" x14ac:dyDescent="0.2">
      <c r="A507" s="133" t="s">
        <v>2463</v>
      </c>
      <c r="B507" s="130"/>
      <c r="C507" s="130" t="s">
        <v>1160</v>
      </c>
      <c r="D507" s="130" t="s">
        <v>2464</v>
      </c>
      <c r="E507" s="131">
        <v>44126</v>
      </c>
      <c r="F507" s="131">
        <v>44133</v>
      </c>
      <c r="G507" s="132" t="s">
        <v>2465</v>
      </c>
      <c r="H507" s="132" t="s">
        <v>2466</v>
      </c>
      <c r="I507" s="132" t="s">
        <v>1280</v>
      </c>
      <c r="J507" s="132" t="s">
        <v>2467</v>
      </c>
      <c r="K507" s="440" t="str">
        <f>HYPERLINK("https://okcountyrecords.com/detail/roger+mills/2020-001650","OKCountyRecords: 2020-001650")</f>
        <v>OKCountyRecords: 2020-001650</v>
      </c>
      <c r="L507" s="133" t="s">
        <v>412</v>
      </c>
      <c r="M507" s="133"/>
      <c r="N507" s="133"/>
      <c r="O507" s="133" t="s">
        <v>422</v>
      </c>
      <c r="P507" s="114" t="s">
        <v>8934</v>
      </c>
      <c r="Q507" s="114" t="s">
        <v>118</v>
      </c>
      <c r="R507" s="114" t="s">
        <v>89</v>
      </c>
      <c r="S507" s="114" t="s">
        <v>118</v>
      </c>
      <c r="T507" s="114" t="s">
        <v>89</v>
      </c>
      <c r="U507" s="114" t="s">
        <v>8862</v>
      </c>
      <c r="V507" s="114" t="s">
        <v>3072</v>
      </c>
      <c r="W507" s="114" t="s">
        <v>8864</v>
      </c>
      <c r="X507" s="114" t="s">
        <v>8865</v>
      </c>
      <c r="Y507" s="114" t="s">
        <v>8857</v>
      </c>
      <c r="Z507" s="114" t="s">
        <v>8858</v>
      </c>
      <c r="AA507" s="114" t="s">
        <v>9499</v>
      </c>
      <c r="AB507" s="114" t="s">
        <v>8867</v>
      </c>
    </row>
    <row r="508" spans="1:28" ht="48" x14ac:dyDescent="0.2">
      <c r="A508" s="133" t="s">
        <v>2468</v>
      </c>
      <c r="B508" s="130">
        <v>58</v>
      </c>
      <c r="C508" s="130" t="s">
        <v>2469</v>
      </c>
      <c r="D508" s="130" t="s">
        <v>2470</v>
      </c>
      <c r="E508" s="131">
        <v>44136</v>
      </c>
      <c r="F508" s="131">
        <v>44144</v>
      </c>
      <c r="G508" s="132" t="s">
        <v>2471</v>
      </c>
      <c r="H508" s="132" t="s">
        <v>2472</v>
      </c>
      <c r="I508" s="132" t="s">
        <v>569</v>
      </c>
      <c r="J508" s="132" t="s">
        <v>2473</v>
      </c>
      <c r="K508" s="440" t="str">
        <f>HYPERLINK("https://okcountyrecords.com/detail/roger+mills/2020-001708","63e8b9a8d056433a9994fe46ca85076b.pdf | OKCountyRecords: 2020-001708")</f>
        <v>63e8b9a8d056433a9994fe46ca85076b.pdf | OKCountyRecords: 2020-001708</v>
      </c>
      <c r="L508" s="133" t="s">
        <v>653</v>
      </c>
      <c r="M508" s="133" t="s">
        <v>405</v>
      </c>
      <c r="N508" s="133"/>
      <c r="O508" s="133" t="s">
        <v>422</v>
      </c>
      <c r="P508" s="114" t="s">
        <v>8934</v>
      </c>
      <c r="Q508" s="114" t="s">
        <v>118</v>
      </c>
      <c r="R508" s="114" t="s">
        <v>89</v>
      </c>
      <c r="S508" s="114" t="s">
        <v>118</v>
      </c>
      <c r="T508" s="114" t="s">
        <v>89</v>
      </c>
      <c r="U508" s="114" t="s">
        <v>8896</v>
      </c>
      <c r="V508" s="114" t="s">
        <v>3386</v>
      </c>
      <c r="W508" s="114" t="s">
        <v>8864</v>
      </c>
      <c r="X508" s="114" t="s">
        <v>2701</v>
      </c>
      <c r="Y508" s="114" t="s">
        <v>8857</v>
      </c>
      <c r="Z508" s="114" t="s">
        <v>8858</v>
      </c>
      <c r="AA508" s="114" t="s">
        <v>9500</v>
      </c>
      <c r="AB508" s="114" t="s">
        <v>8867</v>
      </c>
    </row>
    <row r="509" spans="1:28" ht="60" x14ac:dyDescent="0.2">
      <c r="A509" s="133" t="s">
        <v>2474</v>
      </c>
      <c r="B509" s="130">
        <v>52</v>
      </c>
      <c r="C509" s="130" t="s">
        <v>1456</v>
      </c>
      <c r="D509" s="130" t="s">
        <v>2475</v>
      </c>
      <c r="E509" s="131">
        <v>44136</v>
      </c>
      <c r="F509" s="131">
        <v>44175</v>
      </c>
      <c r="G509" s="132" t="s">
        <v>2476</v>
      </c>
      <c r="H509" s="132" t="s">
        <v>2477</v>
      </c>
      <c r="I509" s="132" t="s">
        <v>2478</v>
      </c>
      <c r="J509" s="132" t="s">
        <v>2479</v>
      </c>
      <c r="K509" s="440" t="str">
        <f>HYPERLINK("https://okcountyrecords.com/detail/roger+mills/2020-001954/26392975","OKCountyRecords: 2020-001954")</f>
        <v>OKCountyRecords: 2020-001954</v>
      </c>
      <c r="L509" s="133" t="s">
        <v>1490</v>
      </c>
      <c r="M509" s="133" t="s">
        <v>1491</v>
      </c>
      <c r="N509" s="133"/>
      <c r="O509" s="133" t="s">
        <v>413</v>
      </c>
      <c r="P509" s="114" t="s">
        <v>9043</v>
      </c>
      <c r="Q509" s="114" t="s">
        <v>2701</v>
      </c>
      <c r="R509" s="114" t="s">
        <v>118</v>
      </c>
      <c r="S509" s="114" t="s">
        <v>2701</v>
      </c>
      <c r="T509" s="114" t="s">
        <v>118</v>
      </c>
      <c r="U509" s="114" t="s">
        <v>8896</v>
      </c>
      <c r="V509" s="114" t="s">
        <v>3386</v>
      </c>
      <c r="W509" s="114" t="s">
        <v>8864</v>
      </c>
      <c r="X509" s="114" t="s">
        <v>2701</v>
      </c>
      <c r="Y509" s="114" t="s">
        <v>8851</v>
      </c>
      <c r="Z509" s="114" t="s">
        <v>2701</v>
      </c>
      <c r="AA509" s="114" t="s">
        <v>9501</v>
      </c>
      <c r="AB509" s="114" t="s">
        <v>8888</v>
      </c>
    </row>
    <row r="510" spans="1:28" ht="60" x14ac:dyDescent="0.2">
      <c r="A510" s="133" t="s">
        <v>2480</v>
      </c>
      <c r="B510" s="130">
        <v>60</v>
      </c>
      <c r="C510" s="130" t="s">
        <v>2481</v>
      </c>
      <c r="D510" s="130" t="s">
        <v>2482</v>
      </c>
      <c r="E510" s="131">
        <v>44182</v>
      </c>
      <c r="F510" s="131">
        <v>44314</v>
      </c>
      <c r="G510" s="132" t="s">
        <v>2283</v>
      </c>
      <c r="H510" s="132" t="s">
        <v>2483</v>
      </c>
      <c r="I510" s="132" t="s">
        <v>569</v>
      </c>
      <c r="J510" s="132" t="s">
        <v>2484</v>
      </c>
      <c r="K510" s="440" t="str">
        <f>HYPERLINK("https://okcountyrecords.com/detail/roger+mills/2021-000697","63e8b9a8d056433a9994fe46ca85076b.pdf | OKCountyRecords: 2021-000697")</f>
        <v>63e8b9a8d056433a9994fe46ca85076b.pdf | OKCountyRecords: 2021-000697</v>
      </c>
      <c r="L510" s="133" t="s">
        <v>503</v>
      </c>
      <c r="M510" s="133" t="s">
        <v>8833</v>
      </c>
      <c r="N510" s="133"/>
      <c r="O510" s="133" t="s">
        <v>422</v>
      </c>
      <c r="P510" s="114" t="s">
        <v>8886</v>
      </c>
      <c r="Q510" s="114" t="s">
        <v>118</v>
      </c>
      <c r="R510" s="114" t="s">
        <v>89</v>
      </c>
      <c r="S510" s="114" t="s">
        <v>118</v>
      </c>
      <c r="T510" s="114" t="s">
        <v>89</v>
      </c>
      <c r="U510" s="114" t="s">
        <v>8896</v>
      </c>
      <c r="V510" s="114" t="s">
        <v>3386</v>
      </c>
      <c r="W510" s="114" t="s">
        <v>8906</v>
      </c>
      <c r="X510" s="114" t="s">
        <v>2701</v>
      </c>
      <c r="Y510" s="114" t="s">
        <v>8851</v>
      </c>
      <c r="Z510" s="114" t="s">
        <v>2701</v>
      </c>
      <c r="AA510" s="114" t="s">
        <v>9502</v>
      </c>
      <c r="AB510" s="114" t="s">
        <v>8853</v>
      </c>
    </row>
    <row r="511" spans="1:28" ht="48" x14ac:dyDescent="0.2">
      <c r="A511" s="133" t="s">
        <v>2485</v>
      </c>
      <c r="B511" s="130">
        <v>63</v>
      </c>
      <c r="C511" s="130" t="s">
        <v>1456</v>
      </c>
      <c r="D511" s="130" t="s">
        <v>2486</v>
      </c>
      <c r="E511" s="131">
        <v>44348</v>
      </c>
      <c r="F511" s="131">
        <v>44463</v>
      </c>
      <c r="G511" s="132" t="s">
        <v>2487</v>
      </c>
      <c r="H511" s="132" t="s">
        <v>2448</v>
      </c>
      <c r="I511" s="132" t="s">
        <v>2488</v>
      </c>
      <c r="J511" s="132" t="s">
        <v>2489</v>
      </c>
      <c r="K511" s="440" t="str">
        <f>HYPERLINK("https://okcountyrecords.com/detail/roger+mills/2021-001561","63e8b9a8d056433a9994fe46ca85076b.pdf | OKCountyRecords: 2021-001561")</f>
        <v>63e8b9a8d056433a9994fe46ca85076b.pdf | OKCountyRecords: 2021-001561</v>
      </c>
      <c r="L511" s="133" t="s">
        <v>1501</v>
      </c>
      <c r="M511" s="133" t="s">
        <v>1491</v>
      </c>
      <c r="N511" s="133"/>
      <c r="O511" s="133" t="s">
        <v>422</v>
      </c>
      <c r="P511" s="114" t="s">
        <v>9043</v>
      </c>
      <c r="Q511" s="114" t="s">
        <v>2701</v>
      </c>
      <c r="R511" s="114" t="s">
        <v>118</v>
      </c>
      <c r="S511" s="114" t="s">
        <v>2701</v>
      </c>
      <c r="T511" s="114" t="s">
        <v>118</v>
      </c>
      <c r="U511" s="114" t="s">
        <v>9503</v>
      </c>
      <c r="V511" s="114" t="s">
        <v>2701</v>
      </c>
      <c r="W511" s="114" t="s">
        <v>8864</v>
      </c>
      <c r="X511" s="114" t="s">
        <v>2701</v>
      </c>
      <c r="Y511" s="114" t="s">
        <v>8851</v>
      </c>
      <c r="Z511" s="114" t="s">
        <v>2701</v>
      </c>
      <c r="AA511" s="114" t="s">
        <v>9504</v>
      </c>
      <c r="AB511" s="114" t="s">
        <v>9139</v>
      </c>
    </row>
    <row r="512" spans="1:28" ht="36" x14ac:dyDescent="0.2">
      <c r="A512" s="133" t="s">
        <v>2491</v>
      </c>
      <c r="B512" s="130"/>
      <c r="C512" s="130" t="s">
        <v>619</v>
      </c>
      <c r="D512" s="130" t="s">
        <v>2492</v>
      </c>
      <c r="E512" s="131">
        <v>44348</v>
      </c>
      <c r="F512" s="131">
        <v>44377</v>
      </c>
      <c r="G512" s="132" t="s">
        <v>2493</v>
      </c>
      <c r="H512" s="132" t="s">
        <v>2494</v>
      </c>
      <c r="I512" s="132" t="s">
        <v>1256</v>
      </c>
      <c r="J512" s="132" t="s">
        <v>2495</v>
      </c>
      <c r="K512" s="440" t="str">
        <f>HYPERLINK("https://okcountyrecords.com/detail/roger+mills/2021-001068","OKCountyRecords: 2021-001068")</f>
        <v>OKCountyRecords: 2021-001068</v>
      </c>
      <c r="L512" s="133" t="s">
        <v>412</v>
      </c>
      <c r="M512" s="133"/>
      <c r="N512" s="133"/>
      <c r="O512" s="133" t="s">
        <v>422</v>
      </c>
      <c r="P512" s="114" t="s">
        <v>8934</v>
      </c>
      <c r="Q512" s="114" t="s">
        <v>118</v>
      </c>
      <c r="R512" s="114" t="s">
        <v>89</v>
      </c>
      <c r="S512" s="114" t="s">
        <v>118</v>
      </c>
      <c r="T512" s="114" t="s">
        <v>89</v>
      </c>
      <c r="U512" s="114" t="s">
        <v>8935</v>
      </c>
      <c r="V512" s="114" t="s">
        <v>2701</v>
      </c>
      <c r="W512" s="114" t="s">
        <v>8864</v>
      </c>
      <c r="X512" s="114" t="s">
        <v>8869</v>
      </c>
      <c r="Y512" s="114" t="s">
        <v>8857</v>
      </c>
      <c r="Z512" s="114" t="s">
        <v>8858</v>
      </c>
      <c r="AA512" s="114" t="s">
        <v>9505</v>
      </c>
      <c r="AB512" s="114" t="s">
        <v>8877</v>
      </c>
    </row>
    <row r="513" spans="1:28" ht="60" x14ac:dyDescent="0.2">
      <c r="A513" s="133" t="s">
        <v>2496</v>
      </c>
      <c r="B513" s="130">
        <v>61</v>
      </c>
      <c r="C513" s="130" t="s">
        <v>2497</v>
      </c>
      <c r="D513" s="130" t="s">
        <v>2498</v>
      </c>
      <c r="E513" s="131">
        <v>44407</v>
      </c>
      <c r="F513" s="131">
        <v>44462</v>
      </c>
      <c r="G513" s="132" t="s">
        <v>2499</v>
      </c>
      <c r="H513" s="132" t="s">
        <v>102</v>
      </c>
      <c r="I513" s="132" t="s">
        <v>569</v>
      </c>
      <c r="J513" s="132" t="s">
        <v>9602</v>
      </c>
      <c r="K513" s="440" t="str">
        <f>HYPERLINK("https://okcountyrecords.com/detail/roger+mills/2021-001557","63e8b9a8d056433a9994fe46ca85076b.pdf | OKCountyRecords: 2021-001557")</f>
        <v>63e8b9a8d056433a9994fe46ca85076b.pdf | OKCountyRecords: 2021-001557</v>
      </c>
      <c r="L513" s="133" t="s">
        <v>503</v>
      </c>
      <c r="M513" s="133" t="s">
        <v>467</v>
      </c>
      <c r="N513" s="133" t="s">
        <v>504</v>
      </c>
      <c r="O513" s="133" t="s">
        <v>422</v>
      </c>
      <c r="P513" s="114" t="s">
        <v>8886</v>
      </c>
      <c r="Q513" s="114" t="s">
        <v>118</v>
      </c>
      <c r="R513" s="114" t="s">
        <v>89</v>
      </c>
      <c r="S513" s="114" t="s">
        <v>118</v>
      </c>
      <c r="T513" s="114" t="s">
        <v>89</v>
      </c>
      <c r="U513" s="114" t="s">
        <v>8896</v>
      </c>
      <c r="V513" s="114" t="s">
        <v>3386</v>
      </c>
      <c r="W513" s="114" t="s">
        <v>8864</v>
      </c>
      <c r="X513" s="114" t="s">
        <v>2701</v>
      </c>
      <c r="Y513" s="114" t="s">
        <v>8851</v>
      </c>
      <c r="Z513" s="114" t="s">
        <v>2701</v>
      </c>
      <c r="AA513" s="114" t="s">
        <v>9506</v>
      </c>
      <c r="AB513" s="114" t="s">
        <v>8888</v>
      </c>
    </row>
    <row r="514" spans="1:28" ht="84" x14ac:dyDescent="0.2">
      <c r="A514" s="133" t="s">
        <v>2500</v>
      </c>
      <c r="B514" s="130">
        <v>62</v>
      </c>
      <c r="C514" s="130" t="s">
        <v>98</v>
      </c>
      <c r="D514" s="130" t="s">
        <v>100</v>
      </c>
      <c r="E514" s="131">
        <v>44407</v>
      </c>
      <c r="F514" s="131">
        <v>44462</v>
      </c>
      <c r="G514" s="132" t="s">
        <v>105</v>
      </c>
      <c r="H514" s="132" t="s">
        <v>8828</v>
      </c>
      <c r="I514" s="132" t="s">
        <v>569</v>
      </c>
      <c r="J514" s="132" t="s">
        <v>9603</v>
      </c>
      <c r="K514" s="440" t="str">
        <f>HYPERLINK("https://okcountyrecords.com/detail/roger+mills/2021-001559","63e8b9a8d056433a9994fe46ca85076b.pdf | OKCountyRecords: 2021-001559")</f>
        <v>63e8b9a8d056433a9994fe46ca85076b.pdf | OKCountyRecords: 2021-001559</v>
      </c>
      <c r="L514" s="133" t="s">
        <v>503</v>
      </c>
      <c r="M514" s="133" t="s">
        <v>1491</v>
      </c>
      <c r="N514" s="133"/>
      <c r="O514" s="133" t="s">
        <v>422</v>
      </c>
      <c r="P514" s="114" t="s">
        <v>9486</v>
      </c>
      <c r="Q514" s="114" t="s">
        <v>89</v>
      </c>
      <c r="R514" s="114" t="s">
        <v>2701</v>
      </c>
      <c r="S514" s="114" t="s">
        <v>89</v>
      </c>
      <c r="T514" s="114" t="s">
        <v>89</v>
      </c>
      <c r="U514" s="114" t="s">
        <v>8896</v>
      </c>
      <c r="V514" s="114" t="s">
        <v>3386</v>
      </c>
      <c r="W514" s="114" t="s">
        <v>8864</v>
      </c>
      <c r="X514" s="114" t="s">
        <v>2701</v>
      </c>
      <c r="Y514" s="114" t="s">
        <v>8851</v>
      </c>
      <c r="Z514" s="114" t="s">
        <v>2701</v>
      </c>
      <c r="AA514" s="114" t="s">
        <v>9507</v>
      </c>
      <c r="AB514" s="114" t="s">
        <v>8867</v>
      </c>
    </row>
    <row r="515" spans="1:28" ht="60" x14ac:dyDescent="0.2">
      <c r="A515" s="133" t="s">
        <v>2501</v>
      </c>
      <c r="B515" s="130">
        <v>64</v>
      </c>
      <c r="C515" s="130" t="s">
        <v>1456</v>
      </c>
      <c r="D515" s="130" t="s">
        <v>2502</v>
      </c>
      <c r="E515" s="131">
        <v>44440</v>
      </c>
      <c r="F515" s="131">
        <v>44476</v>
      </c>
      <c r="G515" s="132" t="s">
        <v>2503</v>
      </c>
      <c r="H515" s="132" t="s">
        <v>2504</v>
      </c>
      <c r="I515" s="132" t="s">
        <v>2505</v>
      </c>
      <c r="J515" s="132" t="s">
        <v>2489</v>
      </c>
      <c r="K515" s="440" t="str">
        <f>HYPERLINK("https://okcountyrecords.com/detail/roger+mills/2021-001605","63e8b9a8d056433a9994fe46ca85076b.pdf | OKCountyRecords: 2021-001605")</f>
        <v>63e8b9a8d056433a9994fe46ca85076b.pdf | OKCountyRecords: 2021-001605</v>
      </c>
      <c r="L515" s="133" t="s">
        <v>1490</v>
      </c>
      <c r="M515" s="133" t="s">
        <v>1491</v>
      </c>
      <c r="N515" s="133"/>
      <c r="O515" s="133" t="s">
        <v>1532</v>
      </c>
      <c r="P515" s="114" t="s">
        <v>9043</v>
      </c>
      <c r="Q515" s="114" t="s">
        <v>2701</v>
      </c>
      <c r="R515" s="114" t="s">
        <v>118</v>
      </c>
      <c r="S515" s="114" t="s">
        <v>2701</v>
      </c>
      <c r="T515" s="114" t="s">
        <v>118</v>
      </c>
      <c r="U515" s="114" t="s">
        <v>8896</v>
      </c>
      <c r="V515" s="114" t="s">
        <v>3386</v>
      </c>
      <c r="W515" s="114" t="s">
        <v>8864</v>
      </c>
      <c r="X515" s="114" t="s">
        <v>2701</v>
      </c>
      <c r="Y515" s="114" t="s">
        <v>8851</v>
      </c>
      <c r="Z515" s="114" t="s">
        <v>2701</v>
      </c>
      <c r="AA515" s="114" t="s">
        <v>9508</v>
      </c>
      <c r="AB515" s="114" t="s">
        <v>8888</v>
      </c>
    </row>
    <row r="516" spans="1:28" ht="60" x14ac:dyDescent="0.2">
      <c r="A516" s="133" t="s">
        <v>2506</v>
      </c>
      <c r="B516" s="130"/>
      <c r="C516" s="130" t="s">
        <v>619</v>
      </c>
      <c r="D516" s="130" t="s">
        <v>2507</v>
      </c>
      <c r="E516" s="131">
        <v>44489</v>
      </c>
      <c r="F516" s="131">
        <v>44491</v>
      </c>
      <c r="G516" s="132" t="s">
        <v>2508</v>
      </c>
      <c r="H516" s="132" t="s">
        <v>2509</v>
      </c>
      <c r="I516" s="132" t="s">
        <v>1280</v>
      </c>
      <c r="J516" s="132" t="s">
        <v>2510</v>
      </c>
      <c r="K516" s="440" t="str">
        <f>HYPERLINK("https://okcountyrecords.com/detail/roger+mills/2021-001774/26955795","OKCountyRecords: 2021-001774")</f>
        <v>OKCountyRecords: 2021-001774</v>
      </c>
      <c r="L516" s="133" t="s">
        <v>412</v>
      </c>
      <c r="M516" s="133" t="s">
        <v>405</v>
      </c>
      <c r="N516" s="133" t="s">
        <v>2167</v>
      </c>
      <c r="O516" s="133" t="s">
        <v>422</v>
      </c>
      <c r="P516" s="114" t="s">
        <v>8934</v>
      </c>
      <c r="Q516" s="114" t="s">
        <v>118</v>
      </c>
      <c r="R516" s="114" t="s">
        <v>89</v>
      </c>
      <c r="S516" s="114" t="s">
        <v>118</v>
      </c>
      <c r="T516" s="114" t="s">
        <v>89</v>
      </c>
      <c r="U516" s="114" t="s">
        <v>8862</v>
      </c>
      <c r="V516" s="114" t="s">
        <v>3072</v>
      </c>
      <c r="W516" s="114" t="s">
        <v>8864</v>
      </c>
      <c r="X516" s="114" t="s">
        <v>2701</v>
      </c>
      <c r="Y516" s="114" t="s">
        <v>9423</v>
      </c>
      <c r="Z516" s="114" t="s">
        <v>8858</v>
      </c>
      <c r="AA516" s="114" t="s">
        <v>9509</v>
      </c>
      <c r="AB516" s="114" t="s">
        <v>8867</v>
      </c>
    </row>
    <row r="517" spans="1:28" ht="60" x14ac:dyDescent="0.2">
      <c r="A517" s="133" t="s">
        <v>2511</v>
      </c>
      <c r="B517" s="130"/>
      <c r="C517" s="130" t="s">
        <v>1456</v>
      </c>
      <c r="D517" s="130" t="s">
        <v>2512</v>
      </c>
      <c r="E517" s="131">
        <v>44562</v>
      </c>
      <c r="F517" s="131">
        <v>44615</v>
      </c>
      <c r="G517" s="132" t="s">
        <v>2513</v>
      </c>
      <c r="H517" s="132" t="s">
        <v>2514</v>
      </c>
      <c r="I517" s="132" t="s">
        <v>569</v>
      </c>
      <c r="J517" s="132" t="s">
        <v>63</v>
      </c>
      <c r="K517" s="440" t="str">
        <f>HYPERLINK("https://okcountyrecords.com/detail/roger+mills/2022-000354","OKCountyRecords: 2022-000354")</f>
        <v>OKCountyRecords: 2022-000354</v>
      </c>
      <c r="L517" s="133" t="s">
        <v>1490</v>
      </c>
      <c r="M517" s="133"/>
      <c r="N517" s="133"/>
      <c r="O517" s="133" t="s">
        <v>422</v>
      </c>
      <c r="P517" s="114" t="s">
        <v>9043</v>
      </c>
      <c r="Q517" s="114" t="s">
        <v>2701</v>
      </c>
      <c r="R517" s="114" t="s">
        <v>118</v>
      </c>
      <c r="S517" s="114" t="s">
        <v>2701</v>
      </c>
      <c r="T517" s="114" t="s">
        <v>118</v>
      </c>
      <c r="U517" s="114" t="s">
        <v>8896</v>
      </c>
      <c r="V517" s="114" t="s">
        <v>3386</v>
      </c>
      <c r="W517" s="114" t="s">
        <v>8864</v>
      </c>
      <c r="X517" s="114" t="s">
        <v>2701</v>
      </c>
      <c r="Y517" s="114" t="s">
        <v>8851</v>
      </c>
      <c r="Z517" s="114" t="s">
        <v>2701</v>
      </c>
      <c r="AA517" s="114" t="s">
        <v>9510</v>
      </c>
      <c r="AB517" s="114" t="s">
        <v>8888</v>
      </c>
    </row>
    <row r="518" spans="1:28" ht="48" x14ac:dyDescent="0.2">
      <c r="A518" s="133" t="s">
        <v>2516</v>
      </c>
      <c r="B518" s="130"/>
      <c r="C518" s="130" t="s">
        <v>619</v>
      </c>
      <c r="D518" s="130" t="s">
        <v>2517</v>
      </c>
      <c r="E518" s="131">
        <v>44571</v>
      </c>
      <c r="F518" s="131">
        <v>44592</v>
      </c>
      <c r="G518" s="132" t="s">
        <v>2494</v>
      </c>
      <c r="H518" s="132" t="s">
        <v>2518</v>
      </c>
      <c r="I518" s="132" t="s">
        <v>569</v>
      </c>
      <c r="J518" s="132" t="s">
        <v>2495</v>
      </c>
      <c r="K518" s="440" t="str">
        <f>HYPERLINK("https://okcountyrecords.com/detail/roger+mills/2022-000185","OKCountyRecords: 2022-000185")</f>
        <v>OKCountyRecords: 2022-000185</v>
      </c>
      <c r="L518" s="133" t="s">
        <v>653</v>
      </c>
      <c r="M518" s="133" t="s">
        <v>405</v>
      </c>
      <c r="N518" s="133"/>
      <c r="O518" s="133" t="s">
        <v>422</v>
      </c>
      <c r="P518" s="114" t="s">
        <v>8934</v>
      </c>
      <c r="Q518" s="114" t="s">
        <v>118</v>
      </c>
      <c r="R518" s="114" t="s">
        <v>89</v>
      </c>
      <c r="S518" s="114" t="s">
        <v>118</v>
      </c>
      <c r="T518" s="114" t="s">
        <v>89</v>
      </c>
      <c r="U518" s="114" t="s">
        <v>8896</v>
      </c>
      <c r="V518" s="114" t="s">
        <v>3386</v>
      </c>
      <c r="W518" s="114" t="s">
        <v>8906</v>
      </c>
      <c r="X518" s="114" t="s">
        <v>2701</v>
      </c>
      <c r="Y518" s="114" t="s">
        <v>8857</v>
      </c>
      <c r="Z518" s="114" t="s">
        <v>8858</v>
      </c>
      <c r="AA518" s="114" t="s">
        <v>9511</v>
      </c>
    </row>
    <row r="519" spans="1:28" ht="60" x14ac:dyDescent="0.2">
      <c r="A519" s="133" t="s">
        <v>2519</v>
      </c>
      <c r="B519" s="130"/>
      <c r="C519" s="130" t="s">
        <v>2497</v>
      </c>
      <c r="D519" s="130" t="s">
        <v>2520</v>
      </c>
      <c r="E519" s="131">
        <v>44713</v>
      </c>
      <c r="F519" s="131">
        <v>44715</v>
      </c>
      <c r="G519" s="132" t="s">
        <v>2521</v>
      </c>
      <c r="H519" s="132" t="s">
        <v>102</v>
      </c>
      <c r="I519" s="132" t="s">
        <v>569</v>
      </c>
      <c r="J519" s="132" t="s">
        <v>9604</v>
      </c>
      <c r="K519" s="440" t="str">
        <f>HYPERLINK("https://okcountyrecords.com/detail/roger+mills/2022-001083","OKCountyRecords: 2022-001083")</f>
        <v>OKCountyRecords: 2022-001083</v>
      </c>
      <c r="L519" s="133" t="s">
        <v>503</v>
      </c>
      <c r="M519" s="133" t="s">
        <v>467</v>
      </c>
      <c r="N519" s="133" t="s">
        <v>504</v>
      </c>
      <c r="O519" s="133" t="s">
        <v>422</v>
      </c>
      <c r="P519" s="114" t="s">
        <v>8886</v>
      </c>
      <c r="Q519" s="114" t="s">
        <v>118</v>
      </c>
      <c r="R519" s="114" t="s">
        <v>89</v>
      </c>
      <c r="S519" s="114" t="s">
        <v>118</v>
      </c>
      <c r="T519" s="114" t="s">
        <v>89</v>
      </c>
      <c r="U519" s="114" t="s">
        <v>8896</v>
      </c>
      <c r="V519" s="114" t="s">
        <v>3386</v>
      </c>
      <c r="W519" s="114" t="s">
        <v>8864</v>
      </c>
      <c r="X519" s="114" t="s">
        <v>2701</v>
      </c>
      <c r="Y519" s="114" t="s">
        <v>8851</v>
      </c>
      <c r="Z519" s="114" t="s">
        <v>2701</v>
      </c>
      <c r="AA519" s="114" t="s">
        <v>9512</v>
      </c>
      <c r="AB519" s="114" t="s">
        <v>8888</v>
      </c>
    </row>
    <row r="520" spans="1:28" ht="48" x14ac:dyDescent="0.2">
      <c r="A520" s="133" t="s">
        <v>2523</v>
      </c>
      <c r="B520" s="130"/>
      <c r="C520" s="130" t="s">
        <v>619</v>
      </c>
      <c r="D520" s="130" t="s">
        <v>2524</v>
      </c>
      <c r="E520" s="131">
        <v>45061</v>
      </c>
      <c r="F520" s="131">
        <v>45114</v>
      </c>
      <c r="G520" s="132" t="s">
        <v>838</v>
      </c>
      <c r="H520" s="132" t="s">
        <v>8829</v>
      </c>
      <c r="I520" s="132" t="s">
        <v>1280</v>
      </c>
      <c r="J520" s="132" t="s">
        <v>63</v>
      </c>
      <c r="K520" s="440" t="str">
        <f>HYPERLINK("https://okcountyrecords.com/detail/roger+mills/2023-002269","OKCountyRecords: 2023-002269")</f>
        <v>OKCountyRecords: 2023-002269</v>
      </c>
      <c r="L520" s="133" t="s">
        <v>412</v>
      </c>
      <c r="M520" s="133" t="s">
        <v>405</v>
      </c>
      <c r="N520" s="133"/>
      <c r="O520" s="133" t="s">
        <v>422</v>
      </c>
      <c r="P520" s="114" t="s">
        <v>8934</v>
      </c>
      <c r="Q520" s="114" t="s">
        <v>118</v>
      </c>
      <c r="R520" s="114" t="s">
        <v>89</v>
      </c>
      <c r="S520" s="114" t="s">
        <v>118</v>
      </c>
      <c r="T520" s="114" t="s">
        <v>89</v>
      </c>
      <c r="U520" s="114" t="s">
        <v>8862</v>
      </c>
      <c r="V520" s="114" t="s">
        <v>3072</v>
      </c>
      <c r="W520" s="114" t="s">
        <v>8906</v>
      </c>
      <c r="X520" s="114" t="s">
        <v>8865</v>
      </c>
      <c r="Y520" s="114" t="s">
        <v>8857</v>
      </c>
      <c r="Z520" s="114" t="s">
        <v>8858</v>
      </c>
      <c r="AA520" s="114" t="s">
        <v>9513</v>
      </c>
    </row>
    <row r="521" spans="1:28" ht="60" x14ac:dyDescent="0.2">
      <c r="A521" s="133" t="s">
        <v>2526</v>
      </c>
      <c r="B521" s="130">
        <v>69</v>
      </c>
      <c r="C521" s="130" t="s">
        <v>1456</v>
      </c>
      <c r="D521" s="130" t="s">
        <v>2527</v>
      </c>
      <c r="E521" s="131">
        <v>45148</v>
      </c>
      <c r="F521" s="131">
        <v>45509</v>
      </c>
      <c r="G521" s="132" t="s">
        <v>2514</v>
      </c>
      <c r="H521" s="132" t="s">
        <v>8830</v>
      </c>
      <c r="I521" s="132" t="s">
        <v>238</v>
      </c>
      <c r="J521" s="132" t="s">
        <v>2489</v>
      </c>
      <c r="K521" s="440" t="str">
        <f>HYPERLINK("https://okcountyrecords.com/detail/roger+mills/2024-004916","63e8b9a8d056433a9994fe46ca85076b.pdf | OKCountyRecords: 2024-004916")</f>
        <v>63e8b9a8d056433a9994fe46ca85076b.pdf | OKCountyRecords: 2024-004916</v>
      </c>
      <c r="L521" s="133" t="s">
        <v>1490</v>
      </c>
      <c r="M521" s="133" t="s">
        <v>1491</v>
      </c>
      <c r="N521" s="133"/>
      <c r="O521" s="133" t="s">
        <v>1532</v>
      </c>
      <c r="P521" s="114" t="s">
        <v>9043</v>
      </c>
      <c r="Q521" s="114" t="s">
        <v>2701</v>
      </c>
      <c r="R521" s="114" t="s">
        <v>118</v>
      </c>
      <c r="S521" s="114" t="s">
        <v>2701</v>
      </c>
      <c r="T521" s="114" t="s">
        <v>118</v>
      </c>
      <c r="U521" s="114" t="s">
        <v>8896</v>
      </c>
      <c r="V521" s="114" t="s">
        <v>3386</v>
      </c>
      <c r="W521" s="114" t="s">
        <v>8906</v>
      </c>
      <c r="X521" s="114" t="s">
        <v>2701</v>
      </c>
      <c r="Y521" s="114" t="s">
        <v>8851</v>
      </c>
      <c r="Z521" s="114" t="s">
        <v>2701</v>
      </c>
      <c r="AA521" s="114" t="s">
        <v>9514</v>
      </c>
      <c r="AB521" s="114" t="s">
        <v>8853</v>
      </c>
    </row>
    <row r="522" spans="1:28" ht="60" x14ac:dyDescent="0.2">
      <c r="A522" s="133" t="s">
        <v>2529</v>
      </c>
      <c r="B522" s="130"/>
      <c r="C522" s="130" t="s">
        <v>1690</v>
      </c>
      <c r="D522" s="130" t="s">
        <v>2527</v>
      </c>
      <c r="E522" s="131">
        <v>45148</v>
      </c>
      <c r="F522" s="131">
        <v>45509</v>
      </c>
      <c r="G522" s="132" t="s">
        <v>2514</v>
      </c>
      <c r="H522" s="132" t="s">
        <v>8830</v>
      </c>
      <c r="I522" s="132" t="s">
        <v>569</v>
      </c>
      <c r="J522" s="132" t="s">
        <v>9605</v>
      </c>
      <c r="K522" s="440" t="str">
        <f>HYPERLINK("https://okcountyrecords.com/detail/roger+mills/2024-004961","OKCountyRecords: 2024-004961")</f>
        <v>OKCountyRecords: 2024-004961</v>
      </c>
      <c r="L522" s="133" t="s">
        <v>1490</v>
      </c>
      <c r="M522" s="133" t="s">
        <v>8756</v>
      </c>
      <c r="N522" s="133"/>
      <c r="O522" s="133" t="s">
        <v>422</v>
      </c>
      <c r="P522" s="114" t="s">
        <v>9195</v>
      </c>
      <c r="Q522" s="114" t="s">
        <v>89</v>
      </c>
      <c r="R522" s="114" t="s">
        <v>118</v>
      </c>
      <c r="S522" s="114" t="s">
        <v>2701</v>
      </c>
      <c r="T522" s="114" t="s">
        <v>118</v>
      </c>
      <c r="U522" s="114" t="s">
        <v>8896</v>
      </c>
      <c r="V522" s="114" t="s">
        <v>3386</v>
      </c>
      <c r="W522" s="114" t="s">
        <v>8906</v>
      </c>
      <c r="X522" s="114" t="s">
        <v>2701</v>
      </c>
      <c r="Y522" s="114" t="s">
        <v>8851</v>
      </c>
      <c r="Z522" s="114" t="s">
        <v>2701</v>
      </c>
      <c r="AA522" s="114" t="s">
        <v>9515</v>
      </c>
      <c r="AB522" s="114" t="s">
        <v>8853</v>
      </c>
    </row>
    <row r="523" spans="1:28" ht="60" x14ac:dyDescent="0.2">
      <c r="A523" s="133" t="s">
        <v>2530</v>
      </c>
      <c r="B523" s="130">
        <v>66</v>
      </c>
      <c r="C523" s="130" t="s">
        <v>2531</v>
      </c>
      <c r="D523" s="130" t="s">
        <v>2532</v>
      </c>
      <c r="E523" s="131">
        <v>45200</v>
      </c>
      <c r="F523" s="131">
        <v>45247</v>
      </c>
      <c r="G523" s="132" t="s">
        <v>2483</v>
      </c>
      <c r="H523" s="132" t="s">
        <v>2533</v>
      </c>
      <c r="I523" s="132" t="s">
        <v>569</v>
      </c>
      <c r="J523" s="132" t="s">
        <v>2534</v>
      </c>
      <c r="K523" s="440" t="str">
        <f>HYPERLINK("https://okcountyrecords.com/detail/roger+mills/2023-003590","63e8b9a8d056433a9994fe46ca85076b.pdf | OKCountyRecords: 2023-003590")</f>
        <v>63e8b9a8d056433a9994fe46ca85076b.pdf | OKCountyRecords: 2023-003590</v>
      </c>
      <c r="L523" s="133" t="s">
        <v>1490</v>
      </c>
      <c r="M523" s="133" t="s">
        <v>1491</v>
      </c>
      <c r="N523" s="133"/>
      <c r="O523" s="133" t="s">
        <v>422</v>
      </c>
      <c r="P523" s="114" t="s">
        <v>9195</v>
      </c>
      <c r="Q523" s="114" t="s">
        <v>89</v>
      </c>
      <c r="R523" s="114" t="s">
        <v>118</v>
      </c>
      <c r="S523" s="114" t="s">
        <v>2701</v>
      </c>
      <c r="T523" s="114" t="s">
        <v>118</v>
      </c>
      <c r="U523" s="114" t="s">
        <v>8896</v>
      </c>
      <c r="V523" s="114" t="s">
        <v>3386</v>
      </c>
      <c r="W523" s="114" t="s">
        <v>8906</v>
      </c>
      <c r="X523" s="114" t="s">
        <v>2701</v>
      </c>
      <c r="Y523" s="114" t="s">
        <v>8851</v>
      </c>
      <c r="Z523" s="114" t="s">
        <v>2701</v>
      </c>
      <c r="AA523" s="114" t="s">
        <v>9516</v>
      </c>
      <c r="AB523" s="114" t="s">
        <v>8853</v>
      </c>
    </row>
    <row r="524" spans="1:28" ht="48" x14ac:dyDescent="0.2">
      <c r="A524" s="133" t="s">
        <v>2535</v>
      </c>
      <c r="B524" s="130"/>
      <c r="C524" s="130" t="s">
        <v>1062</v>
      </c>
      <c r="D524" s="130" t="s">
        <v>2536</v>
      </c>
      <c r="E524" s="131">
        <v>45359</v>
      </c>
      <c r="F524" s="131">
        <v>45365</v>
      </c>
      <c r="G524" s="132" t="s">
        <v>2537</v>
      </c>
      <c r="H524" s="132" t="s">
        <v>102</v>
      </c>
      <c r="I524" s="132" t="s">
        <v>722</v>
      </c>
      <c r="J524" s="132" t="s">
        <v>2538</v>
      </c>
      <c r="K524" s="440" t="str">
        <f>HYPERLINK("https://okcountyrecords.com/detail/roger+mills/2024-001313/31623586","OKCountyRecords: 2024-001313")</f>
        <v>OKCountyRecords: 2024-001313</v>
      </c>
      <c r="L524" s="133" t="s">
        <v>466</v>
      </c>
      <c r="M524" s="133" t="s">
        <v>467</v>
      </c>
      <c r="N524" s="133" t="s">
        <v>504</v>
      </c>
      <c r="O524" s="133" t="s">
        <v>422</v>
      </c>
      <c r="P524" s="114" t="s">
        <v>9082</v>
      </c>
      <c r="Q524" s="114" t="s">
        <v>89</v>
      </c>
      <c r="R524" s="114" t="s">
        <v>89</v>
      </c>
      <c r="S524" s="114" t="s">
        <v>89</v>
      </c>
      <c r="T524" s="114" t="s">
        <v>89</v>
      </c>
      <c r="U524" s="114" t="s">
        <v>8862</v>
      </c>
      <c r="V524" s="114" t="s">
        <v>3072</v>
      </c>
      <c r="W524" s="114" t="s">
        <v>9678</v>
      </c>
      <c r="X524" s="114" t="s">
        <v>2701</v>
      </c>
      <c r="Y524" s="114" t="s">
        <v>8851</v>
      </c>
      <c r="Z524" s="114" t="s">
        <v>2701</v>
      </c>
      <c r="AA524" s="114" t="s">
        <v>9517</v>
      </c>
      <c r="AB524" s="114" t="s">
        <v>8867</v>
      </c>
    </row>
    <row r="525" spans="1:28" ht="60" x14ac:dyDescent="0.2">
      <c r="A525" s="133" t="s">
        <v>2539</v>
      </c>
      <c r="B525" s="130">
        <v>61</v>
      </c>
      <c r="C525" s="130" t="s">
        <v>1456</v>
      </c>
      <c r="D525" s="130" t="s">
        <v>2540</v>
      </c>
      <c r="E525" s="131">
        <v>45474</v>
      </c>
      <c r="F525" s="131">
        <v>45642</v>
      </c>
      <c r="G525" s="132" t="s">
        <v>2541</v>
      </c>
      <c r="H525" s="132" t="s">
        <v>2542</v>
      </c>
      <c r="I525" s="132" t="s">
        <v>569</v>
      </c>
      <c r="J525" s="132" t="s">
        <v>63</v>
      </c>
      <c r="K525" s="440" t="str">
        <f>HYPERLINK("https://okcountyrecords.com/detail/roger+mills/2024-007734/33733683","OKCountyRecords: 2024-007734")</f>
        <v>OKCountyRecords: 2024-007734</v>
      </c>
      <c r="L525" s="133" t="s">
        <v>1490</v>
      </c>
      <c r="M525" s="133" t="s">
        <v>1491</v>
      </c>
      <c r="N525" s="133"/>
      <c r="O525" s="133" t="s">
        <v>422</v>
      </c>
      <c r="P525" s="114" t="s">
        <v>9043</v>
      </c>
      <c r="Q525" s="114" t="s">
        <v>2701</v>
      </c>
      <c r="R525" s="114" t="s">
        <v>118</v>
      </c>
      <c r="S525" s="114" t="s">
        <v>2701</v>
      </c>
      <c r="T525" s="114" t="s">
        <v>118</v>
      </c>
      <c r="U525" s="114" t="s">
        <v>8896</v>
      </c>
      <c r="V525" s="114" t="s">
        <v>3386</v>
      </c>
      <c r="W525" s="114" t="s">
        <v>8864</v>
      </c>
      <c r="X525" s="114" t="s">
        <v>2701</v>
      </c>
      <c r="Y525" s="114" t="s">
        <v>8851</v>
      </c>
      <c r="Z525" s="114" t="s">
        <v>2701</v>
      </c>
      <c r="AA525" s="114" t="s">
        <v>9518</v>
      </c>
      <c r="AB525" s="114" t="s">
        <v>8888</v>
      </c>
    </row>
    <row r="526" spans="1:28" ht="408" x14ac:dyDescent="0.2">
      <c r="A526" s="133" t="s">
        <v>2543</v>
      </c>
      <c r="B526" s="130">
        <v>70</v>
      </c>
      <c r="C526" s="130" t="s">
        <v>1181</v>
      </c>
      <c r="D526" s="130" t="s">
        <v>2544</v>
      </c>
      <c r="E526" s="131">
        <v>45588</v>
      </c>
      <c r="F526" s="131">
        <v>45614</v>
      </c>
      <c r="G526" s="132" t="s">
        <v>2545</v>
      </c>
      <c r="H526" s="132" t="s">
        <v>8761</v>
      </c>
      <c r="I526" s="132" t="s">
        <v>569</v>
      </c>
      <c r="J526" s="132" t="s">
        <v>2546</v>
      </c>
      <c r="K526" s="440" t="str">
        <f>HYPERLINK("https://okcountyrecords.com/detail/roger+mills/2024-007198","63e8b9a8d056433a9994fe46ca85076b.pdf | OKCountyRecords: 2024-007198")</f>
        <v>63e8b9a8d056433a9994fe46ca85076b.pdf | OKCountyRecords: 2024-007198</v>
      </c>
      <c r="L526" s="133" t="s">
        <v>653</v>
      </c>
      <c r="M526" s="133" t="s">
        <v>641</v>
      </c>
      <c r="N526" s="133" t="s">
        <v>8710</v>
      </c>
      <c r="O526" s="133" t="s">
        <v>422</v>
      </c>
      <c r="P526" s="114" t="s">
        <v>8854</v>
      </c>
      <c r="Q526" s="114" t="s">
        <v>118</v>
      </c>
      <c r="R526" s="114" t="s">
        <v>89</v>
      </c>
      <c r="S526" s="114" t="s">
        <v>2701</v>
      </c>
      <c r="T526" s="114" t="s">
        <v>89</v>
      </c>
      <c r="U526" s="114" t="s">
        <v>8896</v>
      </c>
      <c r="V526" s="114" t="s">
        <v>3386</v>
      </c>
      <c r="W526" s="114" t="s">
        <v>8864</v>
      </c>
      <c r="X526" s="114" t="s">
        <v>2701</v>
      </c>
      <c r="Y526" s="114" t="s">
        <v>9519</v>
      </c>
      <c r="Z526" s="114" t="s">
        <v>8858</v>
      </c>
      <c r="AA526" s="114" t="s">
        <v>9520</v>
      </c>
      <c r="AB526" s="114" t="s">
        <v>8867</v>
      </c>
    </row>
    <row r="527" spans="1:28" ht="168" x14ac:dyDescent="0.2">
      <c r="A527" s="133" t="s">
        <v>2547</v>
      </c>
      <c r="B527" s="130">
        <v>71</v>
      </c>
      <c r="C527" s="130" t="s">
        <v>2497</v>
      </c>
      <c r="D527" s="130" t="s">
        <v>2548</v>
      </c>
      <c r="E527" s="131">
        <v>45589</v>
      </c>
      <c r="F527" s="131">
        <v>45614</v>
      </c>
      <c r="G527" s="132" t="s">
        <v>8651</v>
      </c>
      <c r="H527" s="132" t="s">
        <v>102</v>
      </c>
      <c r="I527" s="132" t="s">
        <v>569</v>
      </c>
      <c r="J527" s="132" t="s">
        <v>9606</v>
      </c>
      <c r="K527" s="440" t="str">
        <f>HYPERLINK("https://okcountyrecords.com/detail/roger+mills/2024-007203","63e8b9a8d056433a9994fe46ca85076b.pdf | OKCountyRecords: 2024-007203")</f>
        <v>63e8b9a8d056433a9994fe46ca85076b.pdf | OKCountyRecords: 2024-007203</v>
      </c>
      <c r="L527" s="133" t="s">
        <v>653</v>
      </c>
      <c r="M527" s="133" t="s">
        <v>467</v>
      </c>
      <c r="N527" s="133" t="s">
        <v>2549</v>
      </c>
      <c r="O527" s="133" t="s">
        <v>422</v>
      </c>
      <c r="P527" s="114" t="s">
        <v>8886</v>
      </c>
      <c r="Q527" s="114" t="s">
        <v>118</v>
      </c>
      <c r="R527" s="114" t="s">
        <v>89</v>
      </c>
      <c r="S527" s="114" t="s">
        <v>118</v>
      </c>
      <c r="T527" s="114" t="s">
        <v>89</v>
      </c>
      <c r="U527" s="114" t="s">
        <v>8896</v>
      </c>
      <c r="V527" s="114" t="s">
        <v>3386</v>
      </c>
      <c r="W527" s="114" t="s">
        <v>8864</v>
      </c>
      <c r="X527" s="114" t="s">
        <v>2701</v>
      </c>
      <c r="Y527" s="114" t="s">
        <v>8851</v>
      </c>
      <c r="Z527" s="114" t="s">
        <v>2701</v>
      </c>
      <c r="AA527" s="114" t="s">
        <v>9521</v>
      </c>
      <c r="AB527" s="114" t="s">
        <v>8888</v>
      </c>
    </row>
    <row r="528" spans="1:28" ht="48" x14ac:dyDescent="0.2">
      <c r="A528" s="133" t="s">
        <v>2550</v>
      </c>
      <c r="B528" s="130"/>
      <c r="C528" s="130" t="s">
        <v>619</v>
      </c>
      <c r="D528" s="130" t="s">
        <v>2551</v>
      </c>
      <c r="E528" s="131">
        <v>45608</v>
      </c>
      <c r="F528" s="131">
        <v>45621</v>
      </c>
      <c r="G528" s="132" t="s">
        <v>204</v>
      </c>
      <c r="H528" s="132" t="s">
        <v>2552</v>
      </c>
      <c r="I528" s="132" t="s">
        <v>569</v>
      </c>
      <c r="J528" s="132" t="s">
        <v>63</v>
      </c>
      <c r="K528" s="440" t="str">
        <f>HYPERLINK("https://okcountyrecords.com/detail/roger+mills/2024-007338/32904065","OKCountyRecords: 2024-007338")</f>
        <v>OKCountyRecords: 2024-007338</v>
      </c>
      <c r="L528" s="133" t="s">
        <v>653</v>
      </c>
      <c r="M528" s="133" t="s">
        <v>405</v>
      </c>
      <c r="N528" s="133"/>
      <c r="O528" s="133" t="s">
        <v>422</v>
      </c>
      <c r="P528" s="114" t="s">
        <v>8934</v>
      </c>
      <c r="Q528" s="114" t="s">
        <v>118</v>
      </c>
      <c r="R528" s="114" t="s">
        <v>89</v>
      </c>
      <c r="S528" s="114" t="s">
        <v>118</v>
      </c>
      <c r="T528" s="114" t="s">
        <v>89</v>
      </c>
      <c r="U528" s="114" t="s">
        <v>8896</v>
      </c>
      <c r="V528" s="114" t="s">
        <v>3386</v>
      </c>
      <c r="W528" s="114" t="s">
        <v>8864</v>
      </c>
      <c r="X528" s="114" t="s">
        <v>8882</v>
      </c>
      <c r="Y528" s="114" t="s">
        <v>8857</v>
      </c>
      <c r="Z528" s="114" t="s">
        <v>8858</v>
      </c>
      <c r="AA528" s="114" t="s">
        <v>9522</v>
      </c>
      <c r="AB528" s="114" t="s">
        <v>8867</v>
      </c>
    </row>
    <row r="529" spans="1:28" ht="60" x14ac:dyDescent="0.2">
      <c r="A529" s="133" t="s">
        <v>2553</v>
      </c>
      <c r="B529" s="130"/>
      <c r="C529" s="130" t="s">
        <v>2554</v>
      </c>
      <c r="D529" s="130" t="s">
        <v>2555</v>
      </c>
      <c r="E529" s="131">
        <v>45648</v>
      </c>
      <c r="F529" s="131">
        <v>45672</v>
      </c>
      <c r="G529" s="132" t="s">
        <v>2556</v>
      </c>
      <c r="H529" s="132" t="s">
        <v>2448</v>
      </c>
      <c r="I529" s="132" t="s">
        <v>569</v>
      </c>
      <c r="J529" s="132" t="s">
        <v>63</v>
      </c>
      <c r="K529" s="440" t="str">
        <f>HYPERLINK("https://okcountyrecords.com/detail/roger+mills/2025-000252","OKCountyRecords: 2025-000252")</f>
        <v>OKCountyRecords: 2025-000252</v>
      </c>
      <c r="L529" s="133" t="s">
        <v>1490</v>
      </c>
      <c r="M529" s="133" t="s">
        <v>8756</v>
      </c>
      <c r="N529" s="133"/>
      <c r="O529" s="133" t="s">
        <v>422</v>
      </c>
      <c r="P529" s="114" t="s">
        <v>9195</v>
      </c>
      <c r="Q529" s="114" t="s">
        <v>89</v>
      </c>
      <c r="R529" s="114" t="s">
        <v>118</v>
      </c>
      <c r="S529" s="114" t="s">
        <v>2701</v>
      </c>
      <c r="T529" s="114" t="s">
        <v>118</v>
      </c>
      <c r="U529" s="114" t="s">
        <v>8896</v>
      </c>
      <c r="V529" s="114" t="s">
        <v>3386</v>
      </c>
      <c r="W529" s="114" t="s">
        <v>8906</v>
      </c>
      <c r="X529" s="114" t="s">
        <v>2701</v>
      </c>
      <c r="Y529" s="114" t="s">
        <v>8851</v>
      </c>
      <c r="Z529" s="114" t="s">
        <v>2701</v>
      </c>
      <c r="AA529" s="114" t="s">
        <v>9523</v>
      </c>
      <c r="AB529" s="114" t="s">
        <v>8853</v>
      </c>
    </row>
    <row r="530" spans="1:28" ht="60" x14ac:dyDescent="0.2">
      <c r="A530" s="133" t="s">
        <v>2557</v>
      </c>
      <c r="B530" s="130"/>
      <c r="C530" s="130" t="s">
        <v>2558</v>
      </c>
      <c r="D530" s="130" t="s">
        <v>2559</v>
      </c>
      <c r="E530" s="131">
        <v>45726</v>
      </c>
      <c r="F530" s="131">
        <v>45728</v>
      </c>
      <c r="G530" s="132" t="s">
        <v>2560</v>
      </c>
      <c r="H530" s="132" t="s">
        <v>2561</v>
      </c>
      <c r="I530" s="132" t="s">
        <v>2431</v>
      </c>
      <c r="J530" s="132" t="s">
        <v>63</v>
      </c>
      <c r="K530" s="440" t="str">
        <f>HYPERLINK("https://okcountyrecords.com/detail/roger+mills/2025-001343","OKCountyRecords: 2025-001343")</f>
        <v>OKCountyRecords: 2025-001343</v>
      </c>
      <c r="L530" s="133" t="s">
        <v>412</v>
      </c>
      <c r="M530" s="133" t="s">
        <v>405</v>
      </c>
      <c r="N530" s="133"/>
      <c r="O530" s="133" t="s">
        <v>422</v>
      </c>
      <c r="P530" s="114" t="s">
        <v>8934</v>
      </c>
      <c r="Q530" s="114" t="s">
        <v>118</v>
      </c>
      <c r="R530" s="114" t="s">
        <v>89</v>
      </c>
      <c r="S530" s="114" t="s">
        <v>118</v>
      </c>
      <c r="T530" s="114" t="s">
        <v>89</v>
      </c>
      <c r="U530" s="114" t="s">
        <v>8930</v>
      </c>
      <c r="V530" s="114" t="s">
        <v>2701</v>
      </c>
      <c r="W530" s="114" t="s">
        <v>8864</v>
      </c>
      <c r="X530" s="114" t="s">
        <v>8869</v>
      </c>
      <c r="Y530" s="114" t="s">
        <v>8857</v>
      </c>
      <c r="Z530" s="114" t="s">
        <v>8858</v>
      </c>
      <c r="AA530" s="114" t="s">
        <v>9524</v>
      </c>
      <c r="AB530" s="114" t="s">
        <v>8877</v>
      </c>
    </row>
    <row r="531" spans="1:28" ht="264" x14ac:dyDescent="0.2">
      <c r="A531" s="133" t="s">
        <v>2562</v>
      </c>
      <c r="B531" s="130"/>
      <c r="C531" s="130" t="s">
        <v>545</v>
      </c>
      <c r="D531" s="130" t="s">
        <v>2563</v>
      </c>
      <c r="E531" s="131">
        <v>45726</v>
      </c>
      <c r="F531" s="131">
        <v>45840</v>
      </c>
      <c r="G531" s="132" t="s">
        <v>2564</v>
      </c>
      <c r="H531" s="132" t="s">
        <v>2565</v>
      </c>
      <c r="I531" s="132" t="s">
        <v>2566</v>
      </c>
      <c r="J531" s="132" t="s">
        <v>2567</v>
      </c>
      <c r="K531" s="440" t="str">
        <f>HYPERLINK("https://okcountyrecords.com/detail/roger+mills/2025-003963","OKCountyRecords: 2025-003963")</f>
        <v>OKCountyRecords: 2025-003963</v>
      </c>
      <c r="L531" s="133" t="s">
        <v>412</v>
      </c>
      <c r="M531" s="133" t="s">
        <v>641</v>
      </c>
      <c r="N531" s="133" t="s">
        <v>8710</v>
      </c>
      <c r="O531" s="133" t="s">
        <v>428</v>
      </c>
      <c r="P531" s="114" t="s">
        <v>8854</v>
      </c>
      <c r="Q531" s="114" t="s">
        <v>118</v>
      </c>
      <c r="R531" s="114" t="s">
        <v>89</v>
      </c>
      <c r="S531" s="114" t="s">
        <v>2701</v>
      </c>
      <c r="T531" s="114" t="s">
        <v>89</v>
      </c>
      <c r="U531" s="114" t="s">
        <v>9230</v>
      </c>
      <c r="V531" s="114" t="s">
        <v>3072</v>
      </c>
      <c r="W531" s="114" t="s">
        <v>8864</v>
      </c>
      <c r="X531" s="114" t="s">
        <v>8873</v>
      </c>
      <c r="Y531" s="114" t="s">
        <v>8899</v>
      </c>
      <c r="Z531" s="114" t="s">
        <v>8858</v>
      </c>
      <c r="AA531" s="114" t="s">
        <v>9525</v>
      </c>
      <c r="AB531" s="114" t="s">
        <v>8867</v>
      </c>
    </row>
    <row r="532" spans="1:28" ht="36" x14ac:dyDescent="0.2">
      <c r="A532" s="133" t="s">
        <v>2568</v>
      </c>
      <c r="B532" s="130"/>
      <c r="C532" s="130" t="s">
        <v>619</v>
      </c>
      <c r="D532" s="130" t="s">
        <v>2569</v>
      </c>
      <c r="E532" s="131">
        <v>45747</v>
      </c>
      <c r="F532" s="131">
        <v>45771</v>
      </c>
      <c r="G532" s="132" t="s">
        <v>2570</v>
      </c>
      <c r="H532" s="132" t="s">
        <v>2571</v>
      </c>
      <c r="I532" s="132" t="s">
        <v>1280</v>
      </c>
      <c r="J532" s="132" t="s">
        <v>2572</v>
      </c>
      <c r="K532" s="440" t="str">
        <f>HYPERLINK("https://okcountyrecords.com/detail/roger+mills/2025-002463/34027439","OKCountyRecords: 2025-002463")</f>
        <v>OKCountyRecords: 2025-002463</v>
      </c>
      <c r="L532" s="133" t="s">
        <v>412</v>
      </c>
      <c r="M532" s="133" t="s">
        <v>641</v>
      </c>
      <c r="N532" s="133" t="s">
        <v>8729</v>
      </c>
      <c r="O532" s="133" t="s">
        <v>422</v>
      </c>
      <c r="P532" s="114" t="s">
        <v>8934</v>
      </c>
      <c r="Q532" s="114" t="s">
        <v>118</v>
      </c>
      <c r="R532" s="114" t="s">
        <v>89</v>
      </c>
      <c r="S532" s="114" t="s">
        <v>118</v>
      </c>
      <c r="T532" s="114" t="s">
        <v>89</v>
      </c>
      <c r="U532" s="114" t="s">
        <v>8862</v>
      </c>
      <c r="V532" s="114" t="s">
        <v>3072</v>
      </c>
      <c r="W532" s="114" t="s">
        <v>8864</v>
      </c>
      <c r="X532" s="114" t="s">
        <v>8865</v>
      </c>
      <c r="Y532" s="114" t="s">
        <v>9436</v>
      </c>
      <c r="Z532" s="114" t="s">
        <v>8858</v>
      </c>
      <c r="AA532" s="114" t="s">
        <v>9526</v>
      </c>
      <c r="AB532" s="114" t="s">
        <v>8867</v>
      </c>
    </row>
    <row r="533" spans="1:28" ht="36" x14ac:dyDescent="0.2">
      <c r="A533" s="133" t="s">
        <v>2574</v>
      </c>
      <c r="B533" s="130"/>
      <c r="C533" s="130" t="s">
        <v>619</v>
      </c>
      <c r="D533" s="130" t="s">
        <v>2575</v>
      </c>
      <c r="E533" s="131">
        <v>45747</v>
      </c>
      <c r="F533" s="131">
        <v>45771</v>
      </c>
      <c r="G533" s="132" t="s">
        <v>2570</v>
      </c>
      <c r="H533" s="132" t="s">
        <v>155</v>
      </c>
      <c r="I533" s="132" t="s">
        <v>1280</v>
      </c>
      <c r="J533" s="132" t="s">
        <v>2572</v>
      </c>
      <c r="K533" s="440" t="str">
        <f>HYPERLINK("https://okcountyrecords.com/detail/roger+mills/2025-002464/34027438","OKCountyRecords: 2025-002464")</f>
        <v>OKCountyRecords: 2025-002464</v>
      </c>
      <c r="L533" s="133" t="s">
        <v>412</v>
      </c>
      <c r="M533" s="133" t="s">
        <v>641</v>
      </c>
      <c r="N533" s="133" t="s">
        <v>8729</v>
      </c>
      <c r="O533" s="133" t="s">
        <v>422</v>
      </c>
      <c r="P533" s="114" t="s">
        <v>8934</v>
      </c>
      <c r="Q533" s="114" t="s">
        <v>118</v>
      </c>
      <c r="R533" s="114" t="s">
        <v>89</v>
      </c>
      <c r="S533" s="114" t="s">
        <v>118</v>
      </c>
      <c r="T533" s="114" t="s">
        <v>89</v>
      </c>
      <c r="U533" s="114" t="s">
        <v>8862</v>
      </c>
      <c r="V533" s="114" t="s">
        <v>3072</v>
      </c>
      <c r="W533" s="114" t="s">
        <v>8864</v>
      </c>
      <c r="X533" s="114" t="s">
        <v>8865</v>
      </c>
      <c r="Y533" s="114" t="s">
        <v>9436</v>
      </c>
      <c r="Z533" s="114" t="s">
        <v>8858</v>
      </c>
      <c r="AA533" s="114" t="s">
        <v>9527</v>
      </c>
      <c r="AB533" s="114" t="s">
        <v>8867</v>
      </c>
    </row>
    <row r="534" spans="1:28" ht="60" x14ac:dyDescent="0.2">
      <c r="A534" s="133" t="s">
        <v>2576</v>
      </c>
      <c r="B534" s="130">
        <v>76</v>
      </c>
      <c r="C534" s="130" t="s">
        <v>2497</v>
      </c>
      <c r="D534" s="130" t="s">
        <v>2577</v>
      </c>
      <c r="E534" s="131">
        <v>45784</v>
      </c>
      <c r="F534" s="131">
        <v>45792</v>
      </c>
      <c r="G534" s="132" t="s">
        <v>2578</v>
      </c>
      <c r="H534" s="132" t="s">
        <v>102</v>
      </c>
      <c r="I534" s="132" t="s">
        <v>569</v>
      </c>
      <c r="J534" s="132" t="s">
        <v>9607</v>
      </c>
      <c r="K534" s="440" t="str">
        <f>HYPERLINK("https://okcountyrecords.com/detail/roger+mills/2025-002923","63e8b9a8d056433a9994fe46ca85076b.pdf | OKCountyRecords: 2025-002923")</f>
        <v>63e8b9a8d056433a9994fe46ca85076b.pdf | OKCountyRecords: 2025-002923</v>
      </c>
      <c r="L534" s="133" t="s">
        <v>503</v>
      </c>
      <c r="M534" s="133" t="s">
        <v>467</v>
      </c>
      <c r="N534" s="133" t="s">
        <v>468</v>
      </c>
      <c r="O534" s="133" t="s">
        <v>422</v>
      </c>
      <c r="P534" s="114" t="s">
        <v>8886</v>
      </c>
      <c r="Q534" s="114" t="s">
        <v>118</v>
      </c>
      <c r="R534" s="114" t="s">
        <v>89</v>
      </c>
      <c r="S534" s="114" t="s">
        <v>118</v>
      </c>
      <c r="T534" s="114" t="s">
        <v>89</v>
      </c>
      <c r="U534" s="114" t="s">
        <v>8896</v>
      </c>
      <c r="V534" s="114" t="s">
        <v>3386</v>
      </c>
      <c r="W534" s="114" t="s">
        <v>8864</v>
      </c>
      <c r="X534" s="114" t="s">
        <v>2701</v>
      </c>
      <c r="Y534" s="114" t="s">
        <v>8851</v>
      </c>
      <c r="Z534" s="114" t="s">
        <v>2701</v>
      </c>
      <c r="AA534" s="114" t="s">
        <v>9528</v>
      </c>
      <c r="AB534" s="114" t="s">
        <v>8888</v>
      </c>
    </row>
    <row r="535" spans="1:28" ht="48" x14ac:dyDescent="0.2">
      <c r="A535" s="133" t="s">
        <v>2580</v>
      </c>
      <c r="B535" s="130"/>
      <c r="C535" s="130" t="s">
        <v>619</v>
      </c>
      <c r="D535" s="130" t="s">
        <v>2581</v>
      </c>
      <c r="E535" s="131">
        <v>45896</v>
      </c>
      <c r="F535" s="131">
        <v>45908</v>
      </c>
      <c r="G535" s="132" t="s">
        <v>2466</v>
      </c>
      <c r="H535" s="132" t="s">
        <v>2582</v>
      </c>
      <c r="I535" s="132" t="s">
        <v>1280</v>
      </c>
      <c r="J535" s="132" t="s">
        <v>63</v>
      </c>
      <c r="K535" s="440" t="str">
        <f>HYPERLINK("https://okcountyrecords.com/detail/roger+mills/2025-005448","OKCountyRecords: 2025-005448")</f>
        <v>OKCountyRecords: 2025-005448</v>
      </c>
      <c r="L535" s="133" t="s">
        <v>412</v>
      </c>
      <c r="M535" s="133"/>
      <c r="N535" s="133"/>
      <c r="O535" s="133" t="s">
        <v>422</v>
      </c>
      <c r="P535" s="114" t="s">
        <v>8934</v>
      </c>
      <c r="Q535" s="114" t="s">
        <v>118</v>
      </c>
      <c r="R535" s="114" t="s">
        <v>89</v>
      </c>
      <c r="S535" s="114" t="s">
        <v>118</v>
      </c>
      <c r="T535" s="114" t="s">
        <v>89</v>
      </c>
      <c r="U535" s="114" t="s">
        <v>8862</v>
      </c>
      <c r="V535" s="114" t="s">
        <v>3072</v>
      </c>
      <c r="W535" s="114" t="s">
        <v>8906</v>
      </c>
      <c r="X535" s="114" t="s">
        <v>8865</v>
      </c>
      <c r="Y535" s="114" t="s">
        <v>8857</v>
      </c>
      <c r="Z535" s="114" t="s">
        <v>8858</v>
      </c>
      <c r="AA535" s="114" t="s">
        <v>9529</v>
      </c>
    </row>
    <row r="536" spans="1:28" ht="48" x14ac:dyDescent="0.2">
      <c r="A536" s="133" t="s">
        <v>2583</v>
      </c>
      <c r="B536" s="130"/>
      <c r="C536" s="130" t="s">
        <v>619</v>
      </c>
      <c r="D536" s="130" t="s">
        <v>2584</v>
      </c>
      <c r="E536" s="131">
        <v>45897</v>
      </c>
      <c r="F536" s="131">
        <v>45908</v>
      </c>
      <c r="G536" s="132" t="s">
        <v>2582</v>
      </c>
      <c r="H536" s="132" t="s">
        <v>2585</v>
      </c>
      <c r="I536" s="132" t="s">
        <v>1280</v>
      </c>
      <c r="J536" s="132" t="s">
        <v>63</v>
      </c>
      <c r="K536" s="440" t="str">
        <f>HYPERLINK("https://okcountyrecords.com/detail/roger+mills/2025-005451","OKCountyRecords: 2025-005451")</f>
        <v>OKCountyRecords: 2025-005451</v>
      </c>
      <c r="L536" s="133" t="s">
        <v>412</v>
      </c>
      <c r="M536" s="133" t="s">
        <v>405</v>
      </c>
      <c r="N536" s="133"/>
      <c r="O536" s="133" t="s">
        <v>422</v>
      </c>
      <c r="P536" s="114" t="s">
        <v>8934</v>
      </c>
      <c r="Q536" s="114" t="s">
        <v>118</v>
      </c>
      <c r="R536" s="114" t="s">
        <v>89</v>
      </c>
      <c r="S536" s="114" t="s">
        <v>118</v>
      </c>
      <c r="T536" s="114" t="s">
        <v>89</v>
      </c>
      <c r="U536" s="114" t="s">
        <v>8862</v>
      </c>
      <c r="V536" s="114" t="s">
        <v>3072</v>
      </c>
      <c r="W536" s="114" t="s">
        <v>8906</v>
      </c>
      <c r="X536" s="114" t="s">
        <v>2701</v>
      </c>
      <c r="Y536" s="114" t="s">
        <v>8857</v>
      </c>
      <c r="Z536" s="114" t="s">
        <v>8858</v>
      </c>
      <c r="AA536" s="114" t="s">
        <v>9530</v>
      </c>
    </row>
    <row r="537" spans="1:28" ht="408" x14ac:dyDescent="0.2">
      <c r="A537" s="133" t="s">
        <v>2586</v>
      </c>
      <c r="B537" s="130">
        <v>77</v>
      </c>
      <c r="C537" s="130" t="s">
        <v>2587</v>
      </c>
      <c r="D537" s="130" t="s">
        <v>2588</v>
      </c>
      <c r="E537" s="131">
        <v>45926</v>
      </c>
      <c r="F537" s="131">
        <v>45954</v>
      </c>
      <c r="G537" s="132" t="s">
        <v>2589</v>
      </c>
      <c r="H537" s="132" t="s">
        <v>2589</v>
      </c>
      <c r="I537" s="132" t="s">
        <v>569</v>
      </c>
      <c r="J537" s="132" t="s">
        <v>2194</v>
      </c>
      <c r="K537" s="440" t="str">
        <f>HYPERLINK("https://okcountyrecords.com/detail/roger+mills/2025-006541","63e8b9a8d056433a9994fe46ca85076b.pdf | OKCountyRecords: 2025-006541")</f>
        <v>63e8b9a8d056433a9994fe46ca85076b.pdf | OKCountyRecords: 2025-006541</v>
      </c>
      <c r="L537" s="133" t="s">
        <v>1490</v>
      </c>
      <c r="M537" s="133" t="s">
        <v>1491</v>
      </c>
      <c r="N537" s="133"/>
      <c r="O537" s="133" t="s">
        <v>422</v>
      </c>
      <c r="P537" s="114" t="s">
        <v>8886</v>
      </c>
      <c r="Q537" s="114" t="s">
        <v>118</v>
      </c>
      <c r="R537" s="114" t="s">
        <v>89</v>
      </c>
      <c r="S537" s="114" t="s">
        <v>118</v>
      </c>
      <c r="T537" s="114" t="s">
        <v>89</v>
      </c>
      <c r="U537" s="114" t="s">
        <v>8896</v>
      </c>
      <c r="V537" s="114" t="s">
        <v>3386</v>
      </c>
      <c r="W537" s="114" t="s">
        <v>8864</v>
      </c>
      <c r="X537" s="114" t="s">
        <v>2701</v>
      </c>
      <c r="Y537" s="114" t="s">
        <v>8851</v>
      </c>
      <c r="Z537" s="114" t="s">
        <v>2701</v>
      </c>
      <c r="AA537" s="114" t="s">
        <v>9531</v>
      </c>
      <c r="AB537" s="114" t="s">
        <v>8888</v>
      </c>
    </row>
    <row r="538" spans="1:28" ht="60" x14ac:dyDescent="0.2">
      <c r="A538" s="133" t="s">
        <v>2590</v>
      </c>
      <c r="B538" s="130">
        <v>78</v>
      </c>
      <c r="C538" s="130" t="s">
        <v>2531</v>
      </c>
      <c r="D538" s="130" t="s">
        <v>2591</v>
      </c>
      <c r="E538" s="131">
        <v>45931</v>
      </c>
      <c r="F538" s="131">
        <v>45975</v>
      </c>
      <c r="G538" s="132" t="s">
        <v>2592</v>
      </c>
      <c r="H538" s="132" t="s">
        <v>2593</v>
      </c>
      <c r="I538" s="132" t="s">
        <v>569</v>
      </c>
      <c r="J538" s="132" t="s">
        <v>2594</v>
      </c>
      <c r="K538" s="440" t="str">
        <f>HYPERLINK("https://okcountyrecords.com/detail/roger+mills/2025-006987","63e8b9a8d056433a9994fe46ca85076b.pdf | OKCountyRecords: 2025-006987")</f>
        <v>63e8b9a8d056433a9994fe46ca85076b.pdf | OKCountyRecords: 2025-006987</v>
      </c>
      <c r="L538" s="133" t="s">
        <v>1490</v>
      </c>
      <c r="M538" s="133" t="s">
        <v>1491</v>
      </c>
      <c r="N538" s="133"/>
      <c r="O538" s="133" t="s">
        <v>422</v>
      </c>
      <c r="P538" s="114" t="s">
        <v>9195</v>
      </c>
      <c r="Q538" s="114" t="s">
        <v>89</v>
      </c>
      <c r="R538" s="114" t="s">
        <v>118</v>
      </c>
      <c r="S538" s="114" t="s">
        <v>2701</v>
      </c>
      <c r="T538" s="114" t="s">
        <v>118</v>
      </c>
      <c r="U538" s="114" t="s">
        <v>8896</v>
      </c>
      <c r="V538" s="114" t="s">
        <v>3386</v>
      </c>
      <c r="W538" s="114" t="s">
        <v>8864</v>
      </c>
      <c r="X538" s="114" t="s">
        <v>2701</v>
      </c>
      <c r="Y538" s="114" t="s">
        <v>8851</v>
      </c>
      <c r="Z538" s="114" t="s">
        <v>2701</v>
      </c>
      <c r="AA538" s="114" t="s">
        <v>9532</v>
      </c>
      <c r="AB538" s="114" t="s">
        <v>8888</v>
      </c>
    </row>
    <row r="539" spans="1:28" ht="48" x14ac:dyDescent="0.2">
      <c r="A539" s="133" t="s">
        <v>2595</v>
      </c>
      <c r="B539" s="130"/>
      <c r="C539" s="130" t="s">
        <v>619</v>
      </c>
      <c r="D539" s="130" t="s">
        <v>2596</v>
      </c>
      <c r="E539" s="131">
        <v>45971</v>
      </c>
      <c r="F539" s="131">
        <v>46062</v>
      </c>
      <c r="G539" s="132" t="s">
        <v>2597</v>
      </c>
      <c r="H539" s="132" t="s">
        <v>2598</v>
      </c>
      <c r="I539" s="132" t="s">
        <v>2599</v>
      </c>
      <c r="J539" s="132" t="s">
        <v>2600</v>
      </c>
      <c r="K539" s="440" t="str">
        <f>HYPERLINK("https://okcountyrecords.com/detail/roger+mills/2026-000691","OKCountyRecords: 2026-000691")</f>
        <v>OKCountyRecords: 2026-000691</v>
      </c>
      <c r="L539" s="133" t="s">
        <v>412</v>
      </c>
      <c r="M539" s="133" t="s">
        <v>405</v>
      </c>
      <c r="N539" s="133"/>
      <c r="O539" s="133" t="s">
        <v>422</v>
      </c>
      <c r="P539" s="114" t="s">
        <v>8934</v>
      </c>
      <c r="Q539" s="114" t="s">
        <v>118</v>
      </c>
      <c r="R539" s="114" t="s">
        <v>89</v>
      </c>
      <c r="S539" s="114" t="s">
        <v>118</v>
      </c>
      <c r="T539" s="114" t="s">
        <v>89</v>
      </c>
      <c r="U539" s="114" t="s">
        <v>8930</v>
      </c>
      <c r="V539" s="114" t="s">
        <v>2701</v>
      </c>
      <c r="W539" s="114" t="s">
        <v>8864</v>
      </c>
      <c r="X539" s="114" t="s">
        <v>8869</v>
      </c>
      <c r="Y539" s="114" t="s">
        <v>8857</v>
      </c>
      <c r="Z539" s="114" t="s">
        <v>8858</v>
      </c>
      <c r="AA539" s="114" t="s">
        <v>9533</v>
      </c>
      <c r="AB539" s="114" t="s">
        <v>8877</v>
      </c>
    </row>
    <row r="540" spans="1:28" ht="48" x14ac:dyDescent="0.2">
      <c r="A540" s="133" t="s">
        <v>2601</v>
      </c>
      <c r="B540" s="130">
        <v>98</v>
      </c>
      <c r="C540" s="130" t="s">
        <v>2531</v>
      </c>
      <c r="D540" s="130" t="s">
        <v>2602</v>
      </c>
      <c r="E540" s="131">
        <v>46023</v>
      </c>
      <c r="F540" s="131">
        <v>46146</v>
      </c>
      <c r="G540" s="132" t="s">
        <v>2603</v>
      </c>
      <c r="H540" s="132" t="s">
        <v>2604</v>
      </c>
      <c r="I540" s="132" t="s">
        <v>2605</v>
      </c>
      <c r="J540" s="132" t="s">
        <v>2606</v>
      </c>
      <c r="K540" s="440" t="str">
        <f>HYPERLINK("https://okcountyrecords.com/detail/roger+mills/2026-002547/35349405","OKCountyRecords: 2026-002547")</f>
        <v>OKCountyRecords: 2026-002547</v>
      </c>
      <c r="L540" s="133" t="s">
        <v>1501</v>
      </c>
      <c r="M540" s="133" t="s">
        <v>1491</v>
      </c>
      <c r="N540" s="133"/>
      <c r="O540" s="133" t="s">
        <v>422</v>
      </c>
      <c r="P540" s="114" t="s">
        <v>9195</v>
      </c>
      <c r="Q540" s="114" t="s">
        <v>89</v>
      </c>
      <c r="R540" s="114" t="s">
        <v>118</v>
      </c>
      <c r="S540" s="114" t="s">
        <v>2701</v>
      </c>
      <c r="T540" s="114" t="s">
        <v>118</v>
      </c>
      <c r="U540" s="114" t="s">
        <v>8901</v>
      </c>
      <c r="V540" s="114" t="s">
        <v>3072</v>
      </c>
      <c r="W540" s="114" t="s">
        <v>8906</v>
      </c>
      <c r="X540" s="114" t="s">
        <v>2701</v>
      </c>
      <c r="Y540" s="114" t="s">
        <v>8851</v>
      </c>
      <c r="Z540" s="114" t="s">
        <v>2701</v>
      </c>
      <c r="AA540" s="114" t="s">
        <v>9534</v>
      </c>
      <c r="AB540" s="114" t="s">
        <v>8853</v>
      </c>
    </row>
    <row r="541" spans="1:28" ht="72" x14ac:dyDescent="0.2">
      <c r="A541" s="133" t="s">
        <v>2607</v>
      </c>
      <c r="B541" s="130"/>
      <c r="C541" s="130" t="s">
        <v>2608</v>
      </c>
      <c r="D541" s="130" t="s">
        <v>2609</v>
      </c>
      <c r="E541" s="131">
        <v>46041</v>
      </c>
      <c r="F541" s="131">
        <v>46052</v>
      </c>
      <c r="G541" s="132" t="s">
        <v>2610</v>
      </c>
      <c r="H541" s="132" t="s">
        <v>102</v>
      </c>
      <c r="I541" s="132" t="s">
        <v>569</v>
      </c>
      <c r="J541" s="132" t="s">
        <v>9608</v>
      </c>
      <c r="K541" s="440" t="str">
        <f>HYPERLINK("https://okcountyrecords.com/detail/roger+mills/2026-000506","63e8b9a8d056433a9994fe46ca85076b.pdf | OKCountyRecords: 2026-000506")</f>
        <v>63e8b9a8d056433a9994fe46ca85076b.pdf | OKCountyRecords: 2026-000506</v>
      </c>
      <c r="L541" s="133" t="s">
        <v>1490</v>
      </c>
      <c r="M541" s="133" t="s">
        <v>467</v>
      </c>
      <c r="N541" s="133" t="s">
        <v>468</v>
      </c>
      <c r="O541" s="133" t="s">
        <v>422</v>
      </c>
      <c r="P541" s="114" t="s">
        <v>8886</v>
      </c>
      <c r="Q541" s="114" t="s">
        <v>118</v>
      </c>
      <c r="R541" s="114" t="s">
        <v>89</v>
      </c>
      <c r="S541" s="114" t="s">
        <v>118</v>
      </c>
      <c r="T541" s="114" t="s">
        <v>89</v>
      </c>
      <c r="U541" s="114" t="s">
        <v>8896</v>
      </c>
      <c r="V541" s="114" t="s">
        <v>3386</v>
      </c>
      <c r="W541" s="114" t="s">
        <v>8864</v>
      </c>
      <c r="X541" s="114" t="s">
        <v>2701</v>
      </c>
      <c r="Y541" s="114" t="s">
        <v>8851</v>
      </c>
      <c r="Z541" s="114" t="s">
        <v>2701</v>
      </c>
      <c r="AA541" s="114" t="s">
        <v>9535</v>
      </c>
      <c r="AB541" s="114" t="s">
        <v>8888</v>
      </c>
    </row>
    <row r="542" spans="1:28" ht="84" x14ac:dyDescent="0.2">
      <c r="A542" s="133" t="s">
        <v>2612</v>
      </c>
      <c r="B542" s="130">
        <v>66</v>
      </c>
      <c r="C542" s="130" t="s">
        <v>202</v>
      </c>
      <c r="D542" s="130" t="s">
        <v>390</v>
      </c>
      <c r="E542" s="131">
        <v>46064</v>
      </c>
      <c r="F542" s="131">
        <v>46170</v>
      </c>
      <c r="G542" s="132" t="s">
        <v>2613</v>
      </c>
      <c r="H542" s="132" t="s">
        <v>384</v>
      </c>
      <c r="I542" s="132" t="s">
        <v>2614</v>
      </c>
      <c r="J542" s="132" t="s">
        <v>9609</v>
      </c>
      <c r="K542" s="440" t="str">
        <f>HYPERLINK("https://okcountyrecords.com/detail/roger+mills/2026-003145/35404151","OKCountyRecords: 2026-003145")</f>
        <v>OKCountyRecords: 2026-003145</v>
      </c>
      <c r="L542" s="133" t="s">
        <v>1490</v>
      </c>
      <c r="M542" s="133" t="s">
        <v>1491</v>
      </c>
      <c r="N542" s="133"/>
      <c r="O542" s="133" t="s">
        <v>1492</v>
      </c>
      <c r="P542" s="114" t="s">
        <v>9209</v>
      </c>
      <c r="Q542" s="114" t="s">
        <v>89</v>
      </c>
      <c r="R542" s="114" t="s">
        <v>118</v>
      </c>
      <c r="S542" s="114" t="s">
        <v>89</v>
      </c>
      <c r="T542" s="114" t="s">
        <v>118</v>
      </c>
      <c r="U542" s="114" t="s">
        <v>9210</v>
      </c>
      <c r="V542" s="114" t="s">
        <v>2701</v>
      </c>
      <c r="W542" s="114" t="s">
        <v>8864</v>
      </c>
      <c r="X542" s="114" t="s">
        <v>2701</v>
      </c>
      <c r="Y542" s="114" t="s">
        <v>8851</v>
      </c>
      <c r="Z542" s="114" t="s">
        <v>2701</v>
      </c>
      <c r="AA542" s="114" t="s">
        <v>9536</v>
      </c>
      <c r="AB542" s="114" t="s">
        <v>9139</v>
      </c>
    </row>
    <row r="543" spans="1:28" ht="84" x14ac:dyDescent="0.2">
      <c r="A543" s="133" t="s">
        <v>2616</v>
      </c>
      <c r="B543" s="130">
        <v>67</v>
      </c>
      <c r="C543" s="130" t="s">
        <v>202</v>
      </c>
      <c r="D543" s="130" t="s">
        <v>393</v>
      </c>
      <c r="E543" s="131">
        <v>46070</v>
      </c>
      <c r="F543" s="131">
        <v>46143</v>
      </c>
      <c r="G543" s="132" t="s">
        <v>2619</v>
      </c>
      <c r="H543" s="132" t="s">
        <v>384</v>
      </c>
      <c r="I543" s="132" t="s">
        <v>2617</v>
      </c>
      <c r="J543" s="132" t="s">
        <v>9610</v>
      </c>
      <c r="K543" s="454" t="s">
        <v>2618</v>
      </c>
      <c r="L543" s="133" t="s">
        <v>1501</v>
      </c>
      <c r="M543" s="133" t="s">
        <v>1491</v>
      </c>
      <c r="N543" s="133"/>
      <c r="O543" s="133" t="s">
        <v>1492</v>
      </c>
      <c r="P543" s="114" t="s">
        <v>9209</v>
      </c>
      <c r="Q543" s="114" t="s">
        <v>89</v>
      </c>
      <c r="R543" s="114" t="s">
        <v>118</v>
      </c>
      <c r="S543" s="114" t="s">
        <v>89</v>
      </c>
      <c r="T543" s="114" t="s">
        <v>118</v>
      </c>
      <c r="U543" s="114" t="s">
        <v>8935</v>
      </c>
      <c r="V543" s="114" t="s">
        <v>2701</v>
      </c>
      <c r="W543" s="114" t="s">
        <v>8864</v>
      </c>
      <c r="X543" s="114" t="s">
        <v>2701</v>
      </c>
      <c r="Y543" s="114" t="s">
        <v>8851</v>
      </c>
      <c r="Z543" s="114" t="s">
        <v>2701</v>
      </c>
      <c r="AA543" s="114" t="s">
        <v>9537</v>
      </c>
      <c r="AB543" s="114" t="s">
        <v>9139</v>
      </c>
    </row>
    <row r="544" spans="1:28" ht="96" x14ac:dyDescent="0.2">
      <c r="A544" s="133" t="s">
        <v>2620</v>
      </c>
      <c r="B544" s="130">
        <v>68</v>
      </c>
      <c r="C544" s="130" t="s">
        <v>202</v>
      </c>
      <c r="D544" s="130" t="s">
        <v>395</v>
      </c>
      <c r="E544" s="131">
        <v>46076</v>
      </c>
      <c r="F544" s="131">
        <v>46122</v>
      </c>
      <c r="G544" s="132" t="s">
        <v>170</v>
      </c>
      <c r="H544" s="132" t="s">
        <v>384</v>
      </c>
      <c r="I544" s="132" t="s">
        <v>2617</v>
      </c>
      <c r="J544" s="132" t="s">
        <v>9611</v>
      </c>
      <c r="K544" s="440" t="str">
        <f>HYPERLINK("https://okcountyrecords.com/detail/roger+mills/2026-001952/35274563","OKCountyRecords: 2026-001952")</f>
        <v>OKCountyRecords: 2026-001952</v>
      </c>
      <c r="L544" s="133" t="s">
        <v>1501</v>
      </c>
      <c r="M544" s="133" t="s">
        <v>1491</v>
      </c>
      <c r="N544" s="133"/>
      <c r="O544" s="133" t="s">
        <v>1492</v>
      </c>
      <c r="P544" s="114" t="s">
        <v>9209</v>
      </c>
      <c r="Q544" s="114" t="s">
        <v>89</v>
      </c>
      <c r="R544" s="114" t="s">
        <v>118</v>
      </c>
      <c r="S544" s="114" t="s">
        <v>89</v>
      </c>
      <c r="T544" s="114" t="s">
        <v>118</v>
      </c>
      <c r="U544" s="114" t="s">
        <v>8935</v>
      </c>
      <c r="V544" s="114" t="s">
        <v>2701</v>
      </c>
      <c r="W544" s="114" t="s">
        <v>9679</v>
      </c>
      <c r="X544" s="114" t="s">
        <v>2701</v>
      </c>
      <c r="Y544" s="114" t="s">
        <v>8851</v>
      </c>
      <c r="Z544" s="114" t="s">
        <v>2701</v>
      </c>
      <c r="AA544" s="114" t="s">
        <v>9538</v>
      </c>
      <c r="AB544" s="114" t="s">
        <v>9139</v>
      </c>
    </row>
    <row r="545" spans="1:28" ht="84" x14ac:dyDescent="0.2">
      <c r="A545" s="133" t="s">
        <v>2622</v>
      </c>
      <c r="B545" s="130">
        <v>64</v>
      </c>
      <c r="C545" s="130" t="s">
        <v>202</v>
      </c>
      <c r="D545" s="130" t="s">
        <v>382</v>
      </c>
      <c r="E545" s="131">
        <v>46076</v>
      </c>
      <c r="F545" s="131">
        <v>46122</v>
      </c>
      <c r="G545" s="132" t="s">
        <v>2623</v>
      </c>
      <c r="H545" s="132" t="s">
        <v>197</v>
      </c>
      <c r="I545" s="132" t="s">
        <v>385</v>
      </c>
      <c r="J545" s="132" t="s">
        <v>9612</v>
      </c>
      <c r="K545" s="440" t="str">
        <f>HYPERLINK("https://okcountyrecords.com/detail/roger+mills/2026-001949/35274564","OKCountyRecords: 2026-001949")</f>
        <v>OKCountyRecords: 2026-001949</v>
      </c>
      <c r="L545" s="133" t="s">
        <v>1501</v>
      </c>
      <c r="M545" s="133" t="s">
        <v>1491</v>
      </c>
      <c r="N545" s="133"/>
      <c r="O545" s="133" t="s">
        <v>1492</v>
      </c>
      <c r="P545" s="114" t="s">
        <v>9209</v>
      </c>
      <c r="Q545" s="114" t="s">
        <v>89</v>
      </c>
      <c r="R545" s="114" t="s">
        <v>118</v>
      </c>
      <c r="S545" s="114" t="s">
        <v>89</v>
      </c>
      <c r="T545" s="114" t="s">
        <v>118</v>
      </c>
      <c r="U545" s="114" t="s">
        <v>9539</v>
      </c>
      <c r="V545" s="114" t="s">
        <v>2701</v>
      </c>
      <c r="W545" s="114" t="s">
        <v>8864</v>
      </c>
      <c r="X545" s="114" t="s">
        <v>2701</v>
      </c>
      <c r="Y545" s="114" t="s">
        <v>8851</v>
      </c>
      <c r="Z545" s="114" t="s">
        <v>2701</v>
      </c>
      <c r="AA545" s="114" t="s">
        <v>9540</v>
      </c>
      <c r="AB545" s="114" t="s">
        <v>9139</v>
      </c>
    </row>
    <row r="546" spans="1:28" ht="96" x14ac:dyDescent="0.2">
      <c r="A546" s="133" t="s">
        <v>2625</v>
      </c>
      <c r="B546" s="130">
        <v>69</v>
      </c>
      <c r="C546" s="130" t="s">
        <v>202</v>
      </c>
      <c r="D546" s="130" t="s">
        <v>397</v>
      </c>
      <c r="E546" s="131">
        <v>46080</v>
      </c>
      <c r="F546" s="131">
        <v>46122</v>
      </c>
      <c r="G546" s="132" t="s">
        <v>152</v>
      </c>
      <c r="H546" s="132" t="s">
        <v>384</v>
      </c>
      <c r="I546" s="132" t="s">
        <v>2617</v>
      </c>
      <c r="J546" s="132" t="s">
        <v>9611</v>
      </c>
      <c r="K546" s="440" t="str">
        <f>HYPERLINK("https://okcountyrecords.com/detail/roger+mills/2026-001951/35274565","OKCountyRecords: 2026-001951")</f>
        <v>OKCountyRecords: 2026-001951</v>
      </c>
      <c r="L546" s="133" t="s">
        <v>1501</v>
      </c>
      <c r="M546" s="133" t="s">
        <v>1491</v>
      </c>
      <c r="N546" s="133"/>
      <c r="O546" s="133" t="s">
        <v>1492</v>
      </c>
      <c r="P546" s="114" t="s">
        <v>9209</v>
      </c>
      <c r="Q546" s="114" t="s">
        <v>89</v>
      </c>
      <c r="R546" s="114" t="s">
        <v>118</v>
      </c>
      <c r="S546" s="114" t="s">
        <v>89</v>
      </c>
      <c r="T546" s="114" t="s">
        <v>118</v>
      </c>
      <c r="U546" s="114" t="s">
        <v>8935</v>
      </c>
      <c r="V546" s="114" t="s">
        <v>2701</v>
      </c>
      <c r="W546" s="114" t="s">
        <v>8864</v>
      </c>
      <c r="X546" s="114" t="s">
        <v>2701</v>
      </c>
      <c r="Y546" s="114" t="s">
        <v>8851</v>
      </c>
      <c r="Z546" s="114" t="s">
        <v>2701</v>
      </c>
      <c r="AA546" s="114" t="s">
        <v>9541</v>
      </c>
      <c r="AB546" s="114" t="s">
        <v>9139</v>
      </c>
    </row>
    <row r="547" spans="1:28" ht="48" x14ac:dyDescent="0.2">
      <c r="A547" s="133" t="s">
        <v>2626</v>
      </c>
      <c r="B547" s="130"/>
      <c r="C547" s="130" t="s">
        <v>619</v>
      </c>
      <c r="D547" s="130" t="s">
        <v>2627</v>
      </c>
      <c r="E547" s="131">
        <v>46084</v>
      </c>
      <c r="F547" s="131">
        <v>46092</v>
      </c>
      <c r="G547" s="132" t="s">
        <v>2598</v>
      </c>
      <c r="H547" s="132" t="s">
        <v>185</v>
      </c>
      <c r="I547" s="132" t="s">
        <v>2628</v>
      </c>
      <c r="J547" s="132" t="s">
        <v>2629</v>
      </c>
      <c r="K547" s="440" t="str">
        <f>HYPERLINK("https://okcountyrecords.com/detail/roger+mills/2026-001374","OKCountyRecords: 2026-001374")</f>
        <v>OKCountyRecords: 2026-001374</v>
      </c>
      <c r="L547" s="133" t="s">
        <v>412</v>
      </c>
      <c r="M547" s="133" t="s">
        <v>405</v>
      </c>
      <c r="N547" s="133" t="s">
        <v>2630</v>
      </c>
      <c r="O547" s="133" t="s">
        <v>422</v>
      </c>
      <c r="P547" s="114" t="s">
        <v>8934</v>
      </c>
      <c r="Q547" s="114" t="s">
        <v>118</v>
      </c>
      <c r="R547" s="114" t="s">
        <v>89</v>
      </c>
      <c r="S547" s="114" t="s">
        <v>118</v>
      </c>
      <c r="T547" s="114" t="s">
        <v>89</v>
      </c>
      <c r="U547" s="114" t="s">
        <v>9325</v>
      </c>
      <c r="V547" s="114" t="s">
        <v>2701</v>
      </c>
      <c r="W547" s="114" t="s">
        <v>8906</v>
      </c>
      <c r="X547" s="114" t="s">
        <v>8873</v>
      </c>
      <c r="Y547" s="114" t="s">
        <v>9542</v>
      </c>
      <c r="Z547" s="114" t="s">
        <v>8858</v>
      </c>
      <c r="AA547" s="114" t="s">
        <v>9543</v>
      </c>
      <c r="AB547" s="114" t="s">
        <v>8879</v>
      </c>
    </row>
    <row r="548" spans="1:28" ht="84" x14ac:dyDescent="0.2">
      <c r="A548" s="133" t="s">
        <v>2631</v>
      </c>
      <c r="B548" s="130"/>
      <c r="C548" s="130" t="s">
        <v>2010</v>
      </c>
      <c r="D548" s="130" t="s">
        <v>2632</v>
      </c>
      <c r="E548" s="131">
        <v>46106</v>
      </c>
      <c r="F548" s="131">
        <v>46143</v>
      </c>
      <c r="G548" s="132" t="s">
        <v>204</v>
      </c>
      <c r="H548" s="132" t="s">
        <v>2633</v>
      </c>
      <c r="I548" s="132" t="s">
        <v>569</v>
      </c>
      <c r="J548" s="132" t="s">
        <v>9613</v>
      </c>
      <c r="K548" s="440" t="str">
        <f>HYPERLINK("https://okcountyrecords.com/detail/roger+mills/2026-002509/35346709","OKCountyRecords: 2026-002509")</f>
        <v>OKCountyRecords: 2026-002509</v>
      </c>
      <c r="L548" s="133" t="s">
        <v>8722</v>
      </c>
      <c r="M548" s="133" t="s">
        <v>641</v>
      </c>
      <c r="N548" s="133" t="s">
        <v>8712</v>
      </c>
      <c r="O548" s="133" t="s">
        <v>422</v>
      </c>
      <c r="P548" s="114" t="s">
        <v>8886</v>
      </c>
      <c r="Q548" s="114" t="s">
        <v>118</v>
      </c>
      <c r="R548" s="114" t="s">
        <v>89</v>
      </c>
      <c r="S548" s="114" t="s">
        <v>118</v>
      </c>
      <c r="T548" s="114" t="s">
        <v>89</v>
      </c>
      <c r="U548" s="114" t="s">
        <v>8896</v>
      </c>
      <c r="V548" s="114" t="s">
        <v>3386</v>
      </c>
      <c r="W548" s="114" t="s">
        <v>8864</v>
      </c>
      <c r="X548" s="114" t="s">
        <v>2701</v>
      </c>
      <c r="Y548" s="114" t="s">
        <v>8857</v>
      </c>
      <c r="Z548" s="114" t="s">
        <v>8858</v>
      </c>
      <c r="AA548" s="114" t="s">
        <v>9544</v>
      </c>
      <c r="AB548" s="114" t="s">
        <v>8867</v>
      </c>
    </row>
    <row r="549" spans="1:28" ht="84" x14ac:dyDescent="0.2">
      <c r="A549" s="133" t="s">
        <v>2634</v>
      </c>
      <c r="B549" s="130">
        <v>65</v>
      </c>
      <c r="C549" s="130" t="s">
        <v>202</v>
      </c>
      <c r="D549" s="130" t="s">
        <v>387</v>
      </c>
      <c r="E549" s="131">
        <v>46112</v>
      </c>
      <c r="F549" s="131">
        <v>46143</v>
      </c>
      <c r="G549" s="132" t="s">
        <v>2635</v>
      </c>
      <c r="H549" s="132" t="s">
        <v>384</v>
      </c>
      <c r="I549" s="132" t="s">
        <v>2636</v>
      </c>
      <c r="J549" s="132" t="s">
        <v>9614</v>
      </c>
      <c r="K549" s="440" t="str">
        <f>HYPERLINK("https://okcountyrecords.com/detail/roger+mills/2026-002512/35346712","OKCountyRecords: 2026-002512")</f>
        <v>OKCountyRecords: 2026-002512</v>
      </c>
      <c r="L549" s="133" t="s">
        <v>1490</v>
      </c>
      <c r="M549" s="133" t="s">
        <v>1491</v>
      </c>
      <c r="N549" s="133"/>
      <c r="O549" s="133" t="s">
        <v>1492</v>
      </c>
      <c r="P549" s="114" t="s">
        <v>9209</v>
      </c>
      <c r="Q549" s="114" t="s">
        <v>89</v>
      </c>
      <c r="R549" s="114" t="s">
        <v>118</v>
      </c>
      <c r="S549" s="114" t="s">
        <v>89</v>
      </c>
      <c r="T549" s="114" t="s">
        <v>118</v>
      </c>
      <c r="U549" s="114" t="s">
        <v>9210</v>
      </c>
      <c r="V549" s="114" t="s">
        <v>2701</v>
      </c>
      <c r="W549" s="114" t="s">
        <v>8864</v>
      </c>
      <c r="X549" s="114" t="s">
        <v>2701</v>
      </c>
      <c r="Y549" s="114" t="s">
        <v>8851</v>
      </c>
      <c r="Z549" s="114" t="s">
        <v>2701</v>
      </c>
      <c r="AA549" s="114" t="s">
        <v>9545</v>
      </c>
      <c r="AB549" s="114" t="s">
        <v>9139</v>
      </c>
    </row>
    <row r="550" spans="1:28" ht="60" x14ac:dyDescent="0.2">
      <c r="A550" s="133" t="s">
        <v>2637</v>
      </c>
      <c r="B550" s="130">
        <v>80</v>
      </c>
      <c r="C550" s="130" t="s">
        <v>2638</v>
      </c>
      <c r="D550" s="130" t="s">
        <v>2639</v>
      </c>
      <c r="E550" s="131">
        <v>46113</v>
      </c>
      <c r="F550" s="131">
        <v>46119</v>
      </c>
      <c r="G550" s="132" t="s">
        <v>2640</v>
      </c>
      <c r="H550" s="132" t="s">
        <v>102</v>
      </c>
      <c r="I550" s="132" t="s">
        <v>569</v>
      </c>
      <c r="J550" s="132" t="s">
        <v>9615</v>
      </c>
      <c r="K550" s="440" t="str">
        <f>HYPERLINK("https://okcountyrecords.com/detail/roger+mills/2026-001845","OKCountyRecords: 2026-001845")</f>
        <v>OKCountyRecords: 2026-001845</v>
      </c>
      <c r="L550" s="133" t="s">
        <v>503</v>
      </c>
      <c r="M550" s="133" t="s">
        <v>467</v>
      </c>
      <c r="N550" s="133" t="s">
        <v>468</v>
      </c>
      <c r="O550" s="133" t="s">
        <v>422</v>
      </c>
      <c r="P550" s="114" t="s">
        <v>8886</v>
      </c>
      <c r="Q550" s="114" t="s">
        <v>118</v>
      </c>
      <c r="R550" s="114" t="s">
        <v>89</v>
      </c>
      <c r="S550" s="114" t="s">
        <v>118</v>
      </c>
      <c r="T550" s="114" t="s">
        <v>89</v>
      </c>
      <c r="U550" s="114" t="s">
        <v>8896</v>
      </c>
      <c r="V550" s="114" t="s">
        <v>3386</v>
      </c>
      <c r="W550" s="114" t="s">
        <v>8864</v>
      </c>
      <c r="X550" s="114" t="s">
        <v>2701</v>
      </c>
      <c r="Y550" s="114" t="s">
        <v>8851</v>
      </c>
      <c r="Z550" s="114" t="s">
        <v>2701</v>
      </c>
      <c r="AA550" s="114" t="s">
        <v>9546</v>
      </c>
      <c r="AB550" s="114" t="s">
        <v>8888</v>
      </c>
    </row>
    <row r="551" spans="1:28" ht="60" x14ac:dyDescent="0.2">
      <c r="A551" s="133" t="s">
        <v>2642</v>
      </c>
      <c r="B551" s="130">
        <v>79</v>
      </c>
      <c r="C551" s="130" t="s">
        <v>2643</v>
      </c>
      <c r="D551" s="130" t="s">
        <v>2644</v>
      </c>
      <c r="E551" s="131">
        <v>46113</v>
      </c>
      <c r="F551" s="131">
        <v>46119</v>
      </c>
      <c r="G551" s="132" t="s">
        <v>2640</v>
      </c>
      <c r="H551" s="132" t="s">
        <v>102</v>
      </c>
      <c r="I551" s="132" t="s">
        <v>569</v>
      </c>
      <c r="J551" s="132" t="s">
        <v>9616</v>
      </c>
      <c r="K551" s="440" t="str">
        <f>HYPERLINK("https://okcountyrecords.com/detail/roger+mills/2026-001844","OKCountyRecords: 2026-001844")</f>
        <v>OKCountyRecords: 2026-001844</v>
      </c>
      <c r="L551" s="133" t="s">
        <v>503</v>
      </c>
      <c r="M551" s="133" t="s">
        <v>467</v>
      </c>
      <c r="N551" s="133" t="s">
        <v>468</v>
      </c>
      <c r="O551" s="133" t="s">
        <v>422</v>
      </c>
      <c r="P551" s="114" t="s">
        <v>8886</v>
      </c>
      <c r="Q551" s="114" t="s">
        <v>118</v>
      </c>
      <c r="R551" s="114" t="s">
        <v>89</v>
      </c>
      <c r="S551" s="114" t="s">
        <v>118</v>
      </c>
      <c r="T551" s="114" t="s">
        <v>89</v>
      </c>
      <c r="U551" s="114" t="s">
        <v>8896</v>
      </c>
      <c r="V551" s="114" t="s">
        <v>3386</v>
      </c>
      <c r="W551" s="114" t="s">
        <v>8864</v>
      </c>
      <c r="X551" s="114" t="s">
        <v>2701</v>
      </c>
      <c r="Y551" s="114" t="s">
        <v>8851</v>
      </c>
      <c r="Z551" s="114" t="s">
        <v>2701</v>
      </c>
      <c r="AA551" s="114" t="s">
        <v>9547</v>
      </c>
      <c r="AB551" s="114" t="s">
        <v>8888</v>
      </c>
    </row>
    <row r="552" spans="1:28" ht="72" x14ac:dyDescent="0.2">
      <c r="A552" s="133" t="s">
        <v>2646</v>
      </c>
      <c r="B552" s="130">
        <v>85</v>
      </c>
      <c r="C552" s="130" t="s">
        <v>2134</v>
      </c>
      <c r="D552" s="130" t="s">
        <v>2647</v>
      </c>
      <c r="E552" s="131">
        <v>46125</v>
      </c>
      <c r="F552" s="131">
        <v>46143</v>
      </c>
      <c r="G552" s="132" t="s">
        <v>2648</v>
      </c>
      <c r="H552" s="132" t="s">
        <v>102</v>
      </c>
      <c r="I552" s="132" t="s">
        <v>2649</v>
      </c>
      <c r="J552" s="132" t="s">
        <v>8654</v>
      </c>
      <c r="K552" s="454" t="s">
        <v>2650</v>
      </c>
      <c r="L552" s="133" t="s">
        <v>466</v>
      </c>
      <c r="M552" s="133" t="s">
        <v>467</v>
      </c>
      <c r="N552" s="133" t="s">
        <v>504</v>
      </c>
      <c r="O552" s="133" t="s">
        <v>505</v>
      </c>
      <c r="P552" s="114" t="s">
        <v>8886</v>
      </c>
      <c r="Q552" s="114" t="s">
        <v>118</v>
      </c>
      <c r="R552" s="114" t="s">
        <v>89</v>
      </c>
      <c r="S552" s="114" t="s">
        <v>118</v>
      </c>
      <c r="T552" s="114" t="s">
        <v>89</v>
      </c>
      <c r="U552" s="114" t="s">
        <v>9548</v>
      </c>
      <c r="V552" s="114" t="s">
        <v>2701</v>
      </c>
      <c r="W552" s="114" t="s">
        <v>8864</v>
      </c>
      <c r="X552" s="114" t="s">
        <v>8869</v>
      </c>
      <c r="Y552" s="114" t="s">
        <v>8851</v>
      </c>
      <c r="Z552" s="114" t="s">
        <v>2701</v>
      </c>
      <c r="AA552" s="114" t="s">
        <v>9549</v>
      </c>
      <c r="AB552" s="114" t="s">
        <v>9139</v>
      </c>
    </row>
    <row r="553" spans="1:28" ht="96" x14ac:dyDescent="0.2">
      <c r="A553" s="133"/>
      <c r="B553" s="130"/>
      <c r="C553" s="130" t="s">
        <v>1062</v>
      </c>
      <c r="D553" s="130" t="s">
        <v>2651</v>
      </c>
      <c r="E553" s="131">
        <v>46147</v>
      </c>
      <c r="F553" s="131">
        <v>46160</v>
      </c>
      <c r="G553" s="132" t="s">
        <v>2652</v>
      </c>
      <c r="H553" s="132" t="s">
        <v>102</v>
      </c>
      <c r="I553" s="132" t="s">
        <v>2653</v>
      </c>
      <c r="J553" s="132" t="s">
        <v>8655</v>
      </c>
      <c r="K553" s="440" t="str">
        <f>HYPERLINK("https://okcountyrecords.com/search/roger%20mills","OKCountyRecords search: Change of Address 2700/0268")</f>
        <v>OKCountyRecords search: Change of Address 2700/0268</v>
      </c>
      <c r="L553" s="133" t="s">
        <v>2654</v>
      </c>
      <c r="M553" s="133" t="s">
        <v>467</v>
      </c>
      <c r="N553" s="133" t="s">
        <v>8730</v>
      </c>
      <c r="O553" s="133" t="s">
        <v>422</v>
      </c>
      <c r="P553" s="114" t="s">
        <v>8910</v>
      </c>
      <c r="Q553" s="114" t="s">
        <v>89</v>
      </c>
      <c r="R553" s="114" t="s">
        <v>89</v>
      </c>
      <c r="S553" s="114" t="s">
        <v>89</v>
      </c>
      <c r="T553" s="114" t="s">
        <v>89</v>
      </c>
      <c r="U553" s="114" t="s">
        <v>8911</v>
      </c>
      <c r="V553" s="114" t="s">
        <v>3072</v>
      </c>
      <c r="W553" s="114" t="s">
        <v>9680</v>
      </c>
      <c r="X553" s="114" t="s">
        <v>8869</v>
      </c>
      <c r="Y553" s="114" t="s">
        <v>8851</v>
      </c>
      <c r="Z553" s="114" t="s">
        <v>2701</v>
      </c>
      <c r="AA553" s="114" t="s">
        <v>9550</v>
      </c>
      <c r="AB553" s="114" t="s">
        <v>8867</v>
      </c>
    </row>
    <row r="554" spans="1:28" ht="84" x14ac:dyDescent="0.2">
      <c r="A554" s="133" t="s">
        <v>2656</v>
      </c>
      <c r="B554" s="130"/>
      <c r="C554" s="130" t="s">
        <v>2657</v>
      </c>
      <c r="D554" s="130" t="s">
        <v>2658</v>
      </c>
      <c r="E554" s="131">
        <v>46162</v>
      </c>
      <c r="F554" s="131">
        <v>46170</v>
      </c>
      <c r="G554" s="132" t="s">
        <v>204</v>
      </c>
      <c r="H554" s="132" t="s">
        <v>2659</v>
      </c>
      <c r="I554" s="132" t="s">
        <v>569</v>
      </c>
      <c r="J554" s="132" t="s">
        <v>63</v>
      </c>
      <c r="K554" s="440" t="str">
        <f>HYPERLINK("https://okcountyrecords.com/detail/roger+mills/2026-003142/35404150","OKCountyRecords: 2026-003142")</f>
        <v>OKCountyRecords: 2026-003142</v>
      </c>
      <c r="L554" s="133" t="s">
        <v>8722</v>
      </c>
      <c r="M554" s="133" t="s">
        <v>641</v>
      </c>
      <c r="N554" s="133" t="s">
        <v>8712</v>
      </c>
      <c r="O554" s="133" t="s">
        <v>422</v>
      </c>
      <c r="P554" s="114" t="s">
        <v>8886</v>
      </c>
      <c r="Q554" s="114" t="s">
        <v>118</v>
      </c>
      <c r="R554" s="114" t="s">
        <v>89</v>
      </c>
      <c r="S554" s="114" t="s">
        <v>118</v>
      </c>
      <c r="T554" s="114" t="s">
        <v>89</v>
      </c>
      <c r="U554" s="114" t="s">
        <v>8896</v>
      </c>
      <c r="V554" s="114" t="s">
        <v>3386</v>
      </c>
      <c r="W554" s="114" t="s">
        <v>8864</v>
      </c>
      <c r="X554" s="114" t="s">
        <v>2701</v>
      </c>
      <c r="Y554" s="114" t="s">
        <v>8857</v>
      </c>
      <c r="Z554" s="114" t="s">
        <v>8858</v>
      </c>
      <c r="AA554" s="114" t="s">
        <v>9551</v>
      </c>
      <c r="AB554" s="114" t="s">
        <v>8867</v>
      </c>
    </row>
    <row r="555" spans="1:28" ht="84" x14ac:dyDescent="0.2">
      <c r="A555" s="133" t="s">
        <v>2660</v>
      </c>
      <c r="B555" s="130"/>
      <c r="C555" s="130" t="s">
        <v>2657</v>
      </c>
      <c r="D555" s="130" t="s">
        <v>2661</v>
      </c>
      <c r="E555" s="131">
        <v>46162</v>
      </c>
      <c r="F555" s="131">
        <v>46170</v>
      </c>
      <c r="G555" s="132" t="s">
        <v>204</v>
      </c>
      <c r="H555" s="132" t="s">
        <v>2662</v>
      </c>
      <c r="I555" s="132" t="s">
        <v>569</v>
      </c>
      <c r="J555" s="132" t="s">
        <v>63</v>
      </c>
      <c r="K555" s="454" t="str">
        <f>HYPERLINK("https://okcountyrecords.com/detail/roger+mills/2026-003143/35404149","OKCountyRecords: 2026-003143")</f>
        <v>OKCountyRecords: 2026-003143</v>
      </c>
      <c r="L555" s="133" t="s">
        <v>8722</v>
      </c>
      <c r="M555" s="133" t="s">
        <v>641</v>
      </c>
      <c r="N555" s="133" t="s">
        <v>8712</v>
      </c>
      <c r="O555" s="133" t="s">
        <v>422</v>
      </c>
      <c r="P555" s="114" t="s">
        <v>8886</v>
      </c>
      <c r="Q555" s="114" t="s">
        <v>118</v>
      </c>
      <c r="R555" s="114" t="s">
        <v>89</v>
      </c>
      <c r="S555" s="114" t="s">
        <v>118</v>
      </c>
      <c r="T555" s="114" t="s">
        <v>89</v>
      </c>
      <c r="U555" s="114" t="s">
        <v>8896</v>
      </c>
      <c r="V555" s="114" t="s">
        <v>3386</v>
      </c>
      <c r="W555" s="114" t="s">
        <v>8864</v>
      </c>
      <c r="X555" s="114" t="s">
        <v>2701</v>
      </c>
      <c r="Y555" s="114" t="s">
        <v>8857</v>
      </c>
      <c r="Z555" s="114" t="s">
        <v>8858</v>
      </c>
      <c r="AA555" s="114" t="s">
        <v>9552</v>
      </c>
      <c r="AB555" s="114" t="s">
        <v>8867</v>
      </c>
    </row>
    <row r="556" spans="1:28" ht="60" x14ac:dyDescent="0.2">
      <c r="A556" s="133" t="s">
        <v>2663</v>
      </c>
      <c r="B556" s="130"/>
      <c r="C556" s="130" t="s">
        <v>2134</v>
      </c>
      <c r="D556" s="130" t="s">
        <v>2664</v>
      </c>
      <c r="E556" s="131">
        <v>46170</v>
      </c>
      <c r="F556" s="131">
        <v>46170</v>
      </c>
      <c r="G556" s="132" t="s">
        <v>2665</v>
      </c>
      <c r="H556" s="132" t="s">
        <v>102</v>
      </c>
      <c r="I556" s="132" t="s">
        <v>2666</v>
      </c>
      <c r="J556" s="132" t="s">
        <v>8656</v>
      </c>
      <c r="K556" s="440" t="str">
        <f>HYPERLINK("https://okcountyrecords.com/detail/roger+mills/2026-003144/35404152","OKCountyRecords: 2026-003144")</f>
        <v>OKCountyRecords: 2026-003144</v>
      </c>
      <c r="L556" s="133" t="s">
        <v>503</v>
      </c>
      <c r="M556" s="133" t="s">
        <v>467</v>
      </c>
      <c r="N556" s="133" t="s">
        <v>504</v>
      </c>
      <c r="O556" s="133" t="s">
        <v>422</v>
      </c>
      <c r="P556" s="114" t="s">
        <v>8886</v>
      </c>
      <c r="Q556" s="114" t="s">
        <v>118</v>
      </c>
      <c r="R556" s="114" t="s">
        <v>89</v>
      </c>
      <c r="S556" s="114" t="s">
        <v>118</v>
      </c>
      <c r="T556" s="114" t="s">
        <v>89</v>
      </c>
      <c r="U556" s="114" t="s">
        <v>9210</v>
      </c>
      <c r="V556" s="114" t="s">
        <v>2701</v>
      </c>
      <c r="W556" s="114" t="s">
        <v>8864</v>
      </c>
      <c r="X556" s="114" t="s">
        <v>2701</v>
      </c>
      <c r="Y556" s="114" t="s">
        <v>8851</v>
      </c>
      <c r="Z556" s="114" t="s">
        <v>2701</v>
      </c>
      <c r="AA556" s="114" t="s">
        <v>9553</v>
      </c>
      <c r="AB556" s="114" t="s">
        <v>9139</v>
      </c>
    </row>
    <row r="557" spans="1:28" ht="84" x14ac:dyDescent="0.2">
      <c r="A557" s="133" t="s">
        <v>2667</v>
      </c>
      <c r="B557" s="130"/>
      <c r="C557" s="130" t="s">
        <v>2668</v>
      </c>
      <c r="D557" s="130" t="s">
        <v>143</v>
      </c>
      <c r="E557" s="131">
        <v>46175</v>
      </c>
      <c r="F557" s="131">
        <v>46178</v>
      </c>
      <c r="G557" s="132" t="s">
        <v>2669</v>
      </c>
      <c r="H557" s="132" t="s">
        <v>8657</v>
      </c>
      <c r="I557" s="132" t="s">
        <v>1280</v>
      </c>
      <c r="J557" s="132" t="s">
        <v>63</v>
      </c>
      <c r="K557" s="440" t="str">
        <f>HYPERLINK("https://okcountyrecords.com/detail/roger+mills/2026-003315/35464678","OKCountyRecords: 2026-003315")</f>
        <v>OKCountyRecords: 2026-003315</v>
      </c>
      <c r="L557" s="133" t="s">
        <v>412</v>
      </c>
      <c r="M557" s="133" t="s">
        <v>2670</v>
      </c>
      <c r="N557" s="133" t="s">
        <v>2671</v>
      </c>
      <c r="O557" s="133" t="s">
        <v>422</v>
      </c>
      <c r="P557" s="114" t="s">
        <v>8886</v>
      </c>
      <c r="Q557" s="114" t="s">
        <v>118</v>
      </c>
      <c r="R557" s="114" t="s">
        <v>89</v>
      </c>
      <c r="S557" s="114" t="s">
        <v>118</v>
      </c>
      <c r="T557" s="114" t="s">
        <v>89</v>
      </c>
      <c r="U557" s="114" t="s">
        <v>8862</v>
      </c>
      <c r="V557" s="114" t="s">
        <v>3072</v>
      </c>
      <c r="W557" s="114" t="s">
        <v>8864</v>
      </c>
      <c r="X557" s="114" t="s">
        <v>8865</v>
      </c>
      <c r="Y557" s="114" t="s">
        <v>8857</v>
      </c>
      <c r="Z557" s="114" t="s">
        <v>8858</v>
      </c>
      <c r="AA557" s="114" t="s">
        <v>9554</v>
      </c>
      <c r="AB557" s="114" t="s">
        <v>8867</v>
      </c>
    </row>
    <row r="558" spans="1:28" ht="60" x14ac:dyDescent="0.2">
      <c r="A558" s="133" t="s">
        <v>2672</v>
      </c>
      <c r="B558" s="130"/>
      <c r="C558" s="130" t="s">
        <v>756</v>
      </c>
      <c r="D558" s="130" t="s">
        <v>2673</v>
      </c>
      <c r="E558" s="131"/>
      <c r="F558" s="131">
        <v>18321</v>
      </c>
      <c r="G558" s="132" t="s">
        <v>2674</v>
      </c>
      <c r="H558" s="132" t="s">
        <v>2675</v>
      </c>
      <c r="I558" s="132" t="s">
        <v>231</v>
      </c>
      <c r="J558" s="132" t="s">
        <v>760</v>
      </c>
      <c r="K558" s="440" t="str">
        <f>HYPERLINK("https://okcountyrecords.com/detail/roger+mills/1950-001326","OKCountyRecords: 1950-001326")</f>
        <v>OKCountyRecords: 1950-001326</v>
      </c>
      <c r="L558" s="133" t="s">
        <v>503</v>
      </c>
      <c r="M558" s="133"/>
      <c r="N558" s="133"/>
      <c r="O558" s="133" t="s">
        <v>526</v>
      </c>
      <c r="P558" s="114" t="s">
        <v>8903</v>
      </c>
      <c r="Q558" s="114" t="s">
        <v>2701</v>
      </c>
      <c r="R558" s="114" t="s">
        <v>2701</v>
      </c>
      <c r="S558" s="114" t="s">
        <v>2701</v>
      </c>
      <c r="T558" s="114" t="s">
        <v>2701</v>
      </c>
      <c r="U558" s="114" t="s">
        <v>8896</v>
      </c>
      <c r="V558" s="114" t="s">
        <v>3386</v>
      </c>
      <c r="W558" s="114" t="s">
        <v>8906</v>
      </c>
      <c r="X558" s="114" t="s">
        <v>2701</v>
      </c>
      <c r="Y558" s="114" t="s">
        <v>8851</v>
      </c>
      <c r="Z558" s="114" t="s">
        <v>2701</v>
      </c>
      <c r="AA558" s="114" t="s">
        <v>9555</v>
      </c>
      <c r="AB558" s="114" t="s">
        <v>8908</v>
      </c>
    </row>
    <row r="559" spans="1:28" ht="60" x14ac:dyDescent="0.2">
      <c r="A559" s="133" t="s">
        <v>2676</v>
      </c>
      <c r="B559" s="130"/>
      <c r="C559" s="130" t="s">
        <v>756</v>
      </c>
      <c r="D559" s="130" t="s">
        <v>2677</v>
      </c>
      <c r="E559" s="131"/>
      <c r="F559" s="131">
        <v>6902</v>
      </c>
      <c r="G559" s="132" t="s">
        <v>2678</v>
      </c>
      <c r="H559" s="132" t="s">
        <v>484</v>
      </c>
      <c r="I559" s="132" t="s">
        <v>231</v>
      </c>
      <c r="J559" s="132" t="s">
        <v>760</v>
      </c>
      <c r="K559" s="440" t="str">
        <f>HYPERLINK("https://okcountyrecords.com/detail/roger+mills/1918-001215","OKCountyRecords: 1918-001215")</f>
        <v>OKCountyRecords: 1918-001215</v>
      </c>
      <c r="L559" s="133" t="s">
        <v>503</v>
      </c>
      <c r="M559" s="133"/>
      <c r="N559" s="133"/>
      <c r="O559" s="133" t="s">
        <v>526</v>
      </c>
      <c r="P559" s="114" t="s">
        <v>8903</v>
      </c>
      <c r="Q559" s="114" t="s">
        <v>2701</v>
      </c>
      <c r="R559" s="114" t="s">
        <v>2701</v>
      </c>
      <c r="S559" s="114" t="s">
        <v>2701</v>
      </c>
      <c r="T559" s="114" t="s">
        <v>2701</v>
      </c>
      <c r="U559" s="114" t="s">
        <v>8896</v>
      </c>
      <c r="V559" s="114" t="s">
        <v>3386</v>
      </c>
      <c r="W559" s="114" t="s">
        <v>8864</v>
      </c>
      <c r="X559" s="114" t="s">
        <v>2701</v>
      </c>
      <c r="Y559" s="114" t="s">
        <v>8851</v>
      </c>
      <c r="Z559" s="114" t="s">
        <v>2701</v>
      </c>
      <c r="AA559" s="114" t="s">
        <v>9556</v>
      </c>
      <c r="AB559" s="114" t="s">
        <v>8905</v>
      </c>
    </row>
    <row r="560" spans="1:28" ht="60" x14ac:dyDescent="0.2">
      <c r="A560" s="133" t="s">
        <v>2679</v>
      </c>
      <c r="B560" s="130"/>
      <c r="C560" s="130" t="s">
        <v>756</v>
      </c>
      <c r="D560" s="130" t="s">
        <v>2680</v>
      </c>
      <c r="E560" s="131"/>
      <c r="F560" s="131">
        <v>11139</v>
      </c>
      <c r="G560" s="132" t="s">
        <v>2681</v>
      </c>
      <c r="H560" s="132" t="s">
        <v>102</v>
      </c>
      <c r="I560" s="132" t="s">
        <v>530</v>
      </c>
      <c r="J560" s="132" t="s">
        <v>760</v>
      </c>
      <c r="K560" s="440" t="str">
        <f>HYPERLINK("https://okcountyrecords.com/detail/roger+mills/1930-001678","OKCountyRecords: 1930-001678")</f>
        <v>OKCountyRecords: 1930-001678</v>
      </c>
      <c r="L560" s="133" t="s">
        <v>503</v>
      </c>
      <c r="M560" s="133" t="s">
        <v>467</v>
      </c>
      <c r="N560" s="133" t="s">
        <v>504</v>
      </c>
      <c r="O560" s="133" t="s">
        <v>422</v>
      </c>
      <c r="P560" s="114" t="s">
        <v>8903</v>
      </c>
      <c r="Q560" s="114" t="s">
        <v>2701</v>
      </c>
      <c r="R560" s="114" t="s">
        <v>2701</v>
      </c>
      <c r="S560" s="114" t="s">
        <v>2701</v>
      </c>
      <c r="T560" s="114" t="s">
        <v>2701</v>
      </c>
      <c r="U560" s="114" t="s">
        <v>8896</v>
      </c>
      <c r="V560" s="114" t="s">
        <v>3386</v>
      </c>
      <c r="W560" s="114" t="s">
        <v>8864</v>
      </c>
      <c r="X560" s="114" t="s">
        <v>2701</v>
      </c>
      <c r="Y560" s="114" t="s">
        <v>8851</v>
      </c>
      <c r="Z560" s="114" t="s">
        <v>2701</v>
      </c>
      <c r="AA560" s="114" t="s">
        <v>9557</v>
      </c>
      <c r="AB560" s="114" t="s">
        <v>8905</v>
      </c>
    </row>
    <row r="561" spans="1:28" ht="60" x14ac:dyDescent="0.2">
      <c r="A561" s="133" t="s">
        <v>2682</v>
      </c>
      <c r="B561" s="130"/>
      <c r="C561" s="130" t="s">
        <v>756</v>
      </c>
      <c r="D561" s="130" t="s">
        <v>2683</v>
      </c>
      <c r="E561" s="131"/>
      <c r="F561" s="131">
        <v>11164</v>
      </c>
      <c r="G561" s="132" t="s">
        <v>524</v>
      </c>
      <c r="H561" s="132" t="s">
        <v>102</v>
      </c>
      <c r="I561" s="132" t="s">
        <v>530</v>
      </c>
      <c r="J561" s="132" t="s">
        <v>2684</v>
      </c>
      <c r="K561" s="440" t="str">
        <f>HYPERLINK("https://okcountyrecords.com/detail/roger+mills/1930-001681","OKCountyRecords: 1930-001681")</f>
        <v>OKCountyRecords: 1930-001681</v>
      </c>
      <c r="L561" s="133" t="s">
        <v>503</v>
      </c>
      <c r="M561" s="133" t="s">
        <v>467</v>
      </c>
      <c r="N561" s="133" t="s">
        <v>504</v>
      </c>
      <c r="O561" s="133" t="s">
        <v>422</v>
      </c>
      <c r="P561" s="114" t="s">
        <v>8903</v>
      </c>
      <c r="Q561" s="114" t="s">
        <v>2701</v>
      </c>
      <c r="R561" s="114" t="s">
        <v>2701</v>
      </c>
      <c r="S561" s="114" t="s">
        <v>2701</v>
      </c>
      <c r="T561" s="114" t="s">
        <v>2701</v>
      </c>
      <c r="U561" s="114" t="s">
        <v>8896</v>
      </c>
      <c r="V561" s="114" t="s">
        <v>3386</v>
      </c>
      <c r="W561" s="114" t="s">
        <v>8906</v>
      </c>
      <c r="X561" s="114" t="s">
        <v>2701</v>
      </c>
      <c r="Y561" s="114" t="s">
        <v>8851</v>
      </c>
      <c r="Z561" s="114" t="s">
        <v>2701</v>
      </c>
      <c r="AA561" s="114" t="s">
        <v>9558</v>
      </c>
      <c r="AB561" s="114" t="s">
        <v>8908</v>
      </c>
    </row>
    <row r="562" spans="1:28" ht="60" x14ac:dyDescent="0.2">
      <c r="A562" s="133" t="s">
        <v>2685</v>
      </c>
      <c r="B562" s="130"/>
      <c r="C562" s="130" t="s">
        <v>756</v>
      </c>
      <c r="D562" s="130" t="s">
        <v>2686</v>
      </c>
      <c r="E562" s="131"/>
      <c r="F562" s="131">
        <v>21696</v>
      </c>
      <c r="G562" s="132" t="s">
        <v>2687</v>
      </c>
      <c r="H562" s="132" t="s">
        <v>102</v>
      </c>
      <c r="I562" s="132" t="s">
        <v>530</v>
      </c>
      <c r="J562" s="132" t="s">
        <v>760</v>
      </c>
      <c r="K562" s="440" t="str">
        <f>HYPERLINK("https://okcountyrecords.com/detail/roger+mills/1959-001270","OKCountyRecords: 1959-001270")</f>
        <v>OKCountyRecords: 1959-001270</v>
      </c>
      <c r="L562" s="133" t="s">
        <v>503</v>
      </c>
      <c r="M562" s="133" t="s">
        <v>467</v>
      </c>
      <c r="N562" s="133" t="s">
        <v>504</v>
      </c>
      <c r="O562" s="133" t="s">
        <v>422</v>
      </c>
      <c r="P562" s="114" t="s">
        <v>8903</v>
      </c>
      <c r="Q562" s="114" t="s">
        <v>2701</v>
      </c>
      <c r="R562" s="114" t="s">
        <v>2701</v>
      </c>
      <c r="S562" s="114" t="s">
        <v>2701</v>
      </c>
      <c r="T562" s="114" t="s">
        <v>2701</v>
      </c>
      <c r="U562" s="114" t="s">
        <v>8896</v>
      </c>
      <c r="V562" s="114" t="s">
        <v>3386</v>
      </c>
      <c r="W562" s="114" t="s">
        <v>8864</v>
      </c>
      <c r="X562" s="114" t="s">
        <v>2701</v>
      </c>
      <c r="Y562" s="114" t="s">
        <v>8851</v>
      </c>
      <c r="Z562" s="114" t="s">
        <v>2701</v>
      </c>
      <c r="AA562" s="114" t="s">
        <v>9559</v>
      </c>
      <c r="AB562" s="114" t="s">
        <v>8905</v>
      </c>
    </row>
    <row r="563" spans="1:28" ht="48" x14ac:dyDescent="0.2">
      <c r="A563" s="133" t="s">
        <v>2688</v>
      </c>
      <c r="B563" s="130"/>
      <c r="C563" s="130" t="s">
        <v>2689</v>
      </c>
      <c r="D563" s="130" t="s">
        <v>2690</v>
      </c>
      <c r="E563" s="131"/>
      <c r="F563" s="131"/>
      <c r="G563" s="132"/>
      <c r="H563" s="132"/>
      <c r="I563" s="132" t="s">
        <v>8834</v>
      </c>
      <c r="J563" s="132" t="s">
        <v>2692</v>
      </c>
      <c r="K563" s="455" t="s">
        <v>2693</v>
      </c>
      <c r="L563" s="133" t="s">
        <v>8708</v>
      </c>
      <c r="M563" s="133" t="s">
        <v>8709</v>
      </c>
      <c r="N563" s="133" t="s">
        <v>2694</v>
      </c>
      <c r="O563" s="133" t="s">
        <v>428</v>
      </c>
      <c r="P563" s="114" t="s">
        <v>8903</v>
      </c>
      <c r="Q563" s="114" t="s">
        <v>2701</v>
      </c>
      <c r="R563" s="114" t="s">
        <v>2701</v>
      </c>
      <c r="S563" s="114" t="s">
        <v>2701</v>
      </c>
      <c r="T563" s="114" t="s">
        <v>2701</v>
      </c>
      <c r="U563" s="114" t="s">
        <v>8881</v>
      </c>
      <c r="V563" s="114" t="s">
        <v>3072</v>
      </c>
      <c r="W563" s="114" t="s">
        <v>8864</v>
      </c>
      <c r="X563" s="114" t="s">
        <v>2701</v>
      </c>
      <c r="Y563" s="114" t="s">
        <v>8851</v>
      </c>
      <c r="Z563" s="114" t="s">
        <v>2701</v>
      </c>
      <c r="AA563" s="114" t="s">
        <v>9560</v>
      </c>
      <c r="AB563" s="114" t="s">
        <v>8905</v>
      </c>
    </row>
    <row r="564" spans="1:28" ht="48" x14ac:dyDescent="0.2">
      <c r="A564" s="133" t="s">
        <v>2695</v>
      </c>
      <c r="B564" s="130"/>
      <c r="C564" s="130" t="s">
        <v>2689</v>
      </c>
      <c r="D564" s="130" t="s">
        <v>2696</v>
      </c>
      <c r="E564" s="131"/>
      <c r="F564" s="131"/>
      <c r="G564" s="132"/>
      <c r="H564" s="132"/>
      <c r="I564" s="132" t="s">
        <v>8834</v>
      </c>
      <c r="J564" s="132" t="s">
        <v>2697</v>
      </c>
      <c r="K564" s="455" t="s">
        <v>2698</v>
      </c>
      <c r="L564" s="133" t="s">
        <v>8708</v>
      </c>
      <c r="M564" s="133" t="s">
        <v>8709</v>
      </c>
      <c r="N564" s="133" t="s">
        <v>2699</v>
      </c>
      <c r="O564" s="133" t="s">
        <v>428</v>
      </c>
      <c r="P564" s="114" t="s">
        <v>8903</v>
      </c>
      <c r="Q564" s="114" t="s">
        <v>2701</v>
      </c>
      <c r="R564" s="114" t="s">
        <v>2701</v>
      </c>
      <c r="S564" s="114" t="s">
        <v>2701</v>
      </c>
      <c r="T564" s="114" t="s">
        <v>2701</v>
      </c>
      <c r="U564" s="114" t="s">
        <v>8881</v>
      </c>
      <c r="V564" s="114" t="s">
        <v>3072</v>
      </c>
      <c r="W564" s="114" t="s">
        <v>8864</v>
      </c>
      <c r="X564" s="114" t="s">
        <v>2701</v>
      </c>
      <c r="Y564" s="114" t="s">
        <v>8851</v>
      </c>
      <c r="Z564" s="114" t="s">
        <v>2701</v>
      </c>
      <c r="AA564" s="114" t="s">
        <v>9561</v>
      </c>
      <c r="AB564" s="114" t="s">
        <v>8905</v>
      </c>
    </row>
    <row r="565" spans="1:28" x14ac:dyDescent="0.2">
      <c r="A565" s="133"/>
      <c r="B565" s="130"/>
      <c r="C565" s="130"/>
      <c r="D565" s="130"/>
      <c r="E565" s="131"/>
      <c r="F565" s="131"/>
      <c r="G565" s="132"/>
      <c r="H565" s="132"/>
      <c r="I565" s="132"/>
      <c r="J565" s="132"/>
      <c r="K565" s="372"/>
      <c r="L565" s="133"/>
      <c r="M565" s="133"/>
      <c r="N565" s="133"/>
      <c r="O565" s="133"/>
    </row>
    <row r="566" spans="1:28" x14ac:dyDescent="0.2">
      <c r="K566" s="294"/>
    </row>
  </sheetData>
  <conditionalFormatting sqref="K2:K123 K125:K564">
    <cfRule type="expression" dxfId="2" priority="3">
      <formula>#REF!="Mineral"</formula>
    </cfRule>
  </conditionalFormatting>
  <hyperlinks>
    <hyperlink ref="K491" r:id="rId1" display="https://okcountyrecords.com/detail/roger+mills/2026-003315/35464678" xr:uid="{15D9129C-9AE9-4A1B-94B0-0204DC134C3C}"/>
    <hyperlink ref="K524" r:id="rId2" display="https://okcountyrecords.com/detail/roger+mills/2026-003315/35464678" xr:uid="{1D3C58D3-6797-4F4A-A211-5F57C22F0A51}"/>
    <hyperlink ref="K543" r:id="rId3" xr:uid="{2A3C4CF5-1E2F-4DEA-87EA-0E23E6A2DFE9}"/>
    <hyperlink ref="K552" r:id="rId4" xr:uid="{8ADB4F19-E062-49A9-8804-10D6B555B883}"/>
    <hyperlink ref="K553" r:id="rId5" display="https://okcountyrecords.com/detail/roger+mills/2026-003315/35464678" xr:uid="{F6C64B6A-84D2-4DC6-BFBA-DEFE049E8227}"/>
    <hyperlink ref="K95" r:id="rId6" xr:uid="{F30FF7CB-94CD-4F47-AE4F-AAE6387D777D}"/>
    <hyperlink ref="K395" r:id="rId7" xr:uid="{E9CF5E1B-4753-4D23-86C2-D53AF214731C}"/>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N12" sqref="N12"/>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48" style="16" bestFit="1" customWidth="1"/>
    <col min="5" max="5" width="10.5703125" style="15" bestFit="1" customWidth="1"/>
    <col min="6" max="6" width="6.85546875" style="13" customWidth="1"/>
    <col min="7" max="12" width="13" style="13" customWidth="1"/>
    <col min="13" max="188" width="13" style="95" customWidth="1"/>
    <col min="189" max="189" width="3" style="14" customWidth="1"/>
    <col min="190" max="16384" width="14.42578125" style="13"/>
  </cols>
  <sheetData>
    <row r="1" spans="1:188" ht="13.5" thickBot="1" x14ac:dyDescent="0.25">
      <c r="E1" s="551" t="s">
        <v>82</v>
      </c>
      <c r="F1" s="551"/>
      <c r="G1" s="63"/>
      <c r="H1" s="115" t="s">
        <v>116</v>
      </c>
      <c r="I1" s="115" t="s">
        <v>2689</v>
      </c>
      <c r="J1" s="115" t="s">
        <v>2689</v>
      </c>
      <c r="K1" s="116" t="s">
        <v>8622</v>
      </c>
      <c r="L1" s="116" t="s">
        <v>8622</v>
      </c>
      <c r="M1" s="116" t="s">
        <v>8622</v>
      </c>
      <c r="N1" s="116" t="s">
        <v>8622</v>
      </c>
      <c r="O1" s="116" t="s">
        <v>8623</v>
      </c>
      <c r="P1" s="116" t="s">
        <v>112</v>
      </c>
      <c r="Q1" s="116" t="s">
        <v>107</v>
      </c>
      <c r="R1" s="116" t="s">
        <v>112</v>
      </c>
      <c r="S1" s="116" t="s">
        <v>8625</v>
      </c>
      <c r="T1" s="116" t="s">
        <v>8625</v>
      </c>
      <c r="U1" s="116" t="s">
        <v>107</v>
      </c>
      <c r="V1" s="116" t="s">
        <v>107</v>
      </c>
      <c r="W1" s="116" t="s">
        <v>8623</v>
      </c>
      <c r="X1" s="116" t="s">
        <v>64</v>
      </c>
      <c r="Y1" s="116" t="s">
        <v>8622</v>
      </c>
      <c r="Z1" s="116" t="s">
        <v>64</v>
      </c>
      <c r="AA1" s="116" t="s">
        <v>8623</v>
      </c>
      <c r="AB1" s="116" t="s">
        <v>64</v>
      </c>
      <c r="AC1" s="116" t="s">
        <v>109</v>
      </c>
      <c r="AD1" s="116" t="s">
        <v>109</v>
      </c>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row>
    <row r="2" spans="1:188" s="62" customFormat="1" ht="12.75" customHeight="1" thickTop="1" x14ac:dyDescent="0.25">
      <c r="A2" s="552" t="s">
        <v>20</v>
      </c>
      <c r="B2" s="555" t="s">
        <v>21</v>
      </c>
      <c r="C2" s="556"/>
      <c r="D2" s="557" t="s">
        <v>2713</v>
      </c>
      <c r="E2" s="560" t="s">
        <v>22</v>
      </c>
      <c r="F2" s="561"/>
      <c r="G2" s="63"/>
      <c r="H2" s="117" t="s">
        <v>456</v>
      </c>
      <c r="I2" s="117" t="s">
        <v>2688</v>
      </c>
      <c r="J2" s="117" t="s">
        <v>2695</v>
      </c>
      <c r="K2" s="117" t="s">
        <v>473</v>
      </c>
      <c r="L2" s="117" t="s">
        <v>486</v>
      </c>
      <c r="M2" s="118" t="s">
        <v>490</v>
      </c>
      <c r="N2" s="118" t="s">
        <v>510</v>
      </c>
      <c r="O2" s="118" t="s">
        <v>549</v>
      </c>
      <c r="P2" s="118" t="s">
        <v>554</v>
      </c>
      <c r="Q2" s="118" t="s">
        <v>562</v>
      </c>
      <c r="R2" s="118" t="s">
        <v>571</v>
      </c>
      <c r="S2" s="118" t="s">
        <v>2711</v>
      </c>
      <c r="T2" s="118" t="s">
        <v>2711</v>
      </c>
      <c r="U2" s="118" t="s">
        <v>596</v>
      </c>
      <c r="V2" s="118" t="s">
        <v>627</v>
      </c>
      <c r="W2" s="118" t="s">
        <v>672</v>
      </c>
      <c r="X2" s="118" t="s">
        <v>772</v>
      </c>
      <c r="Y2" s="118" t="s">
        <v>972</v>
      </c>
      <c r="Z2" s="118" t="s">
        <v>1218</v>
      </c>
      <c r="AA2" s="118" t="s">
        <v>2195</v>
      </c>
      <c r="AB2" s="118" t="s">
        <v>2550</v>
      </c>
      <c r="AC2" s="118" t="s">
        <v>2631</v>
      </c>
      <c r="AD2" s="118" t="s">
        <v>2656</v>
      </c>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row>
    <row r="3" spans="1:188" s="62" customFormat="1" ht="23.1" customHeight="1" x14ac:dyDescent="0.2">
      <c r="A3" s="553"/>
      <c r="B3" s="562" t="s">
        <v>23</v>
      </c>
      <c r="C3" s="563"/>
      <c r="D3" s="558"/>
      <c r="E3" s="564" t="s">
        <v>24</v>
      </c>
      <c r="F3" s="565"/>
      <c r="G3" s="63"/>
      <c r="H3" s="6" t="s">
        <v>457</v>
      </c>
      <c r="I3" s="6" t="s">
        <v>2690</v>
      </c>
      <c r="J3" s="6" t="s">
        <v>2696</v>
      </c>
      <c r="K3" s="6" t="s">
        <v>474</v>
      </c>
      <c r="L3" s="4" t="s">
        <v>487</v>
      </c>
      <c r="M3" s="119" t="s">
        <v>491</v>
      </c>
      <c r="N3" s="6" t="s">
        <v>511</v>
      </c>
      <c r="O3" s="5" t="s">
        <v>551</v>
      </c>
      <c r="P3" s="6" t="s">
        <v>555</v>
      </c>
      <c r="Q3" s="6" t="s">
        <v>563</v>
      </c>
      <c r="R3" s="6" t="s">
        <v>572</v>
      </c>
      <c r="S3" s="6" t="s">
        <v>2712</v>
      </c>
      <c r="T3" s="6" t="s">
        <v>2712</v>
      </c>
      <c r="U3" s="6" t="s">
        <v>597</v>
      </c>
      <c r="V3" s="6" t="s">
        <v>628</v>
      </c>
      <c r="W3" s="6" t="s">
        <v>674</v>
      </c>
      <c r="X3" s="6" t="s">
        <v>773</v>
      </c>
      <c r="Y3" s="6" t="s">
        <v>974</v>
      </c>
      <c r="Z3" s="6" t="s">
        <v>1219</v>
      </c>
      <c r="AA3" s="6" t="s">
        <v>2197</v>
      </c>
      <c r="AB3" s="6" t="s">
        <v>2551</v>
      </c>
      <c r="AC3" s="6" t="s">
        <v>2632</v>
      </c>
      <c r="AD3" s="6" t="s">
        <v>2658</v>
      </c>
      <c r="AE3" s="6"/>
      <c r="AF3" s="6"/>
      <c r="AG3" s="6"/>
      <c r="AH3" s="6"/>
      <c r="AI3" s="6"/>
      <c r="AJ3" s="6"/>
      <c r="AK3" s="6"/>
      <c r="AL3" s="6"/>
      <c r="AM3" s="118"/>
      <c r="AN3" s="118"/>
      <c r="AO3" s="6"/>
      <c r="AP3" s="6"/>
      <c r="AQ3" s="118"/>
      <c r="AR3" s="5"/>
      <c r="AS3" s="6"/>
      <c r="AT3" s="6"/>
      <c r="AU3" s="6"/>
      <c r="AV3" s="6"/>
      <c r="AW3" s="6"/>
      <c r="AX3" s="6"/>
      <c r="AY3" s="6"/>
      <c r="AZ3" s="6"/>
      <c r="BA3" s="118"/>
      <c r="BB3" s="118"/>
      <c r="BC3" s="118"/>
      <c r="BD3" s="5"/>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96"/>
      <c r="FZ3" s="96"/>
      <c r="GA3" s="96"/>
      <c r="GB3" s="96"/>
      <c r="GC3" s="96"/>
      <c r="GD3" s="96"/>
      <c r="GE3" s="96"/>
      <c r="GF3" s="96"/>
    </row>
    <row r="4" spans="1:188" s="62" customFormat="1" ht="12.75" customHeight="1" x14ac:dyDescent="0.2">
      <c r="A4" s="553"/>
      <c r="B4" s="566"/>
      <c r="C4" s="567"/>
      <c r="D4" s="559"/>
      <c r="E4" s="568" t="s">
        <v>25</v>
      </c>
      <c r="F4" s="569"/>
      <c r="G4" s="60"/>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20">
        <v>30767</v>
      </c>
      <c r="Y4" s="120">
        <v>31833</v>
      </c>
      <c r="Z4" s="5">
        <v>33056</v>
      </c>
      <c r="AA4" s="5">
        <v>36524</v>
      </c>
      <c r="AB4" s="5">
        <v>38468</v>
      </c>
      <c r="AC4" s="5">
        <v>38700</v>
      </c>
      <c r="AD4" s="5">
        <v>38757</v>
      </c>
      <c r="AE4" s="5"/>
      <c r="AF4" s="5"/>
      <c r="AG4" s="5"/>
      <c r="AH4" s="5"/>
      <c r="AI4" s="5"/>
      <c r="AJ4" s="5"/>
      <c r="AK4" s="5"/>
      <c r="AL4" s="5"/>
      <c r="AM4" s="120"/>
      <c r="AN4" s="120"/>
      <c r="AO4" s="5"/>
      <c r="AP4" s="5"/>
      <c r="AQ4" s="120"/>
      <c r="AR4" s="5"/>
      <c r="AS4" s="5"/>
      <c r="AT4" s="5"/>
      <c r="AU4" s="5"/>
      <c r="AV4" s="5"/>
      <c r="AW4" s="5"/>
      <c r="AX4" s="5"/>
      <c r="AY4" s="5"/>
      <c r="AZ4" s="5"/>
      <c r="BA4" s="120"/>
      <c r="BB4" s="120"/>
      <c r="BC4" s="120"/>
      <c r="BD4" s="5"/>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row>
    <row r="5" spans="1:188" s="57" customFormat="1" ht="27.75" customHeight="1" x14ac:dyDescent="0.2">
      <c r="A5" s="553"/>
      <c r="B5" s="570" t="s">
        <v>26</v>
      </c>
      <c r="C5" s="571"/>
      <c r="D5" s="65">
        <v>80</v>
      </c>
      <c r="E5" s="539" t="s">
        <v>27</v>
      </c>
      <c r="F5" s="540"/>
      <c r="G5" s="60"/>
      <c r="H5" s="117" t="s">
        <v>63</v>
      </c>
      <c r="I5" s="117" t="s">
        <v>63</v>
      </c>
      <c r="J5" s="117" t="s">
        <v>63</v>
      </c>
      <c r="K5" s="117" t="s">
        <v>63</v>
      </c>
      <c r="L5" s="117" t="s">
        <v>63</v>
      </c>
      <c r="M5" s="118" t="s">
        <v>63</v>
      </c>
      <c r="N5" s="118" t="s">
        <v>123</v>
      </c>
      <c r="O5" s="118" t="s">
        <v>63</v>
      </c>
      <c r="P5" s="118" t="s">
        <v>63</v>
      </c>
      <c r="Q5" s="118" t="s">
        <v>63</v>
      </c>
      <c r="R5" s="118" t="s">
        <v>63</v>
      </c>
      <c r="S5" s="118" t="s">
        <v>63</v>
      </c>
      <c r="T5" s="118" t="s">
        <v>63</v>
      </c>
      <c r="U5" s="118" t="s">
        <v>63</v>
      </c>
      <c r="V5" s="118" t="s">
        <v>63</v>
      </c>
      <c r="W5" s="118" t="s">
        <v>123</v>
      </c>
      <c r="X5" s="118" t="s">
        <v>123</v>
      </c>
      <c r="Y5" s="118" t="s">
        <v>63</v>
      </c>
      <c r="Z5" s="118" t="s">
        <v>63</v>
      </c>
      <c r="AA5" s="118" t="s">
        <v>63</v>
      </c>
      <c r="AB5" s="118" t="s">
        <v>63</v>
      </c>
      <c r="AC5" s="118" t="s">
        <v>63</v>
      </c>
      <c r="AD5" s="118" t="s">
        <v>63</v>
      </c>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96"/>
      <c r="FZ5" s="96"/>
      <c r="GA5" s="96"/>
      <c r="GB5" s="96"/>
      <c r="GC5" s="96"/>
      <c r="GD5" s="96"/>
      <c r="GE5" s="96"/>
      <c r="GF5" s="96"/>
    </row>
    <row r="6" spans="1:188" s="55" customFormat="1" ht="14.25" customHeight="1" thickBot="1" x14ac:dyDescent="0.25">
      <c r="A6" s="554"/>
      <c r="B6" s="541" t="s">
        <v>28</v>
      </c>
      <c r="C6" s="544">
        <v>80</v>
      </c>
      <c r="D6" s="546" t="s">
        <v>8</v>
      </c>
      <c r="E6" s="544">
        <f>SUBTOTAL(9,E9:E205)</f>
        <v>1</v>
      </c>
      <c r="F6" s="548" t="s">
        <v>29</v>
      </c>
      <c r="G6" s="64"/>
      <c r="H6" s="64"/>
      <c r="I6" s="64" t="str">
        <f>IF(I7=0,"","RECHECK")</f>
        <v/>
      </c>
      <c r="J6" s="64"/>
      <c r="K6" s="64"/>
      <c r="L6" s="64"/>
      <c r="M6" s="98" t="str">
        <f t="shared" ref="M6:R6" si="0">IF(M7=0,"","RECHECK")</f>
        <v/>
      </c>
      <c r="N6" s="98" t="str">
        <f t="shared" si="0"/>
        <v/>
      </c>
      <c r="O6" s="98" t="str">
        <f t="shared" si="0"/>
        <v/>
      </c>
      <c r="P6" s="98" t="str">
        <f t="shared" si="0"/>
        <v/>
      </c>
      <c r="Q6" s="98" t="str">
        <f t="shared" si="0"/>
        <v/>
      </c>
      <c r="R6" s="98" t="str">
        <f t="shared" si="0"/>
        <v/>
      </c>
      <c r="S6" s="98"/>
      <c r="T6" s="98" t="str">
        <f t="shared" ref="T6:CR6" si="1">IF(T7=0,"","RECHECK")</f>
        <v/>
      </c>
      <c r="U6" s="98" t="str">
        <f t="shared" si="1"/>
        <v/>
      </c>
      <c r="V6" s="98" t="str">
        <f>IF(V7=0,"","RECHECK")</f>
        <v/>
      </c>
      <c r="W6" s="98" t="str">
        <f t="shared" si="1"/>
        <v/>
      </c>
      <c r="X6" s="98" t="str">
        <f t="shared" si="1"/>
        <v/>
      </c>
      <c r="Y6" s="98" t="str">
        <f t="shared" si="1"/>
        <v/>
      </c>
      <c r="Z6" s="98" t="str">
        <f t="shared" si="1"/>
        <v/>
      </c>
      <c r="AA6" s="98" t="str">
        <f t="shared" si="1"/>
        <v/>
      </c>
      <c r="AB6" s="98" t="str">
        <f t="shared" si="1"/>
        <v/>
      </c>
      <c r="AC6" s="98" t="str">
        <f t="shared" si="1"/>
        <v/>
      </c>
      <c r="AD6" s="98" t="str">
        <f t="shared" si="1"/>
        <v/>
      </c>
      <c r="AE6" s="98" t="str">
        <f t="shared" si="1"/>
        <v/>
      </c>
      <c r="AF6" s="98" t="str">
        <f t="shared" si="1"/>
        <v/>
      </c>
      <c r="AG6" s="98" t="str">
        <f t="shared" si="1"/>
        <v/>
      </c>
      <c r="AH6" s="98" t="str">
        <f t="shared" si="1"/>
        <v/>
      </c>
      <c r="AI6" s="98" t="str">
        <f t="shared" si="1"/>
        <v/>
      </c>
      <c r="AJ6" s="98" t="str">
        <f t="shared" si="1"/>
        <v/>
      </c>
      <c r="AK6" s="98" t="str">
        <f t="shared" si="1"/>
        <v/>
      </c>
      <c r="AL6" s="98" t="str">
        <f t="shared" si="1"/>
        <v/>
      </c>
      <c r="AM6" s="98" t="str">
        <f>IF(AM7=0,"","RECHECK")</f>
        <v/>
      </c>
      <c r="AN6" s="98" t="str">
        <f>IF(AN7=0,"","RECHECK")</f>
        <v/>
      </c>
      <c r="AO6" s="98"/>
      <c r="AP6" s="98"/>
      <c r="AQ6" s="98"/>
      <c r="AR6" s="98" t="str">
        <f t="shared" si="1"/>
        <v/>
      </c>
      <c r="AS6" s="98" t="str">
        <f>IF(AS7=0,"","RECHECK")</f>
        <v/>
      </c>
      <c r="AT6" s="98" t="str">
        <f t="shared" si="1"/>
        <v/>
      </c>
      <c r="AU6" s="98" t="str">
        <f t="shared" si="1"/>
        <v/>
      </c>
      <c r="AV6" s="98"/>
      <c r="AW6" s="98"/>
      <c r="AX6" s="98" t="str">
        <f t="shared" ref="AX6:AZ6" si="2">IF(AX7=0,"","RECHECK")</f>
        <v/>
      </c>
      <c r="AY6" s="98" t="str">
        <f t="shared" si="2"/>
        <v/>
      </c>
      <c r="AZ6" s="98" t="str">
        <f t="shared" si="2"/>
        <v/>
      </c>
      <c r="BA6" s="98" t="str">
        <f t="shared" si="1"/>
        <v/>
      </c>
      <c r="BB6" s="98" t="str">
        <f t="shared" si="1"/>
        <v/>
      </c>
      <c r="BC6" s="98" t="str">
        <f t="shared" si="1"/>
        <v/>
      </c>
      <c r="BD6" s="98" t="str">
        <f t="shared" si="1"/>
        <v/>
      </c>
      <c r="BE6" s="98" t="str">
        <f t="shared" si="1"/>
        <v/>
      </c>
      <c r="BF6" s="98" t="str">
        <f t="shared" si="1"/>
        <v/>
      </c>
      <c r="BG6" s="98" t="str">
        <f t="shared" si="1"/>
        <v/>
      </c>
      <c r="BH6" s="98" t="str">
        <f t="shared" si="1"/>
        <v/>
      </c>
      <c r="BI6" s="98" t="str">
        <f t="shared" si="1"/>
        <v/>
      </c>
      <c r="BJ6" s="98" t="str">
        <f t="shared" si="1"/>
        <v/>
      </c>
      <c r="BK6" s="98" t="str">
        <f t="shared" si="1"/>
        <v/>
      </c>
      <c r="BL6" s="98" t="str">
        <f t="shared" si="1"/>
        <v/>
      </c>
      <c r="BM6" s="98" t="str">
        <f t="shared" si="1"/>
        <v/>
      </c>
      <c r="BN6" s="98" t="str">
        <f t="shared" si="1"/>
        <v/>
      </c>
      <c r="BO6" s="98" t="str">
        <f t="shared" si="1"/>
        <v/>
      </c>
      <c r="BP6" s="98" t="str">
        <f t="shared" si="1"/>
        <v/>
      </c>
      <c r="BQ6" s="98" t="str">
        <f t="shared" si="1"/>
        <v/>
      </c>
      <c r="BR6" s="98" t="str">
        <f t="shared" si="1"/>
        <v/>
      </c>
      <c r="BS6" s="98" t="str">
        <f t="shared" si="1"/>
        <v/>
      </c>
      <c r="BT6" s="98" t="str">
        <f t="shared" si="1"/>
        <v/>
      </c>
      <c r="BU6" s="98" t="str">
        <f t="shared" si="1"/>
        <v/>
      </c>
      <c r="BV6" s="98" t="str">
        <f t="shared" si="1"/>
        <v/>
      </c>
      <c r="BW6" s="98" t="str">
        <f t="shared" si="1"/>
        <v/>
      </c>
      <c r="BX6" s="98" t="str">
        <f t="shared" si="1"/>
        <v/>
      </c>
      <c r="BY6" s="98" t="str">
        <f t="shared" si="1"/>
        <v/>
      </c>
      <c r="BZ6" s="98" t="str">
        <f t="shared" si="1"/>
        <v/>
      </c>
      <c r="CA6" s="98" t="str">
        <f t="shared" si="1"/>
        <v/>
      </c>
      <c r="CB6" s="98" t="str">
        <f t="shared" si="1"/>
        <v/>
      </c>
      <c r="CC6" s="98" t="str">
        <f t="shared" si="1"/>
        <v/>
      </c>
      <c r="CD6" s="98" t="str">
        <f t="shared" si="1"/>
        <v/>
      </c>
      <c r="CE6" s="98" t="str">
        <f t="shared" si="1"/>
        <v/>
      </c>
      <c r="CF6" s="98" t="str">
        <f t="shared" si="1"/>
        <v/>
      </c>
      <c r="CG6" s="98" t="str">
        <f t="shared" si="1"/>
        <v/>
      </c>
      <c r="CH6" s="98" t="str">
        <f t="shared" si="1"/>
        <v/>
      </c>
      <c r="CI6" s="98" t="str">
        <f t="shared" si="1"/>
        <v/>
      </c>
      <c r="CJ6" s="98" t="str">
        <f t="shared" si="1"/>
        <v/>
      </c>
      <c r="CK6" s="98" t="str">
        <f t="shared" si="1"/>
        <v/>
      </c>
      <c r="CL6" s="98" t="str">
        <f t="shared" si="1"/>
        <v/>
      </c>
      <c r="CM6" s="98" t="str">
        <f t="shared" si="1"/>
        <v/>
      </c>
      <c r="CN6" s="98" t="str">
        <f t="shared" si="1"/>
        <v/>
      </c>
      <c r="CO6" s="98" t="str">
        <f t="shared" si="1"/>
        <v/>
      </c>
      <c r="CP6" s="98" t="str">
        <f t="shared" si="1"/>
        <v/>
      </c>
      <c r="CQ6" s="98" t="str">
        <f t="shared" si="1"/>
        <v/>
      </c>
      <c r="CR6" s="98" t="str">
        <f t="shared" si="1"/>
        <v/>
      </c>
      <c r="CS6" s="98" t="str">
        <f t="shared" ref="CS6:FD6" si="3">IF(CS7=0,"","RECHECK")</f>
        <v/>
      </c>
      <c r="CT6" s="98" t="str">
        <f t="shared" si="3"/>
        <v/>
      </c>
      <c r="CU6" s="98" t="str">
        <f t="shared" si="3"/>
        <v/>
      </c>
      <c r="CV6" s="98" t="str">
        <f t="shared" si="3"/>
        <v/>
      </c>
      <c r="CW6" s="98" t="str">
        <f t="shared" si="3"/>
        <v/>
      </c>
      <c r="CX6" s="98" t="str">
        <f t="shared" si="3"/>
        <v/>
      </c>
      <c r="CY6" s="98" t="str">
        <f t="shared" si="3"/>
        <v/>
      </c>
      <c r="CZ6" s="98" t="str">
        <f t="shared" si="3"/>
        <v/>
      </c>
      <c r="DA6" s="98" t="str">
        <f t="shared" si="3"/>
        <v/>
      </c>
      <c r="DB6" s="98" t="str">
        <f t="shared" si="3"/>
        <v/>
      </c>
      <c r="DC6" s="98" t="str">
        <f t="shared" si="3"/>
        <v/>
      </c>
      <c r="DD6" s="98" t="str">
        <f t="shared" si="3"/>
        <v/>
      </c>
      <c r="DE6" s="98" t="str">
        <f t="shared" si="3"/>
        <v/>
      </c>
      <c r="DF6" s="98" t="str">
        <f t="shared" si="3"/>
        <v/>
      </c>
      <c r="DG6" s="98" t="str">
        <f t="shared" si="3"/>
        <v/>
      </c>
      <c r="DH6" s="98" t="str">
        <f t="shared" si="3"/>
        <v/>
      </c>
      <c r="DI6" s="98" t="str">
        <f t="shared" si="3"/>
        <v/>
      </c>
      <c r="DJ6" s="98" t="str">
        <f t="shared" si="3"/>
        <v/>
      </c>
      <c r="DK6" s="98" t="str">
        <f t="shared" si="3"/>
        <v/>
      </c>
      <c r="DL6" s="98" t="str">
        <f t="shared" si="3"/>
        <v/>
      </c>
      <c r="DM6" s="98" t="str">
        <f t="shared" si="3"/>
        <v/>
      </c>
      <c r="DN6" s="98" t="str">
        <f t="shared" si="3"/>
        <v/>
      </c>
      <c r="DO6" s="98" t="str">
        <f t="shared" si="3"/>
        <v/>
      </c>
      <c r="DP6" s="98" t="str">
        <f t="shared" si="3"/>
        <v/>
      </c>
      <c r="DQ6" s="98" t="str">
        <f t="shared" si="3"/>
        <v/>
      </c>
      <c r="DR6" s="98" t="str">
        <f t="shared" si="3"/>
        <v/>
      </c>
      <c r="DS6" s="98" t="str">
        <f t="shared" si="3"/>
        <v/>
      </c>
      <c r="DT6" s="98" t="str">
        <f t="shared" si="3"/>
        <v/>
      </c>
      <c r="DU6" s="98" t="str">
        <f t="shared" si="3"/>
        <v/>
      </c>
      <c r="DV6" s="98" t="str">
        <f t="shared" si="3"/>
        <v/>
      </c>
      <c r="DW6" s="98" t="str">
        <f t="shared" si="3"/>
        <v/>
      </c>
      <c r="DX6" s="98" t="str">
        <f t="shared" si="3"/>
        <v/>
      </c>
      <c r="DY6" s="98" t="str">
        <f t="shared" si="3"/>
        <v/>
      </c>
      <c r="DZ6" s="98" t="str">
        <f t="shared" si="3"/>
        <v/>
      </c>
      <c r="EA6" s="98" t="str">
        <f t="shared" si="3"/>
        <v/>
      </c>
      <c r="EB6" s="98" t="str">
        <f t="shared" si="3"/>
        <v/>
      </c>
      <c r="EC6" s="98" t="str">
        <f t="shared" si="3"/>
        <v/>
      </c>
      <c r="ED6" s="98" t="str">
        <f t="shared" si="3"/>
        <v/>
      </c>
      <c r="EE6" s="98" t="str">
        <f t="shared" si="3"/>
        <v/>
      </c>
      <c r="EF6" s="98" t="str">
        <f t="shared" si="3"/>
        <v/>
      </c>
      <c r="EG6" s="98" t="str">
        <f t="shared" si="3"/>
        <v/>
      </c>
      <c r="EH6" s="98" t="str">
        <f t="shared" si="3"/>
        <v/>
      </c>
      <c r="EI6" s="98" t="str">
        <f t="shared" si="3"/>
        <v/>
      </c>
      <c r="EJ6" s="98" t="str">
        <f t="shared" si="3"/>
        <v/>
      </c>
      <c r="EK6" s="98" t="str">
        <f t="shared" si="3"/>
        <v/>
      </c>
      <c r="EL6" s="98" t="str">
        <f t="shared" si="3"/>
        <v/>
      </c>
      <c r="EM6" s="98" t="str">
        <f t="shared" si="3"/>
        <v/>
      </c>
      <c r="EN6" s="98" t="str">
        <f t="shared" si="3"/>
        <v/>
      </c>
      <c r="EO6" s="98" t="str">
        <f t="shared" si="3"/>
        <v/>
      </c>
      <c r="EP6" s="98" t="str">
        <f t="shared" si="3"/>
        <v/>
      </c>
      <c r="EQ6" s="98" t="str">
        <f t="shared" si="3"/>
        <v/>
      </c>
      <c r="ER6" s="98" t="str">
        <f t="shared" si="3"/>
        <v/>
      </c>
      <c r="ES6" s="98" t="str">
        <f t="shared" si="3"/>
        <v/>
      </c>
      <c r="ET6" s="98" t="str">
        <f t="shared" si="3"/>
        <v/>
      </c>
      <c r="EU6" s="98" t="str">
        <f t="shared" si="3"/>
        <v/>
      </c>
      <c r="EV6" s="98" t="str">
        <f t="shared" si="3"/>
        <v/>
      </c>
      <c r="EW6" s="98" t="str">
        <f t="shared" si="3"/>
        <v/>
      </c>
      <c r="EX6" s="98" t="str">
        <f t="shared" si="3"/>
        <v/>
      </c>
      <c r="EY6" s="98" t="str">
        <f t="shared" si="3"/>
        <v/>
      </c>
      <c r="EZ6" s="98" t="str">
        <f t="shared" si="3"/>
        <v/>
      </c>
      <c r="FA6" s="98" t="str">
        <f t="shared" si="3"/>
        <v/>
      </c>
      <c r="FB6" s="98" t="str">
        <f t="shared" si="3"/>
        <v/>
      </c>
      <c r="FC6" s="98" t="str">
        <f t="shared" si="3"/>
        <v/>
      </c>
      <c r="FD6" s="98" t="str">
        <f t="shared" si="3"/>
        <v/>
      </c>
      <c r="FE6" s="98" t="str">
        <f t="shared" ref="FE6:GF6" si="4">IF(FE7=0,"","RECHECK")</f>
        <v/>
      </c>
      <c r="FF6" s="98" t="str">
        <f t="shared" si="4"/>
        <v/>
      </c>
      <c r="FG6" s="98" t="str">
        <f t="shared" si="4"/>
        <v/>
      </c>
      <c r="FH6" s="98" t="str">
        <f t="shared" si="4"/>
        <v/>
      </c>
      <c r="FI6" s="98" t="str">
        <f t="shared" si="4"/>
        <v/>
      </c>
      <c r="FJ6" s="98" t="str">
        <f t="shared" si="4"/>
        <v/>
      </c>
      <c r="FK6" s="98" t="str">
        <f t="shared" si="4"/>
        <v/>
      </c>
      <c r="FL6" s="98" t="str">
        <f t="shared" si="4"/>
        <v/>
      </c>
      <c r="FM6" s="98" t="str">
        <f t="shared" si="4"/>
        <v/>
      </c>
      <c r="FN6" s="98" t="str">
        <f t="shared" si="4"/>
        <v/>
      </c>
      <c r="FO6" s="98" t="str">
        <f t="shared" si="4"/>
        <v/>
      </c>
      <c r="FP6" s="98" t="str">
        <f t="shared" si="4"/>
        <v/>
      </c>
      <c r="FQ6" s="98" t="str">
        <f t="shared" si="4"/>
        <v/>
      </c>
      <c r="FR6" s="98" t="str">
        <f t="shared" si="4"/>
        <v/>
      </c>
      <c r="FS6" s="98" t="str">
        <f t="shared" si="4"/>
        <v/>
      </c>
      <c r="FT6" s="98" t="str">
        <f t="shared" si="4"/>
        <v/>
      </c>
      <c r="FU6" s="98" t="str">
        <f t="shared" si="4"/>
        <v/>
      </c>
      <c r="FV6" s="98" t="str">
        <f t="shared" si="4"/>
        <v/>
      </c>
      <c r="FW6" s="98" t="str">
        <f t="shared" si="4"/>
        <v/>
      </c>
      <c r="FX6" s="98" t="str">
        <f t="shared" si="4"/>
        <v/>
      </c>
      <c r="FY6" s="98" t="str">
        <f t="shared" si="4"/>
        <v/>
      </c>
      <c r="FZ6" s="98" t="str">
        <f t="shared" si="4"/>
        <v/>
      </c>
      <c r="GA6" s="98" t="str">
        <f t="shared" si="4"/>
        <v/>
      </c>
      <c r="GB6" s="98" t="str">
        <f t="shared" si="4"/>
        <v/>
      </c>
      <c r="GC6" s="98" t="str">
        <f t="shared" si="4"/>
        <v/>
      </c>
      <c r="GD6" s="98" t="str">
        <f t="shared" si="4"/>
        <v/>
      </c>
      <c r="GE6" s="98" t="str">
        <f t="shared" si="4"/>
        <v/>
      </c>
      <c r="GF6" s="98" t="str">
        <f t="shared" si="4"/>
        <v/>
      </c>
    </row>
    <row r="7" spans="1:188" s="53" customFormat="1" ht="14.25" thickTop="1" thickBot="1" x14ac:dyDescent="0.25">
      <c r="A7" s="54"/>
      <c r="B7" s="542"/>
      <c r="C7" s="545"/>
      <c r="D7" s="547"/>
      <c r="E7" s="545"/>
      <c r="F7" s="549"/>
      <c r="G7" s="535">
        <f>SUBTOTAL(9,G10:G206)</f>
        <v>1</v>
      </c>
      <c r="H7" s="537">
        <f>SUBTOTAL(9,H10:H206)</f>
        <v>0</v>
      </c>
      <c r="I7" s="537">
        <f>SUBTOTAL(9,I10:I206)</f>
        <v>0</v>
      </c>
      <c r="J7" s="537">
        <f t="shared" ref="J7:AR7" si="5">SUBTOTAL(9,J10:J206)</f>
        <v>0</v>
      </c>
      <c r="K7" s="537">
        <f t="shared" si="5"/>
        <v>0</v>
      </c>
      <c r="L7" s="537">
        <f t="shared" si="5"/>
        <v>0</v>
      </c>
      <c r="M7" s="533">
        <f t="shared" si="5"/>
        <v>0</v>
      </c>
      <c r="N7" s="533">
        <f t="shared" si="5"/>
        <v>0</v>
      </c>
      <c r="O7" s="533">
        <f t="shared" si="5"/>
        <v>0</v>
      </c>
      <c r="P7" s="533">
        <f t="shared" si="5"/>
        <v>0</v>
      </c>
      <c r="Q7" s="533">
        <f t="shared" si="5"/>
        <v>0</v>
      </c>
      <c r="R7" s="533">
        <f t="shared" si="5"/>
        <v>0</v>
      </c>
      <c r="S7" s="533">
        <f t="shared" si="5"/>
        <v>0</v>
      </c>
      <c r="T7" s="533">
        <f t="shared" si="5"/>
        <v>0</v>
      </c>
      <c r="U7" s="533">
        <f t="shared" si="5"/>
        <v>0</v>
      </c>
      <c r="V7" s="533">
        <f t="shared" si="5"/>
        <v>0</v>
      </c>
      <c r="W7" s="533">
        <f t="shared" si="5"/>
        <v>0</v>
      </c>
      <c r="X7" s="533">
        <f t="shared" si="5"/>
        <v>0</v>
      </c>
      <c r="Y7" s="533">
        <f t="shared" si="5"/>
        <v>0</v>
      </c>
      <c r="Z7" s="533">
        <f t="shared" si="5"/>
        <v>0</v>
      </c>
      <c r="AA7" s="533">
        <f t="shared" si="5"/>
        <v>0</v>
      </c>
      <c r="AB7" s="533">
        <f t="shared" si="5"/>
        <v>0</v>
      </c>
      <c r="AC7" s="533">
        <f t="shared" si="5"/>
        <v>0</v>
      </c>
      <c r="AD7" s="533">
        <f t="shared" si="5"/>
        <v>0</v>
      </c>
      <c r="AE7" s="533">
        <f t="shared" si="5"/>
        <v>0</v>
      </c>
      <c r="AF7" s="533">
        <f t="shared" si="5"/>
        <v>0</v>
      </c>
      <c r="AG7" s="533">
        <f t="shared" si="5"/>
        <v>0</v>
      </c>
      <c r="AH7" s="533">
        <f t="shared" si="5"/>
        <v>0</v>
      </c>
      <c r="AI7" s="533">
        <f t="shared" si="5"/>
        <v>0</v>
      </c>
      <c r="AJ7" s="533">
        <f t="shared" si="5"/>
        <v>0</v>
      </c>
      <c r="AK7" s="533">
        <f t="shared" si="5"/>
        <v>0</v>
      </c>
      <c r="AL7" s="533">
        <f t="shared" si="5"/>
        <v>0</v>
      </c>
      <c r="AM7" s="533">
        <f t="shared" si="5"/>
        <v>0</v>
      </c>
      <c r="AN7" s="533">
        <f t="shared" si="5"/>
        <v>0</v>
      </c>
      <c r="AO7" s="533">
        <f t="shared" si="5"/>
        <v>0</v>
      </c>
      <c r="AP7" s="533">
        <f t="shared" si="5"/>
        <v>0</v>
      </c>
      <c r="AQ7" s="533">
        <f t="shared" si="5"/>
        <v>0</v>
      </c>
      <c r="AR7" s="533">
        <f t="shared" si="5"/>
        <v>0</v>
      </c>
      <c r="AS7" s="533">
        <v>0</v>
      </c>
      <c r="AT7" s="533">
        <f>SUBTOTAL(9,AT10:AT206)</f>
        <v>0</v>
      </c>
      <c r="AU7" s="533">
        <f>SUBTOTAL(9,AU10:AU206)</f>
        <v>0</v>
      </c>
      <c r="AV7" s="533">
        <f>SUBTOTAL(9,AV10:AV201)</f>
        <v>0</v>
      </c>
      <c r="AW7" s="533">
        <f>SUBTOTAL(9,AW10:AW195)</f>
        <v>0</v>
      </c>
      <c r="AX7" s="533">
        <f>SUBTOTAL(9,AX10:AX195)</f>
        <v>0</v>
      </c>
      <c r="AY7" s="533">
        <f>SUBTOTAL(9,AY10:AY195)</f>
        <v>0</v>
      </c>
      <c r="AZ7" s="533">
        <f>SUBTOTAL(9,AZ10:AZ195)</f>
        <v>0</v>
      </c>
      <c r="BA7" s="533">
        <f>SUBTOTAL(9,BA10:BA206)</f>
        <v>0</v>
      </c>
      <c r="BB7" s="533">
        <f>SUBTOTAL(9,BB10:BB206)</f>
        <v>0</v>
      </c>
      <c r="BC7" s="533">
        <f>SUBTOTAL(9,BC10:BC206)</f>
        <v>0</v>
      </c>
      <c r="BD7" s="533">
        <f>SUBTOTAL(9,BD10:BD202)</f>
        <v>0</v>
      </c>
      <c r="BE7" s="533">
        <f t="shared" ref="BE7:CJ7" si="6">SUBTOTAL(9,BE10:BE206)</f>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ref="CK7:DP7" si="7">SUBTOTAL(9,CK10:CK206)</f>
        <v>0</v>
      </c>
      <c r="CL7" s="533">
        <f t="shared" si="7"/>
        <v>0</v>
      </c>
      <c r="CM7" s="533">
        <f t="shared" si="7"/>
        <v>0</v>
      </c>
      <c r="CN7" s="533">
        <f t="shared" si="7"/>
        <v>0</v>
      </c>
      <c r="CO7" s="533">
        <f t="shared" si="7"/>
        <v>0</v>
      </c>
      <c r="CP7" s="533">
        <f t="shared" si="7"/>
        <v>0</v>
      </c>
      <c r="CQ7" s="533">
        <f t="shared" si="7"/>
        <v>0</v>
      </c>
      <c r="CR7" s="533">
        <f t="shared" si="7"/>
        <v>0</v>
      </c>
      <c r="CS7" s="533">
        <f t="shared" si="7"/>
        <v>0</v>
      </c>
      <c r="CT7" s="533">
        <f t="shared" si="7"/>
        <v>0</v>
      </c>
      <c r="CU7" s="533">
        <f t="shared" si="7"/>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ref="DQ7:EV7" si="8">SUBTOTAL(9,DQ10:DQ206)</f>
        <v>0</v>
      </c>
      <c r="DR7" s="533">
        <f t="shared" si="8"/>
        <v>0</v>
      </c>
      <c r="DS7" s="533">
        <f t="shared" si="8"/>
        <v>0</v>
      </c>
      <c r="DT7" s="533">
        <f t="shared" si="8"/>
        <v>0</v>
      </c>
      <c r="DU7" s="533">
        <f t="shared" si="8"/>
        <v>0</v>
      </c>
      <c r="DV7" s="533">
        <f t="shared" si="8"/>
        <v>0</v>
      </c>
      <c r="DW7" s="533">
        <f t="shared" si="8"/>
        <v>0</v>
      </c>
      <c r="DX7" s="533">
        <f t="shared" si="8"/>
        <v>0</v>
      </c>
      <c r="DY7" s="533">
        <f t="shared" si="8"/>
        <v>0</v>
      </c>
      <c r="DZ7" s="533">
        <f t="shared" si="8"/>
        <v>0</v>
      </c>
      <c r="EA7" s="533">
        <f t="shared" si="8"/>
        <v>0</v>
      </c>
      <c r="EB7" s="533">
        <f t="shared" si="8"/>
        <v>0</v>
      </c>
      <c r="EC7" s="533">
        <f t="shared" si="8"/>
        <v>0</v>
      </c>
      <c r="ED7" s="533">
        <f t="shared" si="8"/>
        <v>0</v>
      </c>
      <c r="EE7" s="533">
        <f t="shared" si="8"/>
        <v>0</v>
      </c>
      <c r="EF7" s="533">
        <f t="shared" si="8"/>
        <v>0</v>
      </c>
      <c r="EG7" s="533">
        <f t="shared" si="8"/>
        <v>0</v>
      </c>
      <c r="EH7" s="533">
        <f t="shared" si="8"/>
        <v>0</v>
      </c>
      <c r="EI7" s="533">
        <f t="shared" si="8"/>
        <v>0</v>
      </c>
      <c r="EJ7" s="533">
        <f t="shared" si="8"/>
        <v>0</v>
      </c>
      <c r="EK7" s="533">
        <f t="shared" si="8"/>
        <v>0</v>
      </c>
      <c r="EL7" s="533">
        <f t="shared" si="8"/>
        <v>0</v>
      </c>
      <c r="EM7" s="533">
        <f t="shared" si="8"/>
        <v>0</v>
      </c>
      <c r="EN7" s="533">
        <f t="shared" si="8"/>
        <v>0</v>
      </c>
      <c r="EO7" s="533">
        <f t="shared" si="8"/>
        <v>0</v>
      </c>
      <c r="EP7" s="533">
        <f t="shared" si="8"/>
        <v>0</v>
      </c>
      <c r="EQ7" s="533">
        <f t="shared" si="8"/>
        <v>0</v>
      </c>
      <c r="ER7" s="533">
        <f t="shared" si="8"/>
        <v>0</v>
      </c>
      <c r="ES7" s="533">
        <f t="shared" si="8"/>
        <v>0</v>
      </c>
      <c r="ET7" s="533">
        <f t="shared" si="8"/>
        <v>0</v>
      </c>
      <c r="EU7" s="533">
        <f t="shared" si="8"/>
        <v>0</v>
      </c>
      <c r="EV7" s="533">
        <f t="shared" si="8"/>
        <v>0</v>
      </c>
      <c r="EW7" s="533">
        <f t="shared" ref="EW7:GF7" si="9">SUBTOTAL(9,EW10:EW206)</f>
        <v>0</v>
      </c>
      <c r="EX7" s="533">
        <f t="shared" si="9"/>
        <v>0</v>
      </c>
      <c r="EY7" s="533">
        <f t="shared" si="9"/>
        <v>0</v>
      </c>
      <c r="EZ7" s="533">
        <f t="shared" si="9"/>
        <v>0</v>
      </c>
      <c r="FA7" s="533">
        <f t="shared" si="9"/>
        <v>0</v>
      </c>
      <c r="FB7" s="533">
        <f t="shared" si="9"/>
        <v>0</v>
      </c>
      <c r="FC7" s="533">
        <f t="shared" si="9"/>
        <v>0</v>
      </c>
      <c r="FD7" s="533">
        <f t="shared" si="9"/>
        <v>0</v>
      </c>
      <c r="FE7" s="533">
        <f t="shared" si="9"/>
        <v>0</v>
      </c>
      <c r="FF7" s="533">
        <f t="shared" si="9"/>
        <v>0</v>
      </c>
      <c r="FG7" s="533">
        <f t="shared" si="9"/>
        <v>0</v>
      </c>
      <c r="FH7" s="533">
        <f t="shared" si="9"/>
        <v>0</v>
      </c>
      <c r="FI7" s="533">
        <f t="shared" si="9"/>
        <v>0</v>
      </c>
      <c r="FJ7" s="533">
        <f t="shared" si="9"/>
        <v>0</v>
      </c>
      <c r="FK7" s="533">
        <f t="shared" si="9"/>
        <v>0</v>
      </c>
      <c r="FL7" s="533">
        <f t="shared" si="9"/>
        <v>0</v>
      </c>
      <c r="FM7" s="533">
        <f t="shared" si="9"/>
        <v>0</v>
      </c>
      <c r="FN7" s="533">
        <f t="shared" si="9"/>
        <v>0</v>
      </c>
      <c r="FO7" s="533">
        <f t="shared" si="9"/>
        <v>0</v>
      </c>
      <c r="FP7" s="533">
        <f t="shared" si="9"/>
        <v>0</v>
      </c>
      <c r="FQ7" s="533">
        <f t="shared" si="9"/>
        <v>0</v>
      </c>
      <c r="FR7" s="533">
        <f t="shared" si="9"/>
        <v>0</v>
      </c>
      <c r="FS7" s="533">
        <f t="shared" si="9"/>
        <v>0</v>
      </c>
      <c r="FT7" s="533">
        <f t="shared" si="9"/>
        <v>0</v>
      </c>
      <c r="FU7" s="533">
        <f t="shared" si="9"/>
        <v>0</v>
      </c>
      <c r="FV7" s="533">
        <f t="shared" si="9"/>
        <v>0</v>
      </c>
      <c r="FW7" s="533">
        <f t="shared" si="9"/>
        <v>0</v>
      </c>
      <c r="FX7" s="533">
        <f t="shared" si="9"/>
        <v>0</v>
      </c>
      <c r="FY7" s="533">
        <f t="shared" si="9"/>
        <v>0</v>
      </c>
      <c r="FZ7" s="533">
        <f t="shared" si="9"/>
        <v>0</v>
      </c>
      <c r="GA7" s="533">
        <f t="shared" si="9"/>
        <v>0</v>
      </c>
      <c r="GB7" s="533">
        <f t="shared" si="9"/>
        <v>0</v>
      </c>
      <c r="GC7" s="533">
        <f t="shared" si="9"/>
        <v>0</v>
      </c>
      <c r="GD7" s="533">
        <f t="shared" si="9"/>
        <v>0</v>
      </c>
      <c r="GE7" s="533">
        <f t="shared" si="9"/>
        <v>0</v>
      </c>
      <c r="GF7" s="533">
        <f t="shared" si="9"/>
        <v>0</v>
      </c>
    </row>
    <row r="8" spans="1:188" s="26" customFormat="1" ht="14.25" thickTop="1" thickBot="1" x14ac:dyDescent="0.25">
      <c r="A8" s="52" t="s">
        <v>30</v>
      </c>
      <c r="B8" s="543"/>
      <c r="C8" s="51" t="s">
        <v>31</v>
      </c>
      <c r="D8" s="50" t="s">
        <v>32</v>
      </c>
      <c r="E8" s="49" t="s">
        <v>130</v>
      </c>
      <c r="F8" s="550"/>
      <c r="G8" s="536"/>
      <c r="H8" s="538"/>
      <c r="I8" s="538"/>
      <c r="J8" s="538"/>
      <c r="K8" s="538"/>
      <c r="L8" s="538"/>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4"/>
      <c r="FB8" s="534"/>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row>
    <row r="9" spans="1:188" s="40" customFormat="1" ht="12.75" customHeight="1" thickTop="1" x14ac:dyDescent="0.2">
      <c r="A9" s="48"/>
      <c r="B9" s="47"/>
      <c r="C9" s="45"/>
      <c r="D9" s="46"/>
      <c r="E9" s="45"/>
      <c r="F9" s="44"/>
      <c r="G9" s="43"/>
      <c r="H9" s="42"/>
      <c r="I9" s="41"/>
      <c r="J9" s="41"/>
      <c r="K9" s="41"/>
      <c r="L9" s="41"/>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105"/>
      <c r="AP9" s="105"/>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c r="FG9" s="99"/>
      <c r="FH9" s="99"/>
      <c r="FI9" s="99"/>
      <c r="FJ9" s="99"/>
      <c r="FK9" s="99"/>
      <c r="FL9" s="99"/>
      <c r="FM9" s="99"/>
      <c r="FN9" s="99"/>
      <c r="FO9" s="99"/>
      <c r="FP9" s="99"/>
      <c r="FQ9" s="99"/>
      <c r="FR9" s="99"/>
      <c r="FS9" s="99"/>
      <c r="FT9" s="99"/>
      <c r="FU9" s="99"/>
      <c r="FV9" s="99"/>
      <c r="FW9" s="99"/>
      <c r="FX9" s="99"/>
      <c r="FY9" s="99"/>
      <c r="FZ9" s="99"/>
      <c r="GA9" s="99"/>
      <c r="GB9" s="99"/>
      <c r="GC9" s="99"/>
      <c r="GD9" s="99"/>
      <c r="GE9" s="99"/>
      <c r="GF9" s="99"/>
    </row>
    <row r="10" spans="1:188" s="27" customFormat="1" x14ac:dyDescent="0.2">
      <c r="A10" s="38"/>
      <c r="B10" s="37"/>
      <c r="C10" s="36">
        <f t="shared" ref="C10:C118" si="10">E10*D$5</f>
        <v>0</v>
      </c>
      <c r="D10" s="103" t="s">
        <v>106</v>
      </c>
      <c r="E10" s="36">
        <f t="shared" ref="E10:E73" si="11">SUM(G10:HT10)</f>
        <v>0</v>
      </c>
      <c r="F10" s="35"/>
      <c r="G10" s="121">
        <v>1</v>
      </c>
      <c r="H10" s="121">
        <v>-1</v>
      </c>
      <c r="I10" s="122"/>
      <c r="J10" s="121"/>
      <c r="K10" s="121"/>
      <c r="L10" s="121"/>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4"/>
      <c r="AP10" s="124"/>
      <c r="AQ10" s="123"/>
      <c r="AR10" s="123"/>
      <c r="AS10" s="123"/>
      <c r="AT10" s="123"/>
      <c r="AU10" s="123"/>
      <c r="AV10" s="123"/>
      <c r="AW10" s="123"/>
      <c r="AX10" s="123"/>
      <c r="AY10" s="123"/>
      <c r="AZ10" s="123"/>
      <c r="BA10" s="123"/>
      <c r="BB10" s="123"/>
      <c r="BC10" s="123"/>
      <c r="BD10" s="123"/>
      <c r="BE10" s="123"/>
      <c r="BF10" s="123"/>
      <c r="BG10" s="123"/>
      <c r="BH10" s="123"/>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row>
    <row r="11" spans="1:188" s="27" customFormat="1" x14ac:dyDescent="0.2">
      <c r="A11" s="20"/>
      <c r="B11" s="37"/>
      <c r="C11" s="86">
        <f t="shared" si="10"/>
        <v>0</v>
      </c>
      <c r="D11" s="103" t="s">
        <v>454</v>
      </c>
      <c r="E11" s="86">
        <f t="shared" si="11"/>
        <v>0</v>
      </c>
      <c r="F11" s="35"/>
      <c r="G11" s="121"/>
      <c r="H11" s="121">
        <v>1</v>
      </c>
      <c r="I11" s="121">
        <v>-1</v>
      </c>
      <c r="J11" s="121"/>
      <c r="K11" s="121"/>
      <c r="L11" s="121"/>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4"/>
      <c r="AP11" s="124"/>
      <c r="AQ11" s="123"/>
      <c r="AR11" s="123"/>
      <c r="AS11" s="124"/>
      <c r="AT11" s="123"/>
      <c r="AU11" s="123"/>
      <c r="AV11" s="123"/>
      <c r="AW11" s="123"/>
      <c r="AX11" s="123"/>
      <c r="AY11" s="123"/>
      <c r="AZ11" s="123"/>
      <c r="BA11" s="123"/>
      <c r="BB11" s="123"/>
      <c r="BC11" s="123"/>
      <c r="BD11" s="123"/>
      <c r="BE11" s="123"/>
      <c r="BF11" s="123"/>
      <c r="BG11" s="123"/>
      <c r="BH11" s="123"/>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row>
    <row r="12" spans="1:188" s="27" customFormat="1" ht="24" x14ac:dyDescent="0.2">
      <c r="A12" s="20"/>
      <c r="B12" s="37"/>
      <c r="C12" s="86">
        <f t="shared" si="10"/>
        <v>0</v>
      </c>
      <c r="D12" s="103" t="s">
        <v>2703</v>
      </c>
      <c r="E12" s="86">
        <f t="shared" si="11"/>
        <v>0</v>
      </c>
      <c r="F12" s="35"/>
      <c r="G12" s="121"/>
      <c r="H12" s="121"/>
      <c r="I12" s="121">
        <v>0</v>
      </c>
      <c r="J12" s="121">
        <v>0</v>
      </c>
      <c r="K12" s="121"/>
      <c r="L12" s="121"/>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4"/>
      <c r="AT12" s="123"/>
      <c r="AU12" s="123"/>
      <c r="AV12" s="123"/>
      <c r="AW12" s="123"/>
      <c r="AX12" s="123"/>
      <c r="AY12" s="123"/>
      <c r="AZ12" s="123"/>
      <c r="BA12" s="123"/>
      <c r="BB12" s="123"/>
      <c r="BC12" s="123"/>
      <c r="BD12" s="124"/>
      <c r="BE12" s="123"/>
      <c r="BF12" s="123"/>
      <c r="BG12" s="123"/>
      <c r="BH12" s="123"/>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row>
    <row r="13" spans="1:188" s="27" customFormat="1" x14ac:dyDescent="0.2">
      <c r="B13" s="80"/>
      <c r="C13" s="86">
        <f t="shared" si="10"/>
        <v>0</v>
      </c>
      <c r="D13" s="103" t="s">
        <v>2704</v>
      </c>
      <c r="E13" s="86">
        <f t="shared" si="11"/>
        <v>0</v>
      </c>
      <c r="F13" s="35"/>
      <c r="G13" s="121"/>
      <c r="H13" s="122"/>
      <c r="I13" s="121">
        <v>1</v>
      </c>
      <c r="J13" s="121">
        <v>-1</v>
      </c>
      <c r="K13" s="121"/>
      <c r="L13" s="121"/>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4"/>
      <c r="AW13" s="123"/>
      <c r="AX13" s="123"/>
      <c r="AY13" s="123"/>
      <c r="AZ13" s="123"/>
      <c r="BA13" s="123"/>
      <c r="BB13" s="123"/>
      <c r="BC13" s="123"/>
      <c r="BD13" s="123"/>
      <c r="BE13" s="123"/>
      <c r="BF13" s="123"/>
      <c r="BG13" s="123"/>
      <c r="BH13" s="123"/>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row>
    <row r="14" spans="1:188" s="27" customFormat="1" x14ac:dyDescent="0.2">
      <c r="A14" s="79"/>
      <c r="B14" s="79"/>
      <c r="C14" s="36">
        <f t="shared" si="10"/>
        <v>0</v>
      </c>
      <c r="D14" s="103" t="s">
        <v>475</v>
      </c>
      <c r="E14" s="36">
        <f t="shared" si="11"/>
        <v>0</v>
      </c>
      <c r="F14" s="35"/>
      <c r="G14" s="121"/>
      <c r="H14" s="121"/>
      <c r="I14" s="121" t="s">
        <v>67</v>
      </c>
      <c r="J14" s="121">
        <v>1</v>
      </c>
      <c r="K14" s="121">
        <v>-1</v>
      </c>
      <c r="L14" s="121"/>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2"/>
      <c r="AX14" s="122"/>
      <c r="AY14" s="122"/>
      <c r="AZ14" s="122"/>
      <c r="BA14" s="123"/>
      <c r="BB14" s="123"/>
      <c r="BC14" s="123"/>
      <c r="BD14" s="123"/>
      <c r="BE14" s="123"/>
      <c r="BF14" s="123"/>
      <c r="BG14" s="123"/>
      <c r="BH14" s="123"/>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row>
    <row r="15" spans="1:188" s="27" customFormat="1" x14ac:dyDescent="0.2">
      <c r="A15" s="38"/>
      <c r="B15" s="37"/>
      <c r="C15" s="36">
        <f t="shared" si="10"/>
        <v>0</v>
      </c>
      <c r="D15" s="103" t="s">
        <v>476</v>
      </c>
      <c r="E15" s="36">
        <f t="shared" si="11"/>
        <v>0</v>
      </c>
      <c r="F15" s="35"/>
      <c r="G15" s="121"/>
      <c r="H15" s="122"/>
      <c r="I15" s="121"/>
      <c r="J15" s="121"/>
      <c r="K15" s="121">
        <v>1</v>
      </c>
      <c r="L15" s="121">
        <v>-1</v>
      </c>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2"/>
      <c r="AX15" s="122"/>
      <c r="AY15" s="122"/>
      <c r="AZ15" s="122"/>
      <c r="BA15" s="123"/>
      <c r="BB15" s="123"/>
      <c r="BC15" s="123"/>
      <c r="BD15" s="123"/>
      <c r="BE15" s="123"/>
      <c r="BF15" s="123"/>
      <c r="BG15" s="123"/>
      <c r="BH15" s="123"/>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row>
    <row r="16" spans="1:188" s="27" customFormat="1" x14ac:dyDescent="0.2">
      <c r="A16" s="38"/>
      <c r="B16" s="37"/>
      <c r="C16" s="36">
        <f t="shared" si="10"/>
        <v>0</v>
      </c>
      <c r="D16" s="103" t="s">
        <v>489</v>
      </c>
      <c r="E16" s="36">
        <f t="shared" si="11"/>
        <v>0</v>
      </c>
      <c r="F16" s="35"/>
      <c r="G16" s="121"/>
      <c r="H16" s="122"/>
      <c r="I16" s="121"/>
      <c r="J16" s="121"/>
      <c r="K16" s="121"/>
      <c r="L16" s="121">
        <v>1</v>
      </c>
      <c r="M16" s="123">
        <v>-1</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06"/>
      <c r="AP16" s="106"/>
      <c r="AQ16" s="123"/>
      <c r="AR16" s="123"/>
      <c r="AS16" s="123"/>
      <c r="AT16" s="123"/>
      <c r="AU16" s="123"/>
      <c r="AV16" s="123"/>
      <c r="AW16" s="122"/>
      <c r="AX16" s="122"/>
      <c r="AY16" s="122"/>
      <c r="AZ16" s="122"/>
      <c r="BA16" s="123"/>
      <c r="BB16" s="123"/>
      <c r="BC16" s="123"/>
      <c r="BD16" s="123"/>
      <c r="BE16" s="123"/>
      <c r="BF16" s="123"/>
      <c r="BG16" s="123"/>
      <c r="BH16" s="123"/>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row>
    <row r="17" spans="1:188" s="27" customFormat="1" x14ac:dyDescent="0.2">
      <c r="A17" s="38"/>
      <c r="B17" s="39"/>
      <c r="C17" s="36">
        <f t="shared" si="10"/>
        <v>0</v>
      </c>
      <c r="D17" s="103" t="s">
        <v>493</v>
      </c>
      <c r="E17" s="36">
        <f t="shared" si="11"/>
        <v>0</v>
      </c>
      <c r="F17" s="35"/>
      <c r="G17" s="121"/>
      <c r="H17" s="121"/>
      <c r="I17" s="121"/>
      <c r="J17" s="121"/>
      <c r="K17" s="121"/>
      <c r="L17" s="121"/>
      <c r="M17" s="123">
        <v>1</v>
      </c>
      <c r="N17" s="123">
        <v>-0.5</v>
      </c>
      <c r="O17" s="123">
        <v>-0.5</v>
      </c>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2"/>
      <c r="AX17" s="122"/>
      <c r="AY17" s="122"/>
      <c r="AZ17" s="122"/>
      <c r="BA17" s="123"/>
      <c r="BB17" s="123"/>
      <c r="BC17" s="123"/>
      <c r="BD17" s="123"/>
      <c r="BE17" s="123"/>
      <c r="BF17" s="123"/>
      <c r="BG17" s="123"/>
      <c r="BH17" s="123"/>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row>
    <row r="18" spans="1:188" s="27" customFormat="1" x14ac:dyDescent="0.2">
      <c r="A18" s="38"/>
      <c r="B18" s="37"/>
      <c r="C18" s="36">
        <f t="shared" si="10"/>
        <v>0</v>
      </c>
      <c r="D18" s="104" t="s">
        <v>513</v>
      </c>
      <c r="E18" s="36">
        <f t="shared" si="11"/>
        <v>0</v>
      </c>
      <c r="F18" s="35"/>
      <c r="G18" s="121"/>
      <c r="H18" s="121"/>
      <c r="I18" s="121"/>
      <c r="J18" s="121"/>
      <c r="K18" s="121"/>
      <c r="L18" s="121"/>
      <c r="M18" s="123"/>
      <c r="N18" s="123">
        <v>0.5</v>
      </c>
      <c r="O18" s="123"/>
      <c r="P18" s="124"/>
      <c r="Q18" s="123"/>
      <c r="R18" s="123"/>
      <c r="S18" s="123">
        <v>-0.125</v>
      </c>
      <c r="T18" s="123">
        <v>-0.125</v>
      </c>
      <c r="U18" s="123"/>
      <c r="V18" s="123"/>
      <c r="W18" s="123"/>
      <c r="X18" s="124">
        <v>-0.25</v>
      </c>
      <c r="Y18" s="124"/>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2"/>
      <c r="AX18" s="122"/>
      <c r="AY18" s="122"/>
      <c r="AZ18" s="122"/>
      <c r="BA18" s="123"/>
      <c r="BB18" s="123"/>
      <c r="BC18" s="123"/>
      <c r="BD18" s="124"/>
      <c r="BE18" s="123"/>
      <c r="BF18" s="123"/>
      <c r="BG18" s="123"/>
      <c r="BH18" s="123"/>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row>
    <row r="19" spans="1:188" s="27" customFormat="1" x14ac:dyDescent="0.2">
      <c r="A19" s="38"/>
      <c r="B19" s="37"/>
      <c r="C19" s="36">
        <f t="shared" si="10"/>
        <v>0</v>
      </c>
      <c r="D19" s="104" t="s">
        <v>557</v>
      </c>
      <c r="E19" s="36">
        <f t="shared" si="11"/>
        <v>0</v>
      </c>
      <c r="F19" s="35"/>
      <c r="G19" s="121"/>
      <c r="H19" s="121"/>
      <c r="I19" s="121"/>
      <c r="J19" s="121"/>
      <c r="K19" s="121"/>
      <c r="L19" s="121"/>
      <c r="M19" s="123"/>
      <c r="N19" s="123"/>
      <c r="O19" s="123">
        <v>0.25</v>
      </c>
      <c r="P19" s="124">
        <v>0.25</v>
      </c>
      <c r="Q19" s="123">
        <v>-0.5</v>
      </c>
      <c r="R19" s="123">
        <v>0</v>
      </c>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2"/>
      <c r="AX19" s="122"/>
      <c r="AY19" s="122"/>
      <c r="AZ19" s="122"/>
      <c r="BA19" s="123"/>
      <c r="BB19" s="123"/>
      <c r="BC19" s="123"/>
      <c r="BD19" s="123"/>
      <c r="BE19" s="123"/>
      <c r="BF19" s="123"/>
      <c r="BG19" s="123"/>
      <c r="BH19" s="123"/>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row>
    <row r="20" spans="1:188" s="27" customFormat="1" x14ac:dyDescent="0.2">
      <c r="A20" s="38"/>
      <c r="B20" s="37"/>
      <c r="C20" s="86">
        <f t="shared" si="10"/>
        <v>0</v>
      </c>
      <c r="D20" s="104" t="s">
        <v>2705</v>
      </c>
      <c r="E20" s="86">
        <f t="shared" si="11"/>
        <v>0</v>
      </c>
      <c r="F20" s="35"/>
      <c r="G20" s="121"/>
      <c r="H20" s="121"/>
      <c r="I20" s="121"/>
      <c r="J20" s="121"/>
      <c r="K20" s="121"/>
      <c r="L20" s="121"/>
      <c r="M20" s="123"/>
      <c r="N20" s="123"/>
      <c r="O20" s="123">
        <v>0.25</v>
      </c>
      <c r="P20" s="124">
        <v>-0.25</v>
      </c>
      <c r="Q20" s="123"/>
      <c r="R20" s="123">
        <v>0</v>
      </c>
      <c r="S20" s="123"/>
      <c r="T20" s="124"/>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row>
    <row r="21" spans="1:188" s="27" customFormat="1" x14ac:dyDescent="0.2">
      <c r="A21" s="38"/>
      <c r="B21" s="39"/>
      <c r="C21" s="36">
        <f t="shared" si="10"/>
        <v>0</v>
      </c>
      <c r="D21" s="104" t="s">
        <v>2706</v>
      </c>
      <c r="E21" s="36">
        <f t="shared" si="11"/>
        <v>0</v>
      </c>
      <c r="F21" s="35"/>
      <c r="G21" s="121"/>
      <c r="H21" s="121"/>
      <c r="I21" s="121"/>
      <c r="J21" s="121"/>
      <c r="K21" s="121"/>
      <c r="L21" s="121"/>
      <c r="M21" s="123"/>
      <c r="N21" s="123"/>
      <c r="O21" s="123"/>
      <c r="P21" s="123"/>
      <c r="Q21" s="124"/>
      <c r="R21" s="123"/>
      <c r="S21" s="123">
        <v>0.125</v>
      </c>
      <c r="T21" s="123">
        <v>0.125</v>
      </c>
      <c r="U21" s="123"/>
      <c r="V21" s="123"/>
      <c r="W21" s="124"/>
      <c r="X21" s="123"/>
      <c r="Y21" s="123">
        <v>-0.25</v>
      </c>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row>
    <row r="22" spans="1:188" s="27" customFormat="1" x14ac:dyDescent="0.2">
      <c r="A22" s="38"/>
      <c r="B22" s="39"/>
      <c r="C22" s="86">
        <f t="shared" si="10"/>
        <v>0</v>
      </c>
      <c r="D22" s="104" t="s">
        <v>560</v>
      </c>
      <c r="E22" s="86">
        <f t="shared" si="11"/>
        <v>0</v>
      </c>
      <c r="F22" s="35"/>
      <c r="G22" s="121"/>
      <c r="H22" s="122"/>
      <c r="I22" s="121"/>
      <c r="J22" s="121"/>
      <c r="K22" s="121"/>
      <c r="L22" s="121"/>
      <c r="M22" s="123"/>
      <c r="N22" s="123"/>
      <c r="O22" s="123"/>
      <c r="P22" s="123"/>
      <c r="Q22" s="124">
        <v>0.5</v>
      </c>
      <c r="R22" s="124"/>
      <c r="S22" s="123"/>
      <c r="T22" s="123"/>
      <c r="U22" s="123">
        <v>-0.5</v>
      </c>
      <c r="V22" s="123">
        <v>0</v>
      </c>
      <c r="W22" s="124"/>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row>
    <row r="23" spans="1:188" s="27" customFormat="1" x14ac:dyDescent="0.2">
      <c r="A23" s="38"/>
      <c r="B23" s="37"/>
      <c r="C23" s="86">
        <f t="shared" si="10"/>
        <v>0</v>
      </c>
      <c r="D23" s="103" t="s">
        <v>599</v>
      </c>
      <c r="E23" s="86">
        <f t="shared" si="11"/>
        <v>0</v>
      </c>
      <c r="F23" s="35"/>
      <c r="G23" s="121"/>
      <c r="H23" s="121"/>
      <c r="I23" s="121"/>
      <c r="J23" s="121"/>
      <c r="K23" s="121"/>
      <c r="L23" s="121"/>
      <c r="M23" s="123"/>
      <c r="N23" s="123"/>
      <c r="O23" s="123"/>
      <c r="P23" s="123"/>
      <c r="Q23" s="124"/>
      <c r="R23" s="124"/>
      <c r="S23" s="123"/>
      <c r="T23" s="123"/>
      <c r="U23" s="123">
        <v>0.5</v>
      </c>
      <c r="V23" s="123">
        <v>0</v>
      </c>
      <c r="W23" s="124">
        <v>-0.5</v>
      </c>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row>
    <row r="24" spans="1:188" s="27" customFormat="1" x14ac:dyDescent="0.2">
      <c r="A24" s="38"/>
      <c r="B24" s="37"/>
      <c r="C24" s="86">
        <f t="shared" si="10"/>
        <v>0</v>
      </c>
      <c r="D24" s="103" t="s">
        <v>1220</v>
      </c>
      <c r="E24" s="86">
        <f t="shared" si="11"/>
        <v>0</v>
      </c>
      <c r="F24" s="35"/>
      <c r="G24" s="121"/>
      <c r="H24" s="121"/>
      <c r="I24" s="121"/>
      <c r="J24" s="121"/>
      <c r="K24" s="121"/>
      <c r="L24" s="121"/>
      <c r="M24" s="123"/>
      <c r="N24" s="123"/>
      <c r="O24" s="123"/>
      <c r="P24" s="123"/>
      <c r="Q24" s="124"/>
      <c r="R24" s="124"/>
      <c r="S24" s="123"/>
      <c r="T24" s="123"/>
      <c r="U24" s="123"/>
      <c r="V24" s="123"/>
      <c r="W24" s="124">
        <v>0.125</v>
      </c>
      <c r="X24" s="123"/>
      <c r="Y24" s="123"/>
      <c r="Z24" s="123">
        <v>-0.125</v>
      </c>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row>
    <row r="25" spans="1:188" s="27" customFormat="1" x14ac:dyDescent="0.2">
      <c r="A25" s="38"/>
      <c r="B25" s="37" t="s">
        <v>8615</v>
      </c>
      <c r="C25" s="86">
        <f t="shared" si="10"/>
        <v>0</v>
      </c>
      <c r="D25" s="104" t="s">
        <v>2707</v>
      </c>
      <c r="E25" s="86">
        <f t="shared" si="11"/>
        <v>0</v>
      </c>
      <c r="F25" s="35"/>
      <c r="G25" s="121"/>
      <c r="H25" s="121"/>
      <c r="I25" s="121"/>
      <c r="J25" s="121"/>
      <c r="K25" s="121"/>
      <c r="L25" s="121"/>
      <c r="M25" s="123"/>
      <c r="N25" s="123"/>
      <c r="O25" s="123"/>
      <c r="P25" s="123"/>
      <c r="Q25" s="124"/>
      <c r="R25" s="124"/>
      <c r="S25" s="123"/>
      <c r="T25" s="123"/>
      <c r="U25" s="123"/>
      <c r="V25" s="123"/>
      <c r="W25" s="124">
        <v>0.125</v>
      </c>
      <c r="X25" s="123"/>
      <c r="Y25" s="123"/>
      <c r="Z25" s="123"/>
      <c r="AA25" s="123"/>
      <c r="AB25" s="124"/>
      <c r="AC25" s="123"/>
      <c r="AD25" s="123">
        <v>-0.125</v>
      </c>
      <c r="AE25" s="123"/>
      <c r="AF25" s="123"/>
      <c r="AG25" s="123"/>
      <c r="AH25" s="123"/>
      <c r="AI25" s="123"/>
      <c r="AJ25" s="123"/>
      <c r="AK25" s="123"/>
      <c r="AL25" s="123"/>
      <c r="AM25" s="123"/>
      <c r="AN25" s="123"/>
      <c r="AO25" s="123"/>
      <c r="AP25" s="123"/>
      <c r="AQ25" s="123"/>
      <c r="AR25" s="123"/>
      <c r="AS25" s="123"/>
      <c r="AT25" s="123"/>
      <c r="AU25" s="123"/>
      <c r="AV25" s="123"/>
      <c r="AW25" s="123"/>
      <c r="AX25" s="123"/>
      <c r="AY25" s="6"/>
      <c r="AZ25" s="123"/>
      <c r="BA25" s="123"/>
      <c r="BB25" s="123"/>
      <c r="BC25" s="123"/>
      <c r="BD25" s="123"/>
      <c r="BE25" s="123"/>
      <c r="BF25" s="123"/>
      <c r="BG25" s="123"/>
      <c r="BH25" s="123"/>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row>
    <row r="26" spans="1:188" s="27" customFormat="1" x14ac:dyDescent="0.2">
      <c r="A26" s="38"/>
      <c r="B26" s="37"/>
      <c r="C26" s="86">
        <f t="shared" si="10"/>
        <v>0</v>
      </c>
      <c r="D26" s="103" t="s">
        <v>2708</v>
      </c>
      <c r="E26" s="86">
        <f t="shared" si="11"/>
        <v>0</v>
      </c>
      <c r="F26" s="35"/>
      <c r="G26" s="121"/>
      <c r="H26" s="121"/>
      <c r="I26" s="121"/>
      <c r="J26" s="121"/>
      <c r="K26" s="121"/>
      <c r="L26" s="121"/>
      <c r="M26" s="123"/>
      <c r="N26" s="6"/>
      <c r="O26" s="123"/>
      <c r="P26" s="123"/>
      <c r="Q26" s="123"/>
      <c r="R26" s="123"/>
      <c r="S26" s="123"/>
      <c r="T26" s="124"/>
      <c r="U26" s="123"/>
      <c r="V26" s="123"/>
      <c r="W26" s="123">
        <v>0.125</v>
      </c>
      <c r="X26" s="123"/>
      <c r="Y26" s="123"/>
      <c r="Z26" s="124"/>
      <c r="AA26" s="123"/>
      <c r="AB26" s="123">
        <v>-0.125</v>
      </c>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5"/>
      <c r="AZ26" s="123"/>
      <c r="BA26" s="123"/>
      <c r="BB26" s="123"/>
      <c r="BC26" s="123"/>
      <c r="BD26" s="123"/>
      <c r="BE26" s="123"/>
      <c r="BF26" s="123"/>
      <c r="BG26" s="123"/>
      <c r="BH26" s="123"/>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row>
    <row r="27" spans="1:188" s="27" customFormat="1" x14ac:dyDescent="0.2">
      <c r="A27" s="38"/>
      <c r="B27" s="37">
        <v>2</v>
      </c>
      <c r="C27" s="36">
        <f t="shared" si="10"/>
        <v>0</v>
      </c>
      <c r="D27" s="103" t="s">
        <v>209</v>
      </c>
      <c r="E27" s="36">
        <f t="shared" si="11"/>
        <v>0</v>
      </c>
      <c r="F27" s="35"/>
      <c r="G27" s="121"/>
      <c r="H27" s="121"/>
      <c r="I27" s="121"/>
      <c r="J27" s="121"/>
      <c r="K27" s="121"/>
      <c r="L27" s="121"/>
      <c r="M27" s="123"/>
      <c r="N27" s="5"/>
      <c r="O27" s="123"/>
      <c r="P27" s="123"/>
      <c r="Q27" s="123"/>
      <c r="R27" s="123"/>
      <c r="S27" s="123"/>
      <c r="T27" s="124"/>
      <c r="U27" s="124"/>
      <c r="V27" s="123"/>
      <c r="W27" s="123">
        <v>0.125</v>
      </c>
      <c r="X27" s="123"/>
      <c r="Y27" s="123"/>
      <c r="Z27" s="123"/>
      <c r="AA27" s="123"/>
      <c r="AB27" s="123"/>
      <c r="AC27" s="123">
        <v>-0.125</v>
      </c>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5"/>
      <c r="AZ27" s="123"/>
      <c r="BA27" s="123"/>
      <c r="BB27" s="123"/>
      <c r="BC27" s="123"/>
      <c r="BD27" s="123"/>
      <c r="BE27" s="123"/>
      <c r="BF27" s="123"/>
      <c r="BG27" s="123"/>
      <c r="BH27" s="123"/>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row>
    <row r="28" spans="1:188" s="27" customFormat="1" x14ac:dyDescent="0.2">
      <c r="A28" s="38" t="s">
        <v>8619</v>
      </c>
      <c r="B28" s="37"/>
      <c r="C28" s="36">
        <f t="shared" si="10"/>
        <v>20</v>
      </c>
      <c r="D28" s="3" t="s">
        <v>775</v>
      </c>
      <c r="E28" s="36">
        <f t="shared" si="11"/>
        <v>0.25</v>
      </c>
      <c r="F28" s="35"/>
      <c r="G28" s="121"/>
      <c r="H28" s="121"/>
      <c r="I28" s="121"/>
      <c r="J28" s="121"/>
      <c r="K28" s="121"/>
      <c r="L28" s="121"/>
      <c r="M28" s="123"/>
      <c r="N28" s="5"/>
      <c r="O28" s="123"/>
      <c r="P28" s="123"/>
      <c r="Q28" s="123"/>
      <c r="R28" s="123"/>
      <c r="S28" s="123"/>
      <c r="T28" s="123"/>
      <c r="U28" s="124"/>
      <c r="V28" s="124"/>
      <c r="W28" s="123"/>
      <c r="X28" s="123">
        <v>0.25</v>
      </c>
      <c r="Y28" s="123"/>
      <c r="Z28" s="123"/>
      <c r="AA28" s="123"/>
      <c r="AB28" s="123"/>
      <c r="AC28" s="124"/>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5"/>
      <c r="AZ28" s="123"/>
      <c r="BA28" s="123"/>
      <c r="BB28" s="123"/>
      <c r="BC28" s="123"/>
      <c r="BD28" s="123"/>
      <c r="BE28" s="123"/>
      <c r="BF28" s="123"/>
      <c r="BG28" s="123"/>
      <c r="BH28" s="123"/>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row>
    <row r="29" spans="1:188" s="27" customFormat="1" ht="24" x14ac:dyDescent="0.2">
      <c r="A29" s="38" t="s">
        <v>8619</v>
      </c>
      <c r="B29" s="37"/>
      <c r="C29" s="86">
        <f t="shared" si="10"/>
        <v>20</v>
      </c>
      <c r="D29" s="3" t="s">
        <v>976</v>
      </c>
      <c r="E29" s="86">
        <f t="shared" si="11"/>
        <v>0.25</v>
      </c>
      <c r="F29" s="35"/>
      <c r="G29" s="121"/>
      <c r="H29" s="121"/>
      <c r="I29" s="121"/>
      <c r="J29" s="121"/>
      <c r="K29" s="121"/>
      <c r="L29" s="121"/>
      <c r="M29" s="123"/>
      <c r="N29" s="5"/>
      <c r="O29" s="123"/>
      <c r="P29" s="123"/>
      <c r="Q29" s="123"/>
      <c r="R29" s="123"/>
      <c r="S29" s="123"/>
      <c r="T29" s="123"/>
      <c r="U29" s="124"/>
      <c r="V29" s="124"/>
      <c r="W29" s="123"/>
      <c r="X29" s="123"/>
      <c r="Y29" s="123">
        <v>0.25</v>
      </c>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5"/>
      <c r="AZ29" s="123"/>
      <c r="BA29" s="123"/>
      <c r="BB29" s="123"/>
      <c r="BC29" s="123"/>
      <c r="BD29" s="123"/>
      <c r="BE29" s="123"/>
      <c r="BF29" s="123"/>
      <c r="BG29" s="123"/>
      <c r="BH29" s="123"/>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row>
    <row r="30" spans="1:188" s="27" customFormat="1" x14ac:dyDescent="0.2">
      <c r="A30" s="38"/>
      <c r="B30" s="37">
        <v>4</v>
      </c>
      <c r="C30" s="36">
        <f t="shared" si="10"/>
        <v>0</v>
      </c>
      <c r="D30" s="104" t="s">
        <v>1221</v>
      </c>
      <c r="E30" s="36">
        <f t="shared" si="11"/>
        <v>0</v>
      </c>
      <c r="F30" s="35"/>
      <c r="G30" s="121"/>
      <c r="H30" s="121"/>
      <c r="I30" s="121"/>
      <c r="J30" s="121"/>
      <c r="K30" s="121"/>
      <c r="L30" s="121"/>
      <c r="M30" s="123"/>
      <c r="N30" s="5"/>
      <c r="O30" s="123"/>
      <c r="P30" s="123"/>
      <c r="Q30" s="123"/>
      <c r="R30" s="123"/>
      <c r="S30" s="123"/>
      <c r="T30" s="123"/>
      <c r="U30" s="124"/>
      <c r="V30" s="124"/>
      <c r="W30" s="123"/>
      <c r="X30" s="123"/>
      <c r="Y30" s="123"/>
      <c r="Z30" s="123">
        <v>0.125</v>
      </c>
      <c r="AA30" s="123">
        <v>-0.125</v>
      </c>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18"/>
      <c r="AZ30" s="123"/>
      <c r="BA30" s="123"/>
      <c r="BB30" s="123"/>
      <c r="BC30" s="123"/>
      <c r="BD30" s="123"/>
      <c r="BE30" s="123"/>
      <c r="BF30" s="123"/>
      <c r="BG30" s="123"/>
      <c r="BH30" s="123"/>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row>
    <row r="31" spans="1:188" s="27" customFormat="1" x14ac:dyDescent="0.2">
      <c r="A31" s="125"/>
      <c r="B31" s="39" t="s">
        <v>8615</v>
      </c>
      <c r="C31" s="86">
        <f t="shared" si="10"/>
        <v>10</v>
      </c>
      <c r="D31" s="4" t="s">
        <v>186</v>
      </c>
      <c r="E31" s="86">
        <f t="shared" si="11"/>
        <v>0.125</v>
      </c>
      <c r="F31" s="35"/>
      <c r="G31" s="121"/>
      <c r="H31" s="121"/>
      <c r="I31" s="121"/>
      <c r="J31" s="121"/>
      <c r="K31" s="121"/>
      <c r="L31" s="121"/>
      <c r="M31" s="123"/>
      <c r="N31" s="118"/>
      <c r="O31" s="123"/>
      <c r="P31" s="123"/>
      <c r="Q31" s="123"/>
      <c r="R31" s="123"/>
      <c r="S31" s="123"/>
      <c r="T31" s="123"/>
      <c r="U31" s="123"/>
      <c r="V31" s="123"/>
      <c r="W31" s="123"/>
      <c r="X31" s="124"/>
      <c r="Y31" s="123"/>
      <c r="Z31" s="123"/>
      <c r="AA31" s="123">
        <v>0.125</v>
      </c>
      <c r="AB31" s="123"/>
      <c r="AC31" s="123"/>
      <c r="AD31" s="123"/>
      <c r="AE31" s="123"/>
      <c r="AF31" s="124"/>
      <c r="AG31" s="123"/>
      <c r="AH31" s="123"/>
      <c r="AI31" s="123"/>
      <c r="AJ31" s="123"/>
      <c r="AK31" s="123"/>
      <c r="AL31" s="123"/>
      <c r="AM31" s="123"/>
      <c r="AN31" s="123"/>
      <c r="AO31" s="123"/>
      <c r="AP31" s="123"/>
      <c r="AQ31" s="123"/>
      <c r="AR31" s="123"/>
      <c r="AS31" s="123"/>
      <c r="AT31" s="123"/>
      <c r="AU31" s="123"/>
      <c r="AV31" s="123"/>
      <c r="AW31" s="123"/>
      <c r="AX31" s="123"/>
      <c r="AY31" s="118"/>
      <c r="AZ31" s="123"/>
      <c r="BA31" s="123"/>
      <c r="BB31" s="123"/>
      <c r="BC31" s="123"/>
      <c r="BD31" s="123"/>
      <c r="BE31" s="123"/>
      <c r="BF31" s="123"/>
      <c r="BG31" s="123"/>
      <c r="BH31" s="123"/>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row>
    <row r="32" spans="1:188" s="27" customFormat="1" ht="36" x14ac:dyDescent="0.2">
      <c r="A32" s="125"/>
      <c r="B32" s="39" t="s">
        <v>8616</v>
      </c>
      <c r="C32" s="86">
        <f t="shared" si="10"/>
        <v>10</v>
      </c>
      <c r="D32" s="4" t="s">
        <v>2552</v>
      </c>
      <c r="E32" s="86">
        <f t="shared" si="11"/>
        <v>0.125</v>
      </c>
      <c r="F32" s="35"/>
      <c r="G32" s="121"/>
      <c r="H32" s="121"/>
      <c r="I32" s="121"/>
      <c r="J32" s="121"/>
      <c r="K32" s="121"/>
      <c r="L32" s="121"/>
      <c r="M32" s="123"/>
      <c r="N32" s="118"/>
      <c r="O32" s="123"/>
      <c r="P32" s="123"/>
      <c r="Q32" s="123"/>
      <c r="R32" s="123"/>
      <c r="S32" s="123"/>
      <c r="T32" s="123"/>
      <c r="U32" s="123"/>
      <c r="V32" s="123"/>
      <c r="W32" s="123"/>
      <c r="X32" s="123"/>
      <c r="Y32" s="124"/>
      <c r="Z32" s="123"/>
      <c r="AA32" s="123"/>
      <c r="AB32" s="123">
        <v>0.125</v>
      </c>
      <c r="AC32" s="123"/>
      <c r="AD32" s="123"/>
      <c r="AE32" s="123"/>
      <c r="AF32" s="123"/>
      <c r="AG32" s="124"/>
      <c r="AH32" s="123"/>
      <c r="AI32" s="123"/>
      <c r="AJ32" s="123"/>
      <c r="AK32" s="123"/>
      <c r="AL32" s="123"/>
      <c r="AM32" s="123"/>
      <c r="AN32" s="123"/>
      <c r="AO32" s="123"/>
      <c r="AP32" s="123"/>
      <c r="AQ32" s="123"/>
      <c r="AR32" s="123"/>
      <c r="AS32" s="123"/>
      <c r="AT32" s="123"/>
      <c r="AU32" s="123"/>
      <c r="AV32" s="123"/>
      <c r="AW32" s="123"/>
      <c r="AX32" s="123"/>
      <c r="AY32" s="118"/>
      <c r="AZ32" s="123"/>
      <c r="BA32" s="123"/>
      <c r="BB32" s="123"/>
      <c r="BC32" s="123"/>
      <c r="BD32" s="123"/>
      <c r="BE32" s="123"/>
      <c r="BF32" s="123"/>
      <c r="BG32" s="123"/>
      <c r="BH32" s="123"/>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row>
    <row r="33" spans="1:188" s="27" customFormat="1" x14ac:dyDescent="0.2">
      <c r="A33" s="125"/>
      <c r="B33" s="39" t="s">
        <v>8617</v>
      </c>
      <c r="C33" s="36">
        <f t="shared" si="10"/>
        <v>10</v>
      </c>
      <c r="D33" s="4" t="s">
        <v>388</v>
      </c>
      <c r="E33" s="36">
        <f t="shared" si="11"/>
        <v>0.125</v>
      </c>
      <c r="F33" s="35"/>
      <c r="G33" s="121"/>
      <c r="H33" s="121"/>
      <c r="I33" s="121"/>
      <c r="J33" s="121"/>
      <c r="K33" s="121"/>
      <c r="L33" s="121"/>
      <c r="M33" s="123"/>
      <c r="N33" s="118"/>
      <c r="O33" s="123"/>
      <c r="P33" s="123"/>
      <c r="Q33" s="123"/>
      <c r="R33" s="123"/>
      <c r="S33" s="123"/>
      <c r="T33" s="123"/>
      <c r="U33" s="123"/>
      <c r="V33" s="123"/>
      <c r="W33" s="123"/>
      <c r="X33" s="123"/>
      <c r="Y33" s="123"/>
      <c r="Z33" s="124"/>
      <c r="AA33" s="123"/>
      <c r="AB33" s="123"/>
      <c r="AC33" s="123">
        <v>0.125</v>
      </c>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row>
    <row r="34" spans="1:188" s="27" customFormat="1" ht="36" x14ac:dyDescent="0.2">
      <c r="A34" s="125"/>
      <c r="B34" s="37" t="s">
        <v>8615</v>
      </c>
      <c r="C34" s="36">
        <f t="shared" si="10"/>
        <v>10</v>
      </c>
      <c r="D34" s="4" t="s">
        <v>2709</v>
      </c>
      <c r="E34" s="36">
        <f t="shared" si="11"/>
        <v>0.125</v>
      </c>
      <c r="F34" s="35"/>
      <c r="G34" s="121"/>
      <c r="H34" s="121"/>
      <c r="I34" s="121"/>
      <c r="J34" s="121"/>
      <c r="K34" s="121"/>
      <c r="L34" s="121"/>
      <c r="M34" s="123"/>
      <c r="N34" s="123"/>
      <c r="O34" s="123"/>
      <c r="P34" s="123"/>
      <c r="Q34" s="123"/>
      <c r="R34" s="123"/>
      <c r="S34" s="123"/>
      <c r="T34" s="123"/>
      <c r="U34" s="123"/>
      <c r="V34" s="123"/>
      <c r="W34" s="123"/>
      <c r="X34" s="123"/>
      <c r="Y34" s="123"/>
      <c r="Z34" s="123"/>
      <c r="AA34" s="123"/>
      <c r="AB34" s="123"/>
      <c r="AC34" s="123"/>
      <c r="AD34" s="123">
        <v>0.125</v>
      </c>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row>
    <row r="35" spans="1:188" s="27" customFormat="1" x14ac:dyDescent="0.2">
      <c r="A35" s="125"/>
      <c r="B35" s="39"/>
      <c r="C35" s="36">
        <f t="shared" si="10"/>
        <v>0</v>
      </c>
      <c r="D35" s="4"/>
      <c r="E35" s="36">
        <f t="shared" si="11"/>
        <v>0</v>
      </c>
      <c r="F35" s="35"/>
      <c r="G35" s="121"/>
      <c r="H35" s="121"/>
      <c r="I35" s="121"/>
      <c r="J35" s="121"/>
      <c r="K35" s="121"/>
      <c r="L35" s="121"/>
      <c r="M35" s="123"/>
      <c r="N35" s="123"/>
      <c r="O35" s="123"/>
      <c r="P35" s="123"/>
      <c r="Q35" s="123"/>
      <c r="R35" s="123"/>
      <c r="S35" s="123"/>
      <c r="T35" s="123"/>
      <c r="U35" s="123"/>
      <c r="V35" s="123"/>
      <c r="W35" s="123"/>
      <c r="X35" s="123"/>
      <c r="Y35" s="123"/>
      <c r="Z35" s="123"/>
      <c r="AA35" s="123"/>
      <c r="AB35" s="124"/>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row>
    <row r="36" spans="1:188" s="27" customFormat="1" x14ac:dyDescent="0.2">
      <c r="A36" s="125"/>
      <c r="B36" s="39"/>
      <c r="C36" s="36">
        <f t="shared" si="10"/>
        <v>0</v>
      </c>
      <c r="D36" s="103"/>
      <c r="E36" s="36">
        <f t="shared" si="11"/>
        <v>0</v>
      </c>
      <c r="F36" s="35"/>
      <c r="G36" s="121"/>
      <c r="H36" s="121"/>
      <c r="I36" s="121"/>
      <c r="J36" s="121"/>
      <c r="K36" s="121"/>
      <c r="L36" s="121"/>
      <c r="M36" s="123"/>
      <c r="N36" s="123"/>
      <c r="O36" s="123"/>
      <c r="P36" s="123"/>
      <c r="Q36" s="123"/>
      <c r="R36" s="123"/>
      <c r="S36" s="123"/>
      <c r="T36" s="123"/>
      <c r="U36" s="123"/>
      <c r="V36" s="123"/>
      <c r="W36" s="123"/>
      <c r="X36" s="123"/>
      <c r="Y36" s="123"/>
      <c r="Z36" s="123"/>
      <c r="AA36" s="123"/>
      <c r="AB36" s="124"/>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row>
    <row r="37" spans="1:188" s="27" customFormat="1" x14ac:dyDescent="0.2">
      <c r="A37" s="125"/>
      <c r="B37" s="39"/>
      <c r="C37" s="86">
        <f>E37*D$5</f>
        <v>0</v>
      </c>
      <c r="D37" s="4"/>
      <c r="E37" s="86">
        <f t="shared" ref="E37" si="12">SUM(G37:HY37)</f>
        <v>0</v>
      </c>
      <c r="F37" s="35"/>
      <c r="G37" s="121"/>
      <c r="H37" s="121"/>
      <c r="I37" s="121"/>
      <c r="J37" s="121"/>
      <c r="K37" s="121"/>
      <c r="L37" s="121"/>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3">E38*D$5</f>
        <v>0</v>
      </c>
      <c r="D38" s="103"/>
      <c r="E38" s="36">
        <f t="shared" ref="E38" si="14">SUM(G38:HT38)</f>
        <v>0</v>
      </c>
      <c r="F38" s="35"/>
      <c r="G38" s="121"/>
      <c r="H38" s="121"/>
      <c r="I38" s="121"/>
      <c r="J38" s="121"/>
      <c r="K38" s="121"/>
      <c r="L38" s="121"/>
      <c r="M38" s="123"/>
      <c r="N38" s="123"/>
      <c r="O38" s="123"/>
      <c r="P38" s="123"/>
      <c r="Q38" s="123"/>
      <c r="R38" s="123"/>
      <c r="S38" s="123"/>
      <c r="T38" s="123"/>
      <c r="U38" s="123"/>
      <c r="V38" s="123"/>
      <c r="W38" s="123"/>
      <c r="X38" s="123"/>
      <c r="Y38" s="123"/>
      <c r="Z38" s="123"/>
      <c r="AA38" s="123"/>
      <c r="AB38" s="123"/>
      <c r="AC38" s="123"/>
      <c r="AD38" s="124"/>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row>
    <row r="39" spans="1:188" s="27" customFormat="1" x14ac:dyDescent="0.2">
      <c r="A39" s="125"/>
      <c r="B39" s="39"/>
      <c r="C39" s="36">
        <f t="shared" si="13"/>
        <v>0</v>
      </c>
      <c r="D39" s="103"/>
      <c r="E39" s="36">
        <f>SUM(G39:HH39)</f>
        <v>0</v>
      </c>
      <c r="F39" s="35"/>
      <c r="G39" s="121"/>
      <c r="H39" s="121"/>
      <c r="I39" s="121"/>
      <c r="J39" s="121"/>
      <c r="K39" s="121"/>
      <c r="L39" s="121"/>
      <c r="M39" s="123"/>
      <c r="N39" s="123"/>
      <c r="O39" s="123"/>
      <c r="P39" s="123"/>
      <c r="Q39" s="123"/>
      <c r="R39" s="123"/>
      <c r="S39" s="123"/>
      <c r="T39" s="123"/>
      <c r="U39" s="123"/>
      <c r="V39" s="123"/>
      <c r="W39" s="123"/>
      <c r="X39" s="123"/>
      <c r="Y39" s="123"/>
      <c r="Z39" s="123"/>
      <c r="AA39" s="123"/>
      <c r="AB39" s="123"/>
      <c r="AC39" s="123"/>
      <c r="AD39" s="124"/>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row>
    <row r="40" spans="1:188" s="27" customFormat="1" x14ac:dyDescent="0.2">
      <c r="A40" s="125"/>
      <c r="B40" s="39"/>
      <c r="C40" s="86">
        <f t="shared" si="13"/>
        <v>0</v>
      </c>
      <c r="D40" s="3"/>
      <c r="E40" s="86">
        <f>SUM(G40:HH40)</f>
        <v>0</v>
      </c>
      <c r="F40" s="35"/>
      <c r="G40" s="121"/>
      <c r="H40" s="121"/>
      <c r="I40" s="121"/>
      <c r="J40" s="121"/>
      <c r="K40" s="121"/>
      <c r="L40" s="121"/>
      <c r="M40" s="123"/>
      <c r="N40" s="123"/>
      <c r="O40" s="123"/>
      <c r="P40" s="123"/>
      <c r="Q40" s="123"/>
      <c r="R40" s="123"/>
      <c r="S40" s="123"/>
      <c r="T40" s="123"/>
      <c r="U40" s="123"/>
      <c r="V40" s="123"/>
      <c r="W40" s="123"/>
      <c r="X40" s="123"/>
      <c r="Y40" s="123"/>
      <c r="Z40" s="123"/>
      <c r="AA40" s="123"/>
      <c r="AB40" s="123"/>
      <c r="AC40" s="123"/>
      <c r="AD40" s="123"/>
      <c r="AE40" s="124"/>
      <c r="AF40" s="124"/>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row>
    <row r="41" spans="1:188" s="27" customFormat="1" x14ac:dyDescent="0.2">
      <c r="A41" s="125"/>
      <c r="B41" s="39"/>
      <c r="C41" s="36">
        <f t="shared" si="13"/>
        <v>0</v>
      </c>
      <c r="D41" s="4"/>
      <c r="E41" s="36">
        <f>SUM(G41:HH41)</f>
        <v>0</v>
      </c>
      <c r="F41" s="35"/>
      <c r="G41" s="121"/>
      <c r="H41" s="121"/>
      <c r="I41" s="121"/>
      <c r="J41" s="121"/>
      <c r="K41" s="121"/>
      <c r="L41" s="121"/>
      <c r="M41" s="123"/>
      <c r="N41" s="123"/>
      <c r="O41" s="123"/>
      <c r="P41" s="123"/>
      <c r="Q41" s="123"/>
      <c r="R41" s="123"/>
      <c r="S41" s="123"/>
      <c r="T41" s="123"/>
      <c r="U41" s="123"/>
      <c r="V41" s="123"/>
      <c r="W41" s="123"/>
      <c r="X41" s="123"/>
      <c r="Y41" s="123"/>
      <c r="Z41" s="123"/>
      <c r="AA41" s="123"/>
      <c r="AB41" s="123"/>
      <c r="AC41" s="123"/>
      <c r="AD41" s="123"/>
      <c r="AE41" s="124"/>
      <c r="AF41" s="124"/>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c r="FP41" s="100"/>
      <c r="FQ41" s="100"/>
      <c r="FR41" s="100"/>
      <c r="FS41" s="100"/>
      <c r="FT41" s="100"/>
      <c r="FU41" s="100"/>
      <c r="FV41" s="100"/>
      <c r="FW41" s="100"/>
      <c r="FX41" s="100"/>
      <c r="FY41" s="100"/>
      <c r="FZ41" s="100"/>
      <c r="GA41" s="100"/>
      <c r="GB41" s="100"/>
      <c r="GC41" s="100"/>
      <c r="GD41" s="100"/>
      <c r="GE41" s="100"/>
      <c r="GF41" s="100"/>
    </row>
    <row r="42" spans="1:188" s="27" customFormat="1" x14ac:dyDescent="0.2">
      <c r="A42" s="125"/>
      <c r="B42" s="39"/>
      <c r="C42" s="86">
        <f>E42*D$5</f>
        <v>0</v>
      </c>
      <c r="D42" s="4"/>
      <c r="E42" s="86">
        <f>SUM(G42:HH42)</f>
        <v>0</v>
      </c>
      <c r="F42" s="35"/>
      <c r="G42" s="121"/>
      <c r="H42" s="121"/>
      <c r="I42" s="121"/>
      <c r="J42" s="121"/>
      <c r="K42" s="121"/>
      <c r="L42" s="121"/>
      <c r="M42" s="123"/>
      <c r="N42" s="123"/>
      <c r="O42" s="123"/>
      <c r="P42" s="123"/>
      <c r="Q42" s="123"/>
      <c r="R42" s="123"/>
      <c r="S42" s="123"/>
      <c r="T42" s="123"/>
      <c r="U42" s="123"/>
      <c r="V42" s="123"/>
      <c r="W42" s="123"/>
      <c r="X42" s="123"/>
      <c r="Y42" s="123"/>
      <c r="Z42" s="123"/>
      <c r="AA42" s="123"/>
      <c r="AB42" s="123"/>
      <c r="AC42" s="123"/>
      <c r="AD42" s="123"/>
      <c r="AE42" s="124"/>
      <c r="AF42" s="124"/>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row>
    <row r="43" spans="1:188" s="27" customFormat="1" x14ac:dyDescent="0.2">
      <c r="A43" s="125"/>
      <c r="B43" s="39"/>
      <c r="C43" s="86">
        <f>E43*D$5</f>
        <v>0</v>
      </c>
      <c r="D43" s="103"/>
      <c r="E43" s="86">
        <f>SUM(G43:HH43)</f>
        <v>0</v>
      </c>
      <c r="F43" s="35"/>
      <c r="G43" s="121"/>
      <c r="H43" s="121"/>
      <c r="I43" s="121"/>
      <c r="J43" s="121"/>
      <c r="K43" s="121"/>
      <c r="L43" s="121"/>
      <c r="M43" s="123"/>
      <c r="N43" s="123"/>
      <c r="O43" s="123"/>
      <c r="P43" s="123"/>
      <c r="Q43" s="123"/>
      <c r="R43" s="123"/>
      <c r="S43" s="123"/>
      <c r="T43" s="123"/>
      <c r="U43" s="123"/>
      <c r="V43" s="123"/>
      <c r="W43" s="123"/>
      <c r="X43" s="123"/>
      <c r="Y43" s="123"/>
      <c r="Z43" s="123"/>
      <c r="AA43" s="123"/>
      <c r="AB43" s="123"/>
      <c r="AC43" s="123"/>
      <c r="AD43" s="123"/>
      <c r="AE43" s="123"/>
      <c r="AF43" s="123"/>
      <c r="AG43" s="124"/>
      <c r="AH43" s="124"/>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row>
    <row r="44" spans="1:188" s="27" customFormat="1" x14ac:dyDescent="0.2">
      <c r="A44" s="125"/>
      <c r="B44" s="39"/>
      <c r="C44" s="86">
        <f t="shared" si="10"/>
        <v>0</v>
      </c>
      <c r="D44" s="4"/>
      <c r="E44" s="86">
        <f t="shared" si="11"/>
        <v>0</v>
      </c>
      <c r="F44" s="35"/>
      <c r="G44" s="121"/>
      <c r="H44" s="121"/>
      <c r="I44" s="121"/>
      <c r="J44" s="121"/>
      <c r="K44" s="121"/>
      <c r="L44" s="121"/>
      <c r="M44" s="123"/>
      <c r="N44" s="123"/>
      <c r="O44" s="123"/>
      <c r="P44" s="123"/>
      <c r="Q44" s="123"/>
      <c r="R44" s="123"/>
      <c r="S44" s="123"/>
      <c r="T44" s="123"/>
      <c r="U44" s="123"/>
      <c r="V44" s="123"/>
      <c r="W44" s="123"/>
      <c r="X44" s="123"/>
      <c r="Y44" s="123"/>
      <c r="Z44" s="123"/>
      <c r="AA44" s="123"/>
      <c r="AB44" s="123"/>
      <c r="AC44" s="123"/>
      <c r="AD44" s="123"/>
      <c r="AE44" s="123"/>
      <c r="AF44" s="124"/>
      <c r="AG44" s="123"/>
      <c r="AH44" s="124"/>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00"/>
      <c r="EJ44" s="100"/>
      <c r="EK44" s="100"/>
      <c r="EL44" s="100"/>
      <c r="EM44" s="100"/>
      <c r="EN44" s="100"/>
      <c r="EO44" s="100"/>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c r="FL44" s="100"/>
      <c r="FM44" s="100"/>
      <c r="FN44" s="100"/>
      <c r="FO44" s="100"/>
      <c r="FP44" s="100"/>
      <c r="FQ44" s="100"/>
      <c r="FR44" s="100"/>
      <c r="FS44" s="100"/>
      <c r="FT44" s="100"/>
      <c r="FU44" s="100"/>
      <c r="FV44" s="100"/>
      <c r="FW44" s="100"/>
      <c r="FX44" s="100"/>
      <c r="FY44" s="100"/>
      <c r="FZ44" s="100"/>
      <c r="GA44" s="100"/>
      <c r="GB44" s="100"/>
      <c r="GC44" s="100"/>
      <c r="GD44" s="100"/>
      <c r="GE44" s="100"/>
      <c r="GF44" s="100"/>
    </row>
    <row r="45" spans="1:188" s="27" customFormat="1" x14ac:dyDescent="0.2">
      <c r="A45" s="125"/>
      <c r="B45" s="39"/>
      <c r="C45" s="86">
        <f>E45*D$5</f>
        <v>0</v>
      </c>
      <c r="D45" s="103"/>
      <c r="E45" s="86">
        <f>SUM(G45:HP45)</f>
        <v>0</v>
      </c>
      <c r="F45" s="35"/>
      <c r="G45" s="121"/>
      <c r="H45" s="121"/>
      <c r="I45" s="121"/>
      <c r="J45" s="121"/>
      <c r="K45" s="121"/>
      <c r="L45" s="121"/>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4"/>
      <c r="AJ45" s="124"/>
      <c r="AK45" s="124"/>
      <c r="AL45" s="124"/>
      <c r="AM45" s="124"/>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c r="FX45" s="100"/>
      <c r="FY45" s="100"/>
      <c r="FZ45" s="100"/>
      <c r="GA45" s="100"/>
      <c r="GB45" s="100"/>
      <c r="GC45" s="100"/>
      <c r="GD45" s="100"/>
      <c r="GE45" s="100"/>
      <c r="GF45" s="100"/>
    </row>
    <row r="46" spans="1:188" s="27" customFormat="1" x14ac:dyDescent="0.2">
      <c r="A46" s="125"/>
      <c r="B46" s="39"/>
      <c r="C46" s="86">
        <f t="shared" si="10"/>
        <v>0</v>
      </c>
      <c r="D46" s="103"/>
      <c r="E46" s="86">
        <f t="shared" si="11"/>
        <v>0</v>
      </c>
      <c r="F46" s="35"/>
      <c r="G46" s="121"/>
      <c r="H46" s="121"/>
      <c r="I46" s="121"/>
      <c r="J46" s="121"/>
      <c r="K46" s="121"/>
      <c r="L46" s="121"/>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4"/>
      <c r="AJ46" s="124"/>
      <c r="AK46" s="124"/>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row>
    <row r="47" spans="1:188" s="27" customFormat="1" ht="12.95" customHeight="1" x14ac:dyDescent="0.2">
      <c r="A47" s="125"/>
      <c r="B47" s="39"/>
      <c r="C47" s="86">
        <f t="shared" si="10"/>
        <v>0</v>
      </c>
      <c r="D47" s="103"/>
      <c r="E47" s="86">
        <f t="shared" si="11"/>
        <v>0</v>
      </c>
      <c r="F47" s="35"/>
      <c r="G47" s="121"/>
      <c r="H47" s="121"/>
      <c r="I47" s="121"/>
      <c r="J47" s="121"/>
      <c r="K47" s="121"/>
      <c r="L47" s="121"/>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4"/>
      <c r="AJ47" s="123"/>
      <c r="AK47" s="124"/>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00"/>
      <c r="EJ47" s="100"/>
      <c r="EK47" s="100"/>
      <c r="EL47" s="100"/>
      <c r="EM47" s="100"/>
      <c r="EN47" s="100"/>
      <c r="EO47" s="100"/>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c r="FL47" s="100"/>
      <c r="FM47" s="100"/>
      <c r="FN47" s="100"/>
      <c r="FO47" s="100"/>
      <c r="FP47" s="100"/>
      <c r="FQ47" s="100"/>
      <c r="FR47" s="100"/>
      <c r="FS47" s="100"/>
      <c r="FT47" s="100"/>
      <c r="FU47" s="100"/>
      <c r="FV47" s="100"/>
      <c r="FW47" s="100"/>
      <c r="FX47" s="100"/>
      <c r="FY47" s="100"/>
      <c r="FZ47" s="100"/>
      <c r="GA47" s="100"/>
      <c r="GB47" s="100"/>
      <c r="GC47" s="100"/>
      <c r="GD47" s="100"/>
      <c r="GE47" s="100"/>
      <c r="GF47" s="100"/>
    </row>
    <row r="48" spans="1:188" s="27" customFormat="1" ht="14.1" customHeight="1" x14ac:dyDescent="0.2">
      <c r="A48" s="125"/>
      <c r="B48" s="39"/>
      <c r="C48" s="36">
        <f t="shared" si="10"/>
        <v>0</v>
      </c>
      <c r="D48" s="103"/>
      <c r="E48" s="36">
        <f t="shared" si="11"/>
        <v>0</v>
      </c>
      <c r="F48" s="35"/>
      <c r="G48" s="121"/>
      <c r="H48" s="121"/>
      <c r="I48" s="121"/>
      <c r="J48" s="121"/>
      <c r="K48" s="121"/>
      <c r="L48" s="121"/>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4"/>
      <c r="AJ48" s="124"/>
      <c r="AK48" s="124"/>
      <c r="AL48" s="124"/>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00"/>
      <c r="EJ48" s="100"/>
      <c r="EK48" s="100"/>
      <c r="EL48" s="100"/>
      <c r="EM48" s="100"/>
      <c r="EN48" s="100"/>
      <c r="EO48" s="100"/>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c r="FL48" s="100"/>
      <c r="FM48" s="100"/>
      <c r="FN48" s="100"/>
      <c r="FO48" s="100"/>
      <c r="FP48" s="100"/>
      <c r="FQ48" s="100"/>
      <c r="FR48" s="100"/>
      <c r="FS48" s="100"/>
      <c r="FT48" s="100"/>
      <c r="FU48" s="100"/>
      <c r="FV48" s="100"/>
      <c r="FW48" s="100"/>
      <c r="FX48" s="100"/>
      <c r="FY48" s="100"/>
      <c r="FZ48" s="100"/>
      <c r="GA48" s="100"/>
      <c r="GB48" s="100"/>
      <c r="GC48" s="100"/>
      <c r="GD48" s="100"/>
      <c r="GE48" s="100"/>
      <c r="GF48" s="100"/>
    </row>
    <row r="49" spans="1:188" s="27" customFormat="1" ht="17.45" customHeight="1" x14ac:dyDescent="0.2">
      <c r="A49" s="125"/>
      <c r="B49" s="39"/>
      <c r="C49" s="86">
        <f t="shared" si="10"/>
        <v>0</v>
      </c>
      <c r="D49" s="109"/>
      <c r="E49" s="36">
        <f t="shared" si="11"/>
        <v>0</v>
      </c>
      <c r="F49" s="35"/>
      <c r="G49" s="121"/>
      <c r="H49" s="121"/>
      <c r="I49" s="121"/>
      <c r="J49" s="121"/>
      <c r="K49" s="121"/>
      <c r="L49" s="121"/>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4"/>
      <c r="AJ49" s="123"/>
      <c r="AK49" s="123"/>
      <c r="AL49" s="123"/>
      <c r="AM49" s="124"/>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0"/>
      <c r="FN49" s="100"/>
      <c r="FO49" s="100"/>
      <c r="FP49" s="100"/>
      <c r="FQ49" s="100"/>
      <c r="FR49" s="100"/>
      <c r="FS49" s="100"/>
      <c r="FT49" s="100"/>
      <c r="FU49" s="100"/>
      <c r="FV49" s="100"/>
      <c r="FW49" s="100"/>
      <c r="FX49" s="100"/>
      <c r="FY49" s="100"/>
      <c r="FZ49" s="100"/>
      <c r="GA49" s="100"/>
      <c r="GB49" s="100"/>
      <c r="GC49" s="100"/>
      <c r="GD49" s="100"/>
      <c r="GE49" s="100"/>
      <c r="GF49" s="100"/>
    </row>
    <row r="50" spans="1:188" s="27" customFormat="1" x14ac:dyDescent="0.2">
      <c r="A50" s="125"/>
      <c r="B50" s="39"/>
      <c r="C50" s="36">
        <f t="shared" si="10"/>
        <v>0</v>
      </c>
      <c r="D50" s="104"/>
      <c r="E50" s="36">
        <f t="shared" si="11"/>
        <v>0</v>
      </c>
      <c r="F50" s="35"/>
      <c r="G50" s="121"/>
      <c r="H50" s="121"/>
      <c r="I50" s="122"/>
      <c r="J50" s="121"/>
      <c r="K50" s="122"/>
      <c r="L50" s="122"/>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00"/>
      <c r="EJ50" s="100"/>
      <c r="EK50" s="100"/>
      <c r="EL50" s="100"/>
      <c r="EM50" s="100"/>
      <c r="EN50" s="100"/>
      <c r="EO50" s="100"/>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c r="GB50" s="100"/>
      <c r="GC50" s="100"/>
      <c r="GD50" s="100"/>
      <c r="GE50" s="100"/>
      <c r="GF50" s="100"/>
    </row>
    <row r="51" spans="1:188" s="27" customFormat="1" x14ac:dyDescent="0.2">
      <c r="A51" s="125"/>
      <c r="B51" s="39"/>
      <c r="C51" s="36">
        <f t="shared" si="10"/>
        <v>0</v>
      </c>
      <c r="D51" s="103"/>
      <c r="E51" s="36">
        <f t="shared" si="11"/>
        <v>0</v>
      </c>
      <c r="F51" s="35"/>
      <c r="G51" s="121"/>
      <c r="H51" s="121"/>
      <c r="I51" s="122"/>
      <c r="J51" s="121"/>
      <c r="K51" s="122"/>
      <c r="L51" s="122"/>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00"/>
      <c r="EJ51" s="100"/>
      <c r="EK51" s="100"/>
      <c r="EL51" s="100"/>
      <c r="EM51" s="100"/>
      <c r="EN51" s="100"/>
      <c r="EO51" s="100"/>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c r="FL51" s="100"/>
      <c r="FM51" s="100"/>
      <c r="FN51" s="100"/>
      <c r="FO51" s="100"/>
      <c r="FP51" s="100"/>
      <c r="FQ51" s="100"/>
      <c r="FR51" s="100"/>
      <c r="FS51" s="100"/>
      <c r="FT51" s="100"/>
      <c r="FU51" s="100"/>
      <c r="FV51" s="100"/>
      <c r="FW51" s="100"/>
      <c r="FX51" s="100"/>
      <c r="FY51" s="100"/>
      <c r="FZ51" s="100"/>
      <c r="GA51" s="100"/>
      <c r="GB51" s="100"/>
      <c r="GC51" s="100"/>
      <c r="GD51" s="100"/>
      <c r="GE51" s="100"/>
      <c r="GF51" s="100"/>
    </row>
    <row r="52" spans="1:188" s="27" customFormat="1" x14ac:dyDescent="0.2">
      <c r="A52" s="125"/>
      <c r="B52" s="39"/>
      <c r="C52" s="86">
        <f t="shared" si="10"/>
        <v>0</v>
      </c>
      <c r="D52" s="103"/>
      <c r="E52" s="86">
        <f t="shared" si="11"/>
        <v>0</v>
      </c>
      <c r="F52" s="35"/>
      <c r="G52" s="121"/>
      <c r="H52" s="121"/>
      <c r="I52" s="122"/>
      <c r="J52" s="121"/>
      <c r="K52" s="122"/>
      <c r="L52" s="122"/>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00"/>
      <c r="EJ52" s="100"/>
      <c r="EK52" s="100"/>
      <c r="EL52" s="100"/>
      <c r="EM52" s="100"/>
      <c r="EN52" s="100"/>
      <c r="EO52" s="100"/>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c r="FL52" s="100"/>
      <c r="FM52" s="100"/>
      <c r="FN52" s="100"/>
      <c r="FO52" s="100"/>
      <c r="FP52" s="100"/>
      <c r="FQ52" s="100"/>
      <c r="FR52" s="100"/>
      <c r="FS52" s="100"/>
      <c r="FT52" s="100"/>
      <c r="FU52" s="100"/>
      <c r="FV52" s="100"/>
      <c r="FW52" s="100"/>
      <c r="FX52" s="100"/>
      <c r="FY52" s="100"/>
      <c r="FZ52" s="100"/>
      <c r="GA52" s="100"/>
      <c r="GB52" s="100"/>
      <c r="GC52" s="100"/>
      <c r="GD52" s="100"/>
      <c r="GE52" s="100"/>
      <c r="GF52" s="100"/>
    </row>
    <row r="53" spans="1:188" s="27" customFormat="1" x14ac:dyDescent="0.2">
      <c r="A53" s="125"/>
      <c r="B53" s="39"/>
      <c r="C53" s="86">
        <f t="shared" si="10"/>
        <v>0</v>
      </c>
      <c r="D53" s="104"/>
      <c r="E53" s="86">
        <f t="shared" si="11"/>
        <v>0</v>
      </c>
      <c r="F53" s="35"/>
      <c r="G53" s="121"/>
      <c r="H53" s="121"/>
      <c r="I53" s="122"/>
      <c r="J53" s="121"/>
      <c r="K53" s="122"/>
      <c r="L53" s="122"/>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00"/>
      <c r="EJ53" s="100"/>
      <c r="EK53" s="100"/>
      <c r="EL53" s="100"/>
      <c r="EM53" s="100"/>
      <c r="EN53" s="100"/>
      <c r="EO53" s="100"/>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c r="FL53" s="100"/>
      <c r="FM53" s="100"/>
      <c r="FN53" s="100"/>
      <c r="FO53" s="100"/>
      <c r="FP53" s="100"/>
      <c r="FQ53" s="100"/>
      <c r="FR53" s="100"/>
      <c r="FS53" s="100"/>
      <c r="FT53" s="100"/>
      <c r="FU53" s="100"/>
      <c r="FV53" s="100"/>
      <c r="FW53" s="100"/>
      <c r="FX53" s="100"/>
      <c r="FY53" s="100"/>
      <c r="FZ53" s="100"/>
      <c r="GA53" s="100"/>
      <c r="GB53" s="100"/>
      <c r="GC53" s="100"/>
      <c r="GD53" s="100"/>
      <c r="GE53" s="100"/>
      <c r="GF53" s="100"/>
    </row>
    <row r="54" spans="1:188" s="27" customFormat="1" x14ac:dyDescent="0.2">
      <c r="A54" s="125"/>
      <c r="B54" s="39"/>
      <c r="C54" s="36">
        <f t="shared" si="10"/>
        <v>0</v>
      </c>
      <c r="D54" s="3"/>
      <c r="E54" s="36">
        <f t="shared" si="11"/>
        <v>0</v>
      </c>
      <c r="F54" s="35"/>
      <c r="G54" s="121"/>
      <c r="H54" s="121"/>
      <c r="I54" s="122"/>
      <c r="J54" s="121"/>
      <c r="K54" s="122"/>
      <c r="L54" s="122"/>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00"/>
      <c r="EJ54" s="100"/>
      <c r="EK54" s="100"/>
      <c r="EL54" s="100"/>
      <c r="EM54" s="100"/>
      <c r="EN54" s="100"/>
      <c r="EO54" s="100"/>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c r="FL54" s="100"/>
      <c r="FM54" s="100"/>
      <c r="FN54" s="100"/>
      <c r="FO54" s="100"/>
      <c r="FP54" s="100"/>
      <c r="FQ54" s="100"/>
      <c r="FR54" s="100"/>
      <c r="FS54" s="100"/>
      <c r="FT54" s="100"/>
      <c r="FU54" s="100"/>
      <c r="FV54" s="100"/>
      <c r="FW54" s="100"/>
      <c r="FX54" s="100"/>
      <c r="FY54" s="100"/>
      <c r="FZ54" s="100"/>
      <c r="GA54" s="100"/>
      <c r="GB54" s="100"/>
      <c r="GC54" s="100"/>
      <c r="GD54" s="100"/>
      <c r="GE54" s="100"/>
      <c r="GF54" s="100"/>
    </row>
    <row r="55" spans="1:188" s="27" customFormat="1" ht="17.45" customHeight="1" x14ac:dyDescent="0.2">
      <c r="A55" s="125"/>
      <c r="B55" s="39"/>
      <c r="C55" s="36">
        <f t="shared" si="10"/>
        <v>0</v>
      </c>
      <c r="D55" s="87"/>
      <c r="E55" s="36">
        <f t="shared" si="11"/>
        <v>0</v>
      </c>
      <c r="F55" s="35"/>
      <c r="G55" s="121"/>
      <c r="H55" s="121"/>
      <c r="I55" s="121"/>
      <c r="J55" s="121"/>
      <c r="K55" s="121"/>
      <c r="L55" s="121"/>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4"/>
      <c r="AW55" s="123"/>
      <c r="AX55" s="123"/>
      <c r="AY55" s="123"/>
      <c r="AZ55" s="123"/>
      <c r="BA55" s="123"/>
      <c r="BB55" s="123"/>
      <c r="BC55" s="123"/>
      <c r="BD55" s="123"/>
      <c r="BE55" s="123"/>
      <c r="BF55" s="124"/>
      <c r="BG55" s="123"/>
      <c r="BH55" s="123"/>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00"/>
      <c r="EJ55" s="100"/>
      <c r="EK55" s="100"/>
      <c r="EL55" s="100"/>
      <c r="EM55" s="100"/>
      <c r="EN55" s="100"/>
      <c r="EO55" s="100"/>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c r="FL55" s="100"/>
      <c r="FM55" s="100"/>
      <c r="FN55" s="100"/>
      <c r="FO55" s="100"/>
      <c r="FP55" s="100"/>
      <c r="FQ55" s="100"/>
      <c r="FR55" s="100"/>
      <c r="FS55" s="100"/>
      <c r="FT55" s="100"/>
      <c r="FU55" s="100"/>
      <c r="FV55" s="100"/>
      <c r="FW55" s="100"/>
      <c r="FX55" s="100"/>
      <c r="FY55" s="100"/>
      <c r="FZ55" s="100"/>
      <c r="GA55" s="100"/>
      <c r="GB55" s="100"/>
      <c r="GC55" s="100"/>
      <c r="GD55" s="100"/>
      <c r="GE55" s="100"/>
      <c r="GF55" s="100"/>
    </row>
    <row r="56" spans="1:188" s="27" customFormat="1" x14ac:dyDescent="0.2">
      <c r="A56" s="125"/>
      <c r="B56" s="39"/>
      <c r="C56" s="36">
        <f t="shared" si="10"/>
        <v>0</v>
      </c>
      <c r="D56" s="103"/>
      <c r="E56" s="36">
        <f t="shared" si="11"/>
        <v>0</v>
      </c>
      <c r="F56" s="35"/>
      <c r="G56" s="121"/>
      <c r="H56" s="124"/>
      <c r="I56" s="124"/>
      <c r="J56" s="124"/>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4"/>
      <c r="AW56" s="124"/>
      <c r="AX56" s="124"/>
      <c r="AY56" s="123"/>
      <c r="AZ56" s="123"/>
      <c r="BA56" s="123"/>
      <c r="BB56" s="123"/>
      <c r="BC56" s="123"/>
      <c r="BD56" s="123"/>
      <c r="BE56" s="123"/>
      <c r="BF56" s="123"/>
      <c r="BG56" s="123"/>
      <c r="BH56" s="123"/>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00"/>
      <c r="EJ56" s="100"/>
      <c r="EK56" s="100"/>
      <c r="EL56" s="100"/>
      <c r="EM56" s="100"/>
      <c r="EN56" s="100"/>
      <c r="EO56" s="100"/>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c r="FL56" s="100"/>
      <c r="FM56" s="100"/>
      <c r="FN56" s="100"/>
      <c r="FO56" s="100"/>
      <c r="FP56" s="100"/>
      <c r="FQ56" s="100"/>
      <c r="FR56" s="100"/>
      <c r="FS56" s="100"/>
    </row>
    <row r="57" spans="1:188" s="27" customFormat="1" x14ac:dyDescent="0.2">
      <c r="A57" s="125"/>
      <c r="B57" s="39"/>
      <c r="C57" s="36">
        <f t="shared" si="10"/>
        <v>0</v>
      </c>
      <c r="D57" s="103"/>
      <c r="E57" s="36">
        <f t="shared" si="11"/>
        <v>0</v>
      </c>
      <c r="F57" s="35"/>
      <c r="G57" s="121"/>
      <c r="H57" s="123"/>
      <c r="I57" s="124"/>
      <c r="J57" s="123"/>
      <c r="K57" s="123"/>
      <c r="L57" s="124"/>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4"/>
      <c r="AX57" s="123"/>
      <c r="AY57" s="123"/>
      <c r="AZ57" s="124"/>
      <c r="BA57" s="123"/>
      <c r="BB57" s="123"/>
      <c r="BC57" s="123"/>
      <c r="BD57" s="123"/>
      <c r="BE57" s="123"/>
      <c r="BF57" s="123"/>
      <c r="BG57" s="123"/>
      <c r="BH57" s="123"/>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c r="FL57" s="100"/>
      <c r="FM57" s="100"/>
      <c r="FN57" s="100"/>
      <c r="FO57" s="100"/>
      <c r="FP57" s="100"/>
      <c r="FQ57" s="100"/>
      <c r="FR57" s="100"/>
      <c r="FS57" s="100"/>
    </row>
    <row r="58" spans="1:188" s="27" customFormat="1" x14ac:dyDescent="0.2">
      <c r="A58" s="125"/>
      <c r="B58" s="39"/>
      <c r="C58" s="36">
        <f t="shared" si="10"/>
        <v>0</v>
      </c>
      <c r="D58" s="4"/>
      <c r="E58" s="36">
        <f t="shared" si="11"/>
        <v>0</v>
      </c>
      <c r="F58" s="35"/>
      <c r="G58" s="121"/>
      <c r="H58" s="123"/>
      <c r="I58" s="123"/>
      <c r="J58" s="124"/>
      <c r="K58" s="124"/>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4"/>
      <c r="AY58" s="124"/>
      <c r="AZ58" s="123"/>
      <c r="BA58" s="123"/>
      <c r="BB58" s="123"/>
      <c r="BC58" s="123"/>
      <c r="BD58" s="123"/>
      <c r="BE58" s="123"/>
      <c r="BF58" s="123"/>
      <c r="BG58" s="123"/>
      <c r="BH58" s="123"/>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00"/>
      <c r="EJ58" s="100"/>
      <c r="EK58" s="100"/>
      <c r="EL58" s="100"/>
      <c r="EM58" s="100"/>
      <c r="EN58" s="100"/>
      <c r="EO58" s="100"/>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c r="FL58" s="100"/>
      <c r="FM58" s="100"/>
      <c r="FN58" s="100"/>
      <c r="FO58" s="100"/>
      <c r="FP58" s="100"/>
      <c r="FQ58" s="100"/>
      <c r="FR58" s="100"/>
      <c r="FS58" s="100"/>
    </row>
    <row r="59" spans="1:188" s="27" customFormat="1" x14ac:dyDescent="0.2">
      <c r="A59" s="125"/>
      <c r="B59" s="39"/>
      <c r="C59" s="36">
        <f t="shared" si="10"/>
        <v>0</v>
      </c>
      <c r="D59" s="3"/>
      <c r="E59" s="36">
        <f t="shared" si="11"/>
        <v>0</v>
      </c>
      <c r="F59" s="35"/>
      <c r="G59" s="121"/>
      <c r="H59" s="123"/>
      <c r="I59" s="123"/>
      <c r="J59" s="123"/>
      <c r="K59" s="123"/>
      <c r="L59" s="124"/>
      <c r="M59" s="123"/>
      <c r="N59" s="123"/>
      <c r="O59" s="123"/>
      <c r="P59" s="123"/>
      <c r="Q59" s="123"/>
      <c r="R59" s="123"/>
      <c r="S59" s="123"/>
      <c r="T59" s="124"/>
      <c r="U59" s="124"/>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4"/>
      <c r="BA59" s="123"/>
      <c r="BB59" s="123"/>
      <c r="BC59" s="123"/>
      <c r="BD59" s="123"/>
      <c r="BE59" s="123"/>
      <c r="BF59" s="123"/>
      <c r="BG59" s="123"/>
      <c r="BH59" s="123"/>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00"/>
      <c r="EJ59" s="100"/>
      <c r="EK59" s="100"/>
      <c r="EL59" s="100"/>
      <c r="EM59" s="100"/>
      <c r="EN59" s="100"/>
      <c r="EO59" s="100"/>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c r="FL59" s="100"/>
      <c r="FM59" s="100"/>
      <c r="FN59" s="100"/>
      <c r="FO59" s="100"/>
      <c r="FP59" s="100"/>
      <c r="FQ59" s="100"/>
      <c r="FR59" s="100"/>
      <c r="FS59" s="100"/>
    </row>
    <row r="60" spans="1:188" s="27" customFormat="1" x14ac:dyDescent="0.2">
      <c r="A60" s="125"/>
      <c r="B60" s="39"/>
      <c r="C60" s="36">
        <f t="shared" si="10"/>
        <v>0</v>
      </c>
      <c r="D60" s="3"/>
      <c r="E60" s="36">
        <f t="shared" si="11"/>
        <v>0</v>
      </c>
      <c r="F60" s="35"/>
      <c r="G60" s="121"/>
      <c r="H60" s="123"/>
      <c r="I60" s="123"/>
      <c r="J60" s="123"/>
      <c r="K60" s="123"/>
      <c r="L60" s="124"/>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4"/>
      <c r="BA60" s="123"/>
      <c r="BB60" s="123"/>
      <c r="BC60" s="123"/>
      <c r="BD60" s="123"/>
      <c r="BE60" s="123"/>
      <c r="BF60" s="123"/>
      <c r="BG60" s="123"/>
      <c r="BH60" s="123"/>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00"/>
      <c r="EJ60" s="100"/>
      <c r="EK60" s="100"/>
      <c r="EL60" s="100"/>
      <c r="EM60" s="100"/>
      <c r="EN60" s="100"/>
      <c r="EO60" s="100"/>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c r="FL60" s="100"/>
      <c r="FM60" s="100"/>
      <c r="FN60" s="100"/>
      <c r="FO60" s="100"/>
      <c r="FP60" s="100"/>
      <c r="FQ60" s="100"/>
      <c r="FR60" s="100"/>
      <c r="FS60" s="100"/>
    </row>
    <row r="61" spans="1:188" s="27" customFormat="1" ht="17.45" customHeight="1" x14ac:dyDescent="0.2">
      <c r="A61" s="125"/>
      <c r="B61" s="39"/>
      <c r="C61" s="36">
        <f t="shared" si="10"/>
        <v>0</v>
      </c>
      <c r="D61" s="87"/>
      <c r="E61" s="36">
        <f t="shared" si="11"/>
        <v>0</v>
      </c>
      <c r="F61" s="35"/>
      <c r="G61" s="121"/>
      <c r="H61" s="121"/>
      <c r="I61" s="121"/>
      <c r="J61" s="121"/>
      <c r="K61" s="121"/>
      <c r="L61" s="121"/>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4"/>
      <c r="BA61" s="123"/>
      <c r="BB61" s="123"/>
      <c r="BC61" s="123"/>
      <c r="BD61" s="123"/>
      <c r="BE61" s="123"/>
      <c r="BF61" s="123"/>
      <c r="BG61" s="123"/>
      <c r="BH61" s="123"/>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00"/>
      <c r="EJ61" s="100"/>
      <c r="EK61" s="100"/>
      <c r="EL61" s="100"/>
      <c r="EM61" s="100"/>
      <c r="EN61" s="100"/>
      <c r="EO61" s="100"/>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c r="FL61" s="100"/>
      <c r="FM61" s="100"/>
      <c r="FN61" s="100"/>
      <c r="FO61" s="100"/>
      <c r="FP61" s="100"/>
      <c r="FQ61" s="100"/>
      <c r="FR61" s="100"/>
      <c r="FS61" s="100"/>
      <c r="FT61" s="100"/>
      <c r="FU61" s="100"/>
      <c r="FV61" s="100"/>
      <c r="FW61" s="100"/>
      <c r="FX61" s="100"/>
      <c r="FY61" s="100"/>
      <c r="FZ61" s="100"/>
      <c r="GA61" s="100"/>
      <c r="GB61" s="100"/>
      <c r="GC61" s="100"/>
      <c r="GD61" s="100"/>
      <c r="GE61" s="100"/>
      <c r="GF61" s="100"/>
    </row>
    <row r="62" spans="1:188" s="27" customFormat="1" ht="16.5" customHeight="1" x14ac:dyDescent="0.2">
      <c r="A62" s="125"/>
      <c r="B62" s="39"/>
      <c r="C62" s="86">
        <f t="shared" si="10"/>
        <v>0</v>
      </c>
      <c r="D62" s="87"/>
      <c r="E62" s="86">
        <f t="shared" si="11"/>
        <v>0</v>
      </c>
      <c r="F62" s="35"/>
      <c r="G62" s="121"/>
      <c r="H62" s="121"/>
      <c r="I62" s="121"/>
      <c r="J62" s="121"/>
      <c r="K62" s="121"/>
      <c r="L62" s="121"/>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00"/>
      <c r="EJ62" s="100"/>
      <c r="EK62" s="100"/>
      <c r="EL62" s="100"/>
      <c r="EM62" s="100"/>
      <c r="EN62" s="100"/>
      <c r="EO62" s="100"/>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c r="FL62" s="100"/>
      <c r="FM62" s="100"/>
      <c r="FN62" s="100"/>
      <c r="FO62" s="100"/>
      <c r="FP62" s="100"/>
      <c r="FQ62" s="100"/>
      <c r="FR62" s="100"/>
      <c r="FS62" s="100"/>
      <c r="FT62" s="100"/>
      <c r="FU62" s="100"/>
      <c r="FV62" s="100"/>
      <c r="FW62" s="100"/>
      <c r="FX62" s="100"/>
      <c r="FY62" s="100"/>
      <c r="FZ62" s="100"/>
      <c r="GA62" s="100"/>
      <c r="GB62" s="100"/>
      <c r="GC62" s="100"/>
      <c r="GD62" s="100"/>
      <c r="GE62" s="100"/>
      <c r="GF62" s="100"/>
    </row>
    <row r="63" spans="1:188" s="27" customFormat="1" x14ac:dyDescent="0.2">
      <c r="A63" s="125"/>
      <c r="B63" s="39"/>
      <c r="C63" s="86">
        <f t="shared" si="10"/>
        <v>0</v>
      </c>
      <c r="D63" s="4"/>
      <c r="E63" s="86">
        <f t="shared" si="11"/>
        <v>0</v>
      </c>
      <c r="F63" s="35"/>
      <c r="G63" s="121"/>
      <c r="H63" s="121"/>
      <c r="I63" s="121"/>
      <c r="J63" s="121"/>
      <c r="K63" s="121"/>
      <c r="L63" s="121"/>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c r="FL63" s="100"/>
      <c r="FM63" s="100"/>
      <c r="FN63" s="100"/>
      <c r="FO63" s="100"/>
      <c r="FP63" s="100"/>
      <c r="FQ63" s="100"/>
      <c r="FR63" s="100"/>
      <c r="FS63" s="100"/>
      <c r="FT63" s="100"/>
      <c r="FU63" s="100"/>
      <c r="FV63" s="100"/>
      <c r="FW63" s="100"/>
      <c r="FX63" s="100"/>
      <c r="FY63" s="100"/>
      <c r="FZ63" s="100"/>
      <c r="GA63" s="100"/>
      <c r="GB63" s="100"/>
      <c r="GC63" s="100"/>
      <c r="GD63" s="100"/>
      <c r="GE63" s="100"/>
      <c r="GF63" s="100"/>
    </row>
    <row r="64" spans="1:188" s="27" customFormat="1" x14ac:dyDescent="0.2">
      <c r="A64" s="125"/>
      <c r="B64" s="39"/>
      <c r="C64" s="36">
        <f t="shared" si="10"/>
        <v>0</v>
      </c>
      <c r="D64" s="3"/>
      <c r="E64" s="36">
        <f t="shared" si="11"/>
        <v>0</v>
      </c>
      <c r="F64" s="35"/>
      <c r="G64" s="121"/>
      <c r="H64" s="123"/>
      <c r="I64" s="123"/>
      <c r="J64" s="123"/>
      <c r="K64" s="123"/>
      <c r="L64" s="123"/>
      <c r="M64" s="123"/>
      <c r="N64" s="124"/>
      <c r="O64" s="124"/>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00"/>
      <c r="EJ64" s="100"/>
      <c r="EK64" s="100"/>
      <c r="EL64" s="100"/>
      <c r="EM64" s="100"/>
      <c r="EN64" s="100"/>
      <c r="EO64" s="100"/>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c r="FL64" s="100"/>
      <c r="FM64" s="100"/>
      <c r="FN64" s="100"/>
      <c r="FO64" s="100"/>
      <c r="FP64" s="100"/>
      <c r="FQ64" s="100"/>
      <c r="FR64" s="100"/>
      <c r="FS64" s="100"/>
      <c r="FT64" s="100"/>
      <c r="FU64" s="100"/>
      <c r="FV64" s="100"/>
      <c r="FW64" s="100"/>
    </row>
    <row r="65" spans="1:188" s="27" customFormat="1" x14ac:dyDescent="0.2">
      <c r="A65" s="125"/>
      <c r="B65" s="39"/>
      <c r="C65" s="86">
        <f t="shared" si="10"/>
        <v>0</v>
      </c>
      <c r="D65" s="3"/>
      <c r="E65" s="86">
        <f t="shared" si="11"/>
        <v>0</v>
      </c>
      <c r="F65" s="35"/>
      <c r="G65" s="121"/>
      <c r="H65" s="121"/>
      <c r="I65" s="121"/>
      <c r="J65" s="121"/>
      <c r="K65" s="121"/>
      <c r="L65" s="121"/>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4"/>
      <c r="BF65" s="123"/>
      <c r="BG65" s="123"/>
      <c r="BH65" s="123"/>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00"/>
      <c r="EJ65" s="100"/>
      <c r="EK65" s="100"/>
      <c r="EL65" s="100"/>
      <c r="EM65" s="100"/>
      <c r="EN65" s="100"/>
      <c r="EO65" s="100"/>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c r="FL65" s="100"/>
      <c r="FM65" s="100"/>
      <c r="FN65" s="100"/>
      <c r="FO65" s="100"/>
      <c r="FP65" s="100"/>
      <c r="FQ65" s="100"/>
      <c r="FR65" s="100"/>
      <c r="FS65" s="100"/>
      <c r="FT65" s="100"/>
      <c r="FU65" s="100"/>
      <c r="FV65" s="100"/>
      <c r="FW65" s="100"/>
      <c r="FX65" s="100"/>
      <c r="FY65" s="100"/>
      <c r="FZ65" s="100"/>
      <c r="GA65" s="100"/>
      <c r="GB65" s="100"/>
      <c r="GC65" s="100"/>
      <c r="GD65" s="100"/>
      <c r="GE65" s="100"/>
      <c r="GF65" s="100"/>
    </row>
    <row r="66" spans="1:188" s="27" customFormat="1" x14ac:dyDescent="0.2">
      <c r="A66" s="125"/>
      <c r="B66" s="39"/>
      <c r="C66" s="86">
        <f t="shared" si="10"/>
        <v>0</v>
      </c>
      <c r="D66" s="3"/>
      <c r="E66" s="86">
        <f t="shared" si="11"/>
        <v>0</v>
      </c>
      <c r="F66" s="35"/>
      <c r="G66" s="121"/>
      <c r="H66" s="121"/>
      <c r="I66" s="121"/>
      <c r="J66" s="121"/>
      <c r="K66" s="121"/>
      <c r="L66" s="121"/>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4"/>
      <c r="BF66" s="123"/>
      <c r="BG66" s="123"/>
      <c r="BH66" s="123"/>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row>
    <row r="67" spans="1:188" s="27" customFormat="1" x14ac:dyDescent="0.2">
      <c r="A67" s="125"/>
      <c r="B67" s="39"/>
      <c r="C67" s="36">
        <f t="shared" si="10"/>
        <v>0</v>
      </c>
      <c r="D67" s="4"/>
      <c r="E67" s="36">
        <f t="shared" si="11"/>
        <v>0</v>
      </c>
      <c r="F67" s="35"/>
      <c r="G67" s="121"/>
      <c r="H67" s="121"/>
      <c r="I67" s="122"/>
      <c r="J67" s="121"/>
      <c r="K67" s="121"/>
      <c r="L67" s="121"/>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4"/>
      <c r="BF67" s="123"/>
      <c r="BG67" s="123"/>
      <c r="BH67" s="123"/>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c r="FL67" s="100"/>
      <c r="FM67" s="100"/>
      <c r="FN67" s="100"/>
      <c r="FO67" s="100"/>
      <c r="FP67" s="100"/>
      <c r="FQ67" s="100"/>
      <c r="FR67" s="100"/>
      <c r="FS67" s="100"/>
      <c r="FT67" s="100"/>
      <c r="FU67" s="100"/>
      <c r="FV67" s="100"/>
      <c r="FW67" s="100"/>
      <c r="FX67" s="100"/>
      <c r="FY67" s="100"/>
      <c r="FZ67" s="100"/>
      <c r="GA67" s="100"/>
      <c r="GB67" s="100"/>
      <c r="GC67" s="100"/>
      <c r="GD67" s="100"/>
      <c r="GE67" s="100"/>
      <c r="GF67" s="100"/>
    </row>
    <row r="68" spans="1:188" s="27" customFormat="1" x14ac:dyDescent="0.2">
      <c r="A68" s="38"/>
      <c r="B68" s="39"/>
      <c r="C68" s="36">
        <f t="shared" si="10"/>
        <v>0</v>
      </c>
      <c r="D68" s="3"/>
      <c r="E68" s="36">
        <f t="shared" si="11"/>
        <v>0</v>
      </c>
      <c r="F68" s="35"/>
      <c r="G68" s="121"/>
      <c r="H68" s="121"/>
      <c r="I68" s="122"/>
      <c r="J68" s="121"/>
      <c r="K68" s="121"/>
      <c r="L68" s="121"/>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4"/>
      <c r="BG68" s="123"/>
      <c r="BH68" s="123"/>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00"/>
      <c r="EJ68" s="100"/>
      <c r="EK68" s="100"/>
      <c r="EL68" s="100"/>
      <c r="EM68" s="100"/>
      <c r="EN68" s="100"/>
      <c r="EO68" s="100"/>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c r="FL68" s="100"/>
      <c r="FM68" s="100"/>
      <c r="FN68" s="100"/>
      <c r="FO68" s="100"/>
      <c r="FP68" s="100"/>
      <c r="FQ68" s="100"/>
      <c r="FR68" s="100"/>
      <c r="FS68" s="100"/>
      <c r="FT68" s="100"/>
      <c r="FU68" s="100"/>
      <c r="FV68" s="100"/>
      <c r="FW68" s="100"/>
      <c r="FX68" s="100"/>
      <c r="FY68" s="100"/>
      <c r="FZ68" s="100"/>
      <c r="GA68" s="100"/>
      <c r="GB68" s="100"/>
      <c r="GC68" s="100"/>
      <c r="GD68" s="100"/>
      <c r="GE68" s="100"/>
      <c r="GF68" s="100"/>
    </row>
    <row r="69" spans="1:188" s="27" customFormat="1" x14ac:dyDescent="0.2">
      <c r="A69" s="38"/>
      <c r="B69" s="37"/>
      <c r="C69" s="36">
        <f t="shared" si="10"/>
        <v>0</v>
      </c>
      <c r="D69" s="4"/>
      <c r="E69" s="36">
        <f t="shared" si="11"/>
        <v>0</v>
      </c>
      <c r="H69" s="121"/>
      <c r="I69" s="121"/>
      <c r="J69" s="121"/>
      <c r="K69" s="121"/>
      <c r="L69" s="121"/>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00"/>
      <c r="EJ69" s="100"/>
      <c r="EK69" s="100"/>
      <c r="EL69" s="100"/>
      <c r="EM69" s="100"/>
      <c r="EN69" s="100"/>
      <c r="EO69" s="100"/>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c r="FL69" s="100"/>
      <c r="FM69" s="100"/>
      <c r="FN69" s="100"/>
      <c r="FO69" s="100"/>
      <c r="FP69" s="100"/>
      <c r="FQ69" s="100"/>
      <c r="FR69" s="100"/>
      <c r="FS69" s="100"/>
      <c r="FT69" s="100"/>
      <c r="FU69" s="100"/>
      <c r="FV69" s="100"/>
      <c r="FW69" s="100"/>
      <c r="FX69" s="100"/>
      <c r="FY69" s="100"/>
      <c r="FZ69" s="100"/>
      <c r="GA69" s="100"/>
      <c r="GB69" s="100"/>
      <c r="GC69" s="100"/>
      <c r="GD69" s="100"/>
      <c r="GE69" s="100"/>
      <c r="GF69" s="100"/>
    </row>
    <row r="70" spans="1:188" s="27" customFormat="1" x14ac:dyDescent="0.2">
      <c r="A70" s="38"/>
      <c r="B70" s="37"/>
      <c r="C70" s="36">
        <f t="shared" si="10"/>
        <v>0</v>
      </c>
      <c r="D70" s="4"/>
      <c r="E70" s="36">
        <f t="shared" si="11"/>
        <v>0</v>
      </c>
      <c r="H70" s="121"/>
      <c r="I70" s="121"/>
      <c r="J70" s="121"/>
      <c r="K70" s="121"/>
      <c r="L70" s="121"/>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00"/>
      <c r="EJ70" s="100"/>
      <c r="EK70" s="100"/>
      <c r="EL70" s="100"/>
      <c r="EM70" s="100"/>
      <c r="EN70" s="100"/>
      <c r="EO70" s="100"/>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c r="FL70" s="100"/>
      <c r="FM70" s="100"/>
      <c r="FN70" s="100"/>
      <c r="FO70" s="100"/>
      <c r="FP70" s="100"/>
      <c r="FQ70" s="100"/>
      <c r="FR70" s="100"/>
      <c r="FS70" s="100"/>
      <c r="FT70" s="100"/>
      <c r="FU70" s="100"/>
      <c r="FV70" s="100"/>
      <c r="FW70" s="100"/>
      <c r="FX70" s="100"/>
      <c r="FY70" s="100"/>
      <c r="FZ70" s="100"/>
      <c r="GA70" s="100"/>
      <c r="GB70" s="100"/>
      <c r="GC70" s="100"/>
      <c r="GD70" s="100"/>
      <c r="GE70" s="100"/>
      <c r="GF70" s="100"/>
    </row>
    <row r="71" spans="1:188" s="27" customFormat="1" x14ac:dyDescent="0.2">
      <c r="A71" s="38"/>
      <c r="B71" s="37"/>
      <c r="C71" s="36">
        <f t="shared" si="10"/>
        <v>0</v>
      </c>
      <c r="D71" s="4"/>
      <c r="E71" s="36">
        <f t="shared" si="11"/>
        <v>0</v>
      </c>
      <c r="H71" s="121"/>
      <c r="I71" s="121"/>
      <c r="J71" s="121"/>
      <c r="K71" s="121"/>
      <c r="L71" s="121"/>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00"/>
      <c r="EJ71" s="100"/>
      <c r="EK71" s="100"/>
      <c r="EL71" s="100"/>
      <c r="EM71" s="100"/>
      <c r="EN71" s="100"/>
      <c r="EO71" s="100"/>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c r="FL71" s="100"/>
      <c r="FM71" s="100"/>
      <c r="FN71" s="100"/>
      <c r="FO71" s="100"/>
      <c r="FP71" s="100"/>
      <c r="FQ71" s="100"/>
      <c r="FR71" s="100"/>
      <c r="FS71" s="100"/>
      <c r="FT71" s="100"/>
      <c r="FU71" s="100"/>
      <c r="FV71" s="100"/>
      <c r="FW71" s="100"/>
      <c r="FX71" s="100"/>
      <c r="FY71" s="100"/>
      <c r="FZ71" s="100"/>
      <c r="GA71" s="100"/>
      <c r="GB71" s="100"/>
      <c r="GC71" s="100"/>
      <c r="GD71" s="100"/>
      <c r="GE71" s="100"/>
      <c r="GF71" s="100"/>
    </row>
    <row r="72" spans="1:188" s="27" customFormat="1" x14ac:dyDescent="0.2">
      <c r="A72" s="38"/>
      <c r="B72" s="37"/>
      <c r="C72" s="36">
        <f t="shared" si="10"/>
        <v>0</v>
      </c>
      <c r="D72" s="89"/>
      <c r="E72" s="36">
        <f t="shared" si="11"/>
        <v>0</v>
      </c>
      <c r="H72" s="121"/>
      <c r="I72" s="121"/>
      <c r="J72" s="121"/>
      <c r="K72" s="121"/>
      <c r="L72" s="121"/>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row>
    <row r="73" spans="1:188" s="27" customFormat="1" x14ac:dyDescent="0.2">
      <c r="A73" s="38"/>
      <c r="B73" s="37"/>
      <c r="C73" s="86">
        <f t="shared" si="10"/>
        <v>0</v>
      </c>
      <c r="D73" s="66"/>
      <c r="E73" s="86">
        <f t="shared" si="11"/>
        <v>0</v>
      </c>
      <c r="H73" s="121"/>
      <c r="I73" s="121"/>
      <c r="J73" s="121"/>
      <c r="K73" s="121"/>
      <c r="L73" s="121"/>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00"/>
      <c r="EJ73" s="100"/>
      <c r="EK73" s="100"/>
      <c r="EL73" s="100"/>
      <c r="EM73" s="100"/>
      <c r="EN73" s="100"/>
      <c r="EO73" s="100"/>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c r="FL73" s="100"/>
      <c r="FM73" s="100"/>
      <c r="FN73" s="100"/>
      <c r="FO73" s="100"/>
      <c r="FP73" s="100"/>
      <c r="FQ73" s="100"/>
      <c r="FR73" s="100"/>
      <c r="FS73" s="100"/>
      <c r="FT73" s="100"/>
      <c r="FU73" s="100"/>
      <c r="FV73" s="100"/>
      <c r="FW73" s="100"/>
      <c r="FX73" s="100"/>
      <c r="FY73" s="100"/>
      <c r="FZ73" s="100"/>
      <c r="GA73" s="100"/>
      <c r="GB73" s="100"/>
      <c r="GC73" s="100"/>
      <c r="GD73" s="100"/>
      <c r="GE73" s="100"/>
      <c r="GF73" s="100"/>
    </row>
    <row r="74" spans="1:188" s="27" customFormat="1" x14ac:dyDescent="0.2">
      <c r="A74" s="38"/>
      <c r="B74" s="37"/>
      <c r="C74" s="86">
        <f t="shared" si="10"/>
        <v>0</v>
      </c>
      <c r="D74" s="66"/>
      <c r="E74" s="86">
        <f t="shared" ref="E74:E137" si="15">SUM(G74:HT74)</f>
        <v>0</v>
      </c>
      <c r="H74" s="121"/>
      <c r="I74" s="121"/>
      <c r="J74" s="121"/>
      <c r="K74" s="121"/>
      <c r="L74" s="121"/>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row>
    <row r="75" spans="1:188" s="27" customFormat="1" x14ac:dyDescent="0.2">
      <c r="A75" s="38"/>
      <c r="B75" s="37"/>
      <c r="C75" s="36">
        <f t="shared" si="10"/>
        <v>0</v>
      </c>
      <c r="D75" s="66"/>
      <c r="E75" s="36">
        <f t="shared" si="15"/>
        <v>0</v>
      </c>
      <c r="H75" s="28"/>
      <c r="I75" s="28"/>
      <c r="J75" s="28"/>
      <c r="K75" s="28"/>
      <c r="L75" s="28"/>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c r="FL75" s="100"/>
      <c r="FM75" s="100"/>
      <c r="FN75" s="100"/>
      <c r="FO75" s="100"/>
      <c r="FP75" s="100"/>
      <c r="FQ75" s="100"/>
      <c r="FR75" s="100"/>
      <c r="FS75" s="100"/>
      <c r="FT75" s="100"/>
      <c r="FU75" s="100"/>
      <c r="FV75" s="100"/>
      <c r="FW75" s="100"/>
      <c r="FX75" s="100"/>
      <c r="FY75" s="100"/>
      <c r="FZ75" s="100"/>
      <c r="GA75" s="100"/>
      <c r="GB75" s="100"/>
      <c r="GC75" s="100"/>
      <c r="GD75" s="100"/>
      <c r="GE75" s="100"/>
      <c r="GF75" s="100"/>
    </row>
    <row r="76" spans="1:188" s="27" customFormat="1" x14ac:dyDescent="0.2">
      <c r="A76" s="38"/>
      <c r="B76" s="37"/>
      <c r="C76" s="36">
        <f t="shared" si="10"/>
        <v>0</v>
      </c>
      <c r="D76" s="66"/>
      <c r="E76" s="36">
        <f t="shared" si="15"/>
        <v>0</v>
      </c>
      <c r="H76" s="28"/>
      <c r="I76" s="28"/>
      <c r="J76" s="28"/>
      <c r="K76" s="28"/>
      <c r="L76" s="28"/>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row>
    <row r="77" spans="1:188" s="27" customFormat="1" x14ac:dyDescent="0.2">
      <c r="A77" s="38"/>
      <c r="B77" s="37"/>
      <c r="C77" s="36">
        <f t="shared" si="10"/>
        <v>0</v>
      </c>
      <c r="D77" s="66"/>
      <c r="E77" s="36">
        <f t="shared" si="15"/>
        <v>0</v>
      </c>
      <c r="H77" s="28"/>
      <c r="I77" s="28"/>
      <c r="J77" s="28"/>
      <c r="K77" s="28"/>
      <c r="L77" s="28"/>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c r="GB77" s="100"/>
      <c r="GC77" s="100"/>
      <c r="GD77" s="100"/>
      <c r="GE77" s="100"/>
      <c r="GF77" s="100"/>
    </row>
    <row r="78" spans="1:188" s="27" customFormat="1" x14ac:dyDescent="0.2">
      <c r="A78" s="38"/>
      <c r="B78" s="37"/>
      <c r="C78" s="36">
        <f t="shared" si="10"/>
        <v>0</v>
      </c>
      <c r="D78" s="66"/>
      <c r="E78" s="36">
        <f t="shared" si="15"/>
        <v>0</v>
      </c>
      <c r="H78" s="28"/>
      <c r="I78" s="28"/>
      <c r="J78" s="28"/>
      <c r="K78" s="28"/>
      <c r="L78" s="28"/>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row>
    <row r="79" spans="1:188" s="27" customFormat="1" x14ac:dyDescent="0.2">
      <c r="A79" s="38"/>
      <c r="B79" s="37"/>
      <c r="C79" s="86">
        <f t="shared" si="10"/>
        <v>0</v>
      </c>
      <c r="D79" s="88"/>
      <c r="E79" s="86">
        <f t="shared" si="15"/>
        <v>0</v>
      </c>
      <c r="H79" s="28"/>
      <c r="I79" s="28"/>
      <c r="J79" s="28"/>
      <c r="K79" s="28"/>
      <c r="L79" s="28"/>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c r="FL79" s="100"/>
      <c r="FM79" s="100"/>
      <c r="FN79" s="100"/>
      <c r="FO79" s="100"/>
      <c r="FP79" s="100"/>
      <c r="FQ79" s="100"/>
      <c r="FR79" s="100"/>
      <c r="FS79" s="100"/>
      <c r="FT79" s="100"/>
      <c r="FU79" s="100"/>
      <c r="FV79" s="100"/>
      <c r="FW79" s="100"/>
      <c r="FX79" s="100"/>
      <c r="FY79" s="100"/>
      <c r="FZ79" s="100"/>
      <c r="GA79" s="100"/>
      <c r="GB79" s="100"/>
      <c r="GC79" s="100"/>
      <c r="GD79" s="100"/>
      <c r="GE79" s="100"/>
      <c r="GF79" s="100"/>
    </row>
    <row r="80" spans="1:188" s="27" customFormat="1" x14ac:dyDescent="0.2">
      <c r="A80" s="38"/>
      <c r="B80" s="37"/>
      <c r="C80" s="36">
        <f t="shared" si="10"/>
        <v>0</v>
      </c>
      <c r="D80" s="66"/>
      <c r="E80" s="36">
        <f t="shared" si="15"/>
        <v>0</v>
      </c>
      <c r="H80" s="28"/>
      <c r="I80" s="28"/>
      <c r="J80" s="28"/>
      <c r="K80" s="28"/>
      <c r="L80" s="28"/>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00"/>
      <c r="EJ80" s="100"/>
      <c r="EK80" s="100"/>
      <c r="EL80" s="100"/>
      <c r="EM80" s="100"/>
      <c r="EN80" s="100"/>
      <c r="EO80" s="100"/>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c r="FL80" s="100"/>
      <c r="FM80" s="100"/>
      <c r="FN80" s="100"/>
      <c r="FO80" s="100"/>
      <c r="FP80" s="100"/>
      <c r="FQ80" s="100"/>
      <c r="FR80" s="100"/>
      <c r="FS80" s="100"/>
      <c r="FT80" s="100"/>
      <c r="FU80" s="100"/>
      <c r="FV80" s="100"/>
      <c r="FW80" s="100"/>
      <c r="FX80" s="100"/>
      <c r="FY80" s="100"/>
      <c r="FZ80" s="100"/>
      <c r="GA80" s="100"/>
      <c r="GB80" s="100"/>
      <c r="GC80" s="100"/>
      <c r="GD80" s="100"/>
      <c r="GE80" s="100"/>
      <c r="GF80" s="100"/>
    </row>
    <row r="81" spans="1:188" s="27" customFormat="1" x14ac:dyDescent="0.2">
      <c r="A81" s="38"/>
      <c r="B81" s="37"/>
      <c r="C81" s="86">
        <f t="shared" si="10"/>
        <v>0</v>
      </c>
      <c r="D81" s="3"/>
      <c r="E81" s="86">
        <f t="shared" si="15"/>
        <v>0</v>
      </c>
      <c r="H81" s="28"/>
      <c r="I81" s="28"/>
      <c r="J81" s="28"/>
      <c r="K81" s="28"/>
      <c r="L81" s="28"/>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c r="FL81" s="100"/>
      <c r="FM81" s="100"/>
      <c r="FN81" s="100"/>
      <c r="FO81" s="100"/>
      <c r="FP81" s="100"/>
      <c r="FQ81" s="100"/>
      <c r="FR81" s="100"/>
      <c r="FS81" s="100"/>
      <c r="FT81" s="100"/>
      <c r="FU81" s="100"/>
      <c r="FV81" s="100"/>
      <c r="FW81" s="100"/>
      <c r="FX81" s="100"/>
      <c r="FY81" s="100"/>
      <c r="FZ81" s="100"/>
      <c r="GA81" s="100"/>
      <c r="GB81" s="100"/>
      <c r="GC81" s="100"/>
      <c r="GD81" s="100"/>
      <c r="GE81" s="100"/>
      <c r="GF81" s="100"/>
    </row>
    <row r="82" spans="1:188" s="27" customFormat="1" x14ac:dyDescent="0.2">
      <c r="A82" s="38"/>
      <c r="B82" s="37"/>
      <c r="C82" s="36">
        <f t="shared" si="10"/>
        <v>0</v>
      </c>
      <c r="D82" s="66"/>
      <c r="E82" s="36">
        <f t="shared" si="15"/>
        <v>0</v>
      </c>
      <c r="H82" s="28"/>
      <c r="I82" s="28"/>
      <c r="J82" s="28"/>
      <c r="K82" s="28"/>
      <c r="L82" s="28"/>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row>
    <row r="83" spans="1:188" s="27" customFormat="1" x14ac:dyDescent="0.2">
      <c r="A83" s="38"/>
      <c r="B83" s="37"/>
      <c r="C83" s="86">
        <f t="shared" si="10"/>
        <v>0</v>
      </c>
      <c r="D83" s="3"/>
      <c r="E83" s="86">
        <f t="shared" si="15"/>
        <v>0</v>
      </c>
      <c r="H83" s="28"/>
      <c r="I83" s="28"/>
      <c r="J83" s="28"/>
      <c r="K83" s="28"/>
      <c r="L83" s="28"/>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row>
    <row r="84" spans="1:188" s="27" customFormat="1" x14ac:dyDescent="0.2">
      <c r="A84" s="38"/>
      <c r="B84" s="37"/>
      <c r="C84" s="36">
        <f t="shared" si="10"/>
        <v>0</v>
      </c>
      <c r="D84" s="66"/>
      <c r="E84" s="36">
        <f t="shared" si="15"/>
        <v>0</v>
      </c>
      <c r="H84" s="28"/>
      <c r="I84" s="28"/>
      <c r="J84" s="28"/>
      <c r="K84" s="28"/>
      <c r="L84" s="28"/>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row>
    <row r="85" spans="1:188" s="27" customFormat="1" x14ac:dyDescent="0.2">
      <c r="A85" s="38"/>
      <c r="B85" s="37"/>
      <c r="C85" s="36">
        <f t="shared" si="10"/>
        <v>0</v>
      </c>
      <c r="D85" s="3"/>
      <c r="E85" s="36">
        <f t="shared" si="15"/>
        <v>0</v>
      </c>
      <c r="H85" s="28"/>
      <c r="I85" s="28"/>
      <c r="J85" s="28"/>
      <c r="K85" s="28"/>
      <c r="L85" s="28"/>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row>
    <row r="86" spans="1:188" s="27" customFormat="1" x14ac:dyDescent="0.2">
      <c r="A86" s="38"/>
      <c r="B86" s="37"/>
      <c r="C86" s="36">
        <f t="shared" si="10"/>
        <v>0</v>
      </c>
      <c r="D86" s="66"/>
      <c r="E86" s="36">
        <f t="shared" si="15"/>
        <v>0</v>
      </c>
      <c r="H86" s="28"/>
      <c r="I86" s="28"/>
      <c r="J86" s="28"/>
      <c r="K86" s="28"/>
      <c r="L86" s="28"/>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row>
    <row r="87" spans="1:188" s="27" customFormat="1" x14ac:dyDescent="0.2">
      <c r="A87" s="38"/>
      <c r="B87" s="37"/>
      <c r="C87" s="36">
        <f t="shared" si="10"/>
        <v>0</v>
      </c>
      <c r="D87" s="66"/>
      <c r="E87" s="36">
        <f t="shared" si="15"/>
        <v>0</v>
      </c>
      <c r="H87" s="28"/>
      <c r="I87" s="28"/>
      <c r="J87" s="28"/>
      <c r="K87" s="28"/>
      <c r="L87" s="28"/>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row>
    <row r="88" spans="1:188" s="27" customFormat="1" x14ac:dyDescent="0.2">
      <c r="A88" s="38"/>
      <c r="B88" s="37"/>
      <c r="C88" s="86">
        <f t="shared" si="10"/>
        <v>0</v>
      </c>
      <c r="D88" s="66"/>
      <c r="E88" s="86">
        <f t="shared" si="15"/>
        <v>0</v>
      </c>
      <c r="H88" s="28"/>
      <c r="I88" s="28"/>
      <c r="J88" s="28"/>
      <c r="K88" s="28"/>
      <c r="L88" s="28"/>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row>
    <row r="89" spans="1:188" s="27" customFormat="1" x14ac:dyDescent="0.2">
      <c r="A89" s="38"/>
      <c r="B89" s="37"/>
      <c r="C89" s="36">
        <f t="shared" si="10"/>
        <v>0</v>
      </c>
      <c r="D89" s="66"/>
      <c r="E89" s="36">
        <f t="shared" si="15"/>
        <v>0</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row>
    <row r="90" spans="1:188" s="27" customFormat="1" x14ac:dyDescent="0.2">
      <c r="A90" s="38"/>
      <c r="B90" s="37"/>
      <c r="C90" s="36">
        <f t="shared" si="10"/>
        <v>0</v>
      </c>
      <c r="D90" s="3"/>
      <c r="E90" s="86">
        <f t="shared" si="15"/>
        <v>0</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row>
    <row r="91" spans="1:188" s="27" customFormat="1" x14ac:dyDescent="0.2">
      <c r="A91" s="38"/>
      <c r="B91" s="37"/>
      <c r="C91" s="86">
        <f t="shared" si="10"/>
        <v>0</v>
      </c>
      <c r="D91" s="66"/>
      <c r="E91" s="86">
        <f t="shared" si="15"/>
        <v>0</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c r="FL91" s="100"/>
      <c r="FM91" s="100"/>
      <c r="FN91" s="100"/>
      <c r="FO91" s="100"/>
      <c r="FP91" s="100"/>
      <c r="FQ91" s="100"/>
      <c r="FR91" s="100"/>
      <c r="FS91" s="100"/>
      <c r="FT91" s="100"/>
      <c r="FU91" s="100"/>
      <c r="FV91" s="100"/>
      <c r="FW91" s="100"/>
      <c r="FX91" s="100"/>
      <c r="FY91" s="100"/>
      <c r="FZ91" s="100"/>
      <c r="GA91" s="100"/>
      <c r="GB91" s="100"/>
      <c r="GC91" s="100"/>
      <c r="GD91" s="100"/>
      <c r="GE91" s="100"/>
      <c r="GF91" s="100"/>
    </row>
    <row r="92" spans="1:188" s="27" customFormat="1" x14ac:dyDescent="0.2">
      <c r="A92" s="38"/>
      <c r="B92" s="37"/>
      <c r="C92" s="36">
        <f t="shared" si="10"/>
        <v>0</v>
      </c>
      <c r="D92" s="66"/>
      <c r="E92" s="86">
        <f t="shared" si="15"/>
        <v>0</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row>
    <row r="93" spans="1:188" s="27" customFormat="1" x14ac:dyDescent="0.2">
      <c r="A93" s="38"/>
      <c r="B93" s="37"/>
      <c r="C93" s="86">
        <f t="shared" si="10"/>
        <v>0</v>
      </c>
      <c r="D93" s="66"/>
      <c r="E93" s="86">
        <f t="shared" si="15"/>
        <v>0</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c r="FL93" s="100"/>
      <c r="FM93" s="100"/>
      <c r="FN93" s="100"/>
      <c r="FO93" s="100"/>
      <c r="FP93" s="100"/>
      <c r="FQ93" s="100"/>
      <c r="FR93" s="100"/>
      <c r="FS93" s="100"/>
      <c r="FT93" s="100"/>
      <c r="FU93" s="100"/>
      <c r="FV93" s="100"/>
      <c r="FW93" s="100"/>
      <c r="FX93" s="100"/>
      <c r="FY93" s="100"/>
      <c r="FZ93" s="100"/>
      <c r="GA93" s="100"/>
      <c r="GB93" s="100"/>
      <c r="GC93" s="100"/>
      <c r="GD93" s="100"/>
      <c r="GE93" s="100"/>
      <c r="GF93" s="100"/>
    </row>
    <row r="94" spans="1:188" s="27" customFormat="1" x14ac:dyDescent="0.2">
      <c r="A94" s="38"/>
      <c r="B94" s="37"/>
      <c r="C94" s="36">
        <f t="shared" si="10"/>
        <v>0</v>
      </c>
      <c r="D94" s="66"/>
      <c r="E94" s="86">
        <f t="shared" si="15"/>
        <v>0</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row>
    <row r="95" spans="1:188" s="27" customFormat="1" x14ac:dyDescent="0.2">
      <c r="A95" s="38"/>
      <c r="B95" s="37"/>
      <c r="C95" s="86">
        <f t="shared" si="10"/>
        <v>0</v>
      </c>
      <c r="D95" s="66"/>
      <c r="E95" s="86">
        <f t="shared" si="15"/>
        <v>0</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c r="FL95" s="100"/>
      <c r="FM95" s="100"/>
      <c r="FN95" s="100"/>
      <c r="FO95" s="100"/>
      <c r="FP95" s="100"/>
      <c r="FQ95" s="100"/>
      <c r="FR95" s="100"/>
      <c r="FS95" s="100"/>
      <c r="FT95" s="100"/>
      <c r="FU95" s="100"/>
      <c r="FV95" s="100"/>
      <c r="FW95" s="100"/>
      <c r="FX95" s="100"/>
      <c r="FY95" s="100"/>
      <c r="FZ95" s="100"/>
      <c r="GA95" s="100"/>
      <c r="GB95" s="100"/>
      <c r="GC95" s="100"/>
      <c r="GD95" s="100"/>
      <c r="GE95" s="100"/>
      <c r="GF95" s="100"/>
    </row>
    <row r="96" spans="1:188" s="27" customFormat="1" x14ac:dyDescent="0.2">
      <c r="A96" s="38"/>
      <c r="B96" s="37"/>
      <c r="C96" s="36">
        <f t="shared" si="10"/>
        <v>0</v>
      </c>
      <c r="D96" s="66"/>
      <c r="E96" s="36">
        <f t="shared" si="15"/>
        <v>0</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row>
    <row r="97" spans="1:188" s="27" customFormat="1" x14ac:dyDescent="0.2">
      <c r="A97" s="38"/>
      <c r="B97" s="37"/>
      <c r="C97" s="36">
        <f t="shared" si="10"/>
        <v>0</v>
      </c>
      <c r="D97" s="66"/>
      <c r="E97" s="36">
        <f t="shared" si="15"/>
        <v>0</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c r="FL97" s="100"/>
      <c r="FM97" s="100"/>
      <c r="FN97" s="100"/>
      <c r="FO97" s="100"/>
      <c r="FP97" s="100"/>
      <c r="FQ97" s="100"/>
      <c r="FR97" s="100"/>
      <c r="FS97" s="100"/>
      <c r="FT97" s="100"/>
      <c r="FU97" s="100"/>
      <c r="FV97" s="100"/>
      <c r="FW97" s="100"/>
      <c r="FX97" s="100"/>
      <c r="FY97" s="100"/>
      <c r="FZ97" s="100"/>
      <c r="GA97" s="100"/>
      <c r="GB97" s="100"/>
      <c r="GC97" s="100"/>
      <c r="GD97" s="100"/>
      <c r="GE97" s="100"/>
      <c r="GF97" s="100"/>
    </row>
    <row r="98" spans="1:188" s="27" customFormat="1" x14ac:dyDescent="0.2">
      <c r="A98" s="38"/>
      <c r="B98" s="37"/>
      <c r="C98" s="36">
        <f t="shared" si="10"/>
        <v>0</v>
      </c>
      <c r="D98" s="66"/>
      <c r="E98" s="36">
        <f t="shared" si="15"/>
        <v>0</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row>
    <row r="99" spans="1:188" s="27" customFormat="1" x14ac:dyDescent="0.2">
      <c r="A99" s="38"/>
      <c r="B99" s="37"/>
      <c r="C99" s="36">
        <f t="shared" si="10"/>
        <v>0</v>
      </c>
      <c r="D99" s="66"/>
      <c r="E99" s="36">
        <f t="shared" si="15"/>
        <v>0</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c r="FL99" s="100"/>
      <c r="FM99" s="100"/>
      <c r="FN99" s="100"/>
      <c r="FO99" s="100"/>
      <c r="FP99" s="100"/>
      <c r="FQ99" s="100"/>
      <c r="FR99" s="100"/>
      <c r="FS99" s="100"/>
      <c r="FT99" s="100"/>
      <c r="FU99" s="100"/>
      <c r="FV99" s="100"/>
      <c r="FW99" s="100"/>
      <c r="FX99" s="100"/>
      <c r="FY99" s="100"/>
      <c r="FZ99" s="100"/>
      <c r="GA99" s="100"/>
      <c r="GB99" s="100"/>
      <c r="GC99" s="100"/>
      <c r="GD99" s="100"/>
      <c r="GE99" s="100"/>
      <c r="GF99" s="100"/>
    </row>
    <row r="100" spans="1:188" s="27" customFormat="1" x14ac:dyDescent="0.2">
      <c r="A100" s="38"/>
      <c r="B100" s="37"/>
      <c r="C100" s="36">
        <f t="shared" si="10"/>
        <v>0</v>
      </c>
      <c r="D100" s="66"/>
      <c r="E100" s="36">
        <f t="shared" si="15"/>
        <v>0</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row>
    <row r="101" spans="1:188" s="27" customFormat="1" x14ac:dyDescent="0.2">
      <c r="A101" s="38"/>
      <c r="B101" s="37"/>
      <c r="C101" s="36">
        <f t="shared" si="10"/>
        <v>0</v>
      </c>
      <c r="D101" s="3"/>
      <c r="E101" s="36">
        <f t="shared" si="15"/>
        <v>0</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c r="FL101" s="100"/>
      <c r="FM101" s="100"/>
      <c r="FN101" s="100"/>
      <c r="FO101" s="100"/>
      <c r="FP101" s="100"/>
      <c r="FQ101" s="100"/>
      <c r="FR101" s="100"/>
      <c r="FS101" s="100"/>
      <c r="FT101" s="100"/>
      <c r="FU101" s="100"/>
      <c r="FV101" s="100"/>
      <c r="FW101" s="100"/>
      <c r="FX101" s="100"/>
      <c r="FY101" s="100"/>
      <c r="FZ101" s="100"/>
      <c r="GA101" s="100"/>
      <c r="GB101" s="100"/>
      <c r="GC101" s="100"/>
      <c r="GD101" s="100"/>
      <c r="GE101" s="100"/>
      <c r="GF101" s="100"/>
    </row>
    <row r="102" spans="1:188" s="27" customFormat="1" x14ac:dyDescent="0.2">
      <c r="A102" s="38"/>
      <c r="B102" s="37"/>
      <c r="C102" s="36">
        <f t="shared" si="10"/>
        <v>0</v>
      </c>
      <c r="D102" s="3"/>
      <c r="E102" s="36">
        <f t="shared" si="15"/>
        <v>0</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row>
    <row r="103" spans="1:188" s="27" customFormat="1" x14ac:dyDescent="0.2">
      <c r="A103" s="38"/>
      <c r="B103" s="37"/>
      <c r="C103" s="36">
        <f t="shared" si="10"/>
        <v>0</v>
      </c>
      <c r="D103" s="20"/>
      <c r="E103" s="36">
        <f t="shared" si="15"/>
        <v>0</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c r="FL103" s="100"/>
      <c r="FM103" s="100"/>
      <c r="FN103" s="100"/>
      <c r="FO103" s="100"/>
      <c r="FP103" s="100"/>
      <c r="FQ103" s="100"/>
      <c r="FR103" s="100"/>
      <c r="FS103" s="100"/>
      <c r="FT103" s="100"/>
      <c r="FU103" s="100"/>
      <c r="FV103" s="100"/>
      <c r="FW103" s="100"/>
      <c r="FX103" s="100"/>
      <c r="FY103" s="100"/>
      <c r="FZ103" s="100"/>
      <c r="GA103" s="100"/>
      <c r="GB103" s="100"/>
      <c r="GC103" s="100"/>
      <c r="GD103" s="100"/>
      <c r="GE103" s="100"/>
      <c r="GF103" s="100"/>
    </row>
    <row r="104" spans="1:188" s="27" customFormat="1" x14ac:dyDescent="0.2">
      <c r="A104" s="38"/>
      <c r="B104" s="37"/>
      <c r="C104" s="36">
        <f t="shared" si="10"/>
        <v>0</v>
      </c>
      <c r="D104" s="20"/>
      <c r="E104" s="36">
        <f t="shared" si="15"/>
        <v>0</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00"/>
      <c r="EJ104" s="100"/>
      <c r="EK104" s="100"/>
      <c r="EL104" s="100"/>
      <c r="EM104" s="100"/>
      <c r="EN104" s="100"/>
      <c r="EO104" s="100"/>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c r="FL104" s="100"/>
      <c r="FM104" s="100"/>
      <c r="FN104" s="100"/>
      <c r="FO104" s="100"/>
      <c r="FP104" s="100"/>
      <c r="FQ104" s="100"/>
      <c r="FR104" s="100"/>
      <c r="FS104" s="100"/>
      <c r="FT104" s="100"/>
      <c r="FU104" s="100"/>
      <c r="FV104" s="100"/>
      <c r="FW104" s="100"/>
      <c r="FX104" s="100"/>
      <c r="FY104" s="100"/>
      <c r="FZ104" s="100"/>
      <c r="GA104" s="100"/>
      <c r="GB104" s="100"/>
      <c r="GC104" s="100"/>
      <c r="GD104" s="100"/>
      <c r="GE104" s="100"/>
      <c r="GF104" s="100"/>
    </row>
    <row r="105" spans="1:188" s="27" customFormat="1" x14ac:dyDescent="0.2">
      <c r="A105" s="38"/>
      <c r="B105" s="37"/>
      <c r="C105" s="36">
        <f t="shared" si="10"/>
        <v>0</v>
      </c>
      <c r="D105" s="20"/>
      <c r="E105" s="36">
        <f t="shared" si="15"/>
        <v>0</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c r="FL105" s="100"/>
      <c r="FM105" s="100"/>
      <c r="FN105" s="100"/>
      <c r="FO105" s="100"/>
      <c r="FP105" s="100"/>
      <c r="FQ105" s="100"/>
      <c r="FR105" s="100"/>
      <c r="FS105" s="100"/>
      <c r="FT105" s="100"/>
      <c r="FU105" s="100"/>
      <c r="FV105" s="100"/>
      <c r="FW105" s="100"/>
      <c r="FX105" s="100"/>
      <c r="FY105" s="100"/>
      <c r="FZ105" s="100"/>
      <c r="GA105" s="100"/>
      <c r="GB105" s="100"/>
      <c r="GC105" s="100"/>
      <c r="GD105" s="100"/>
      <c r="GE105" s="100"/>
      <c r="GF105" s="100"/>
    </row>
    <row r="106" spans="1:188" s="27" customFormat="1" x14ac:dyDescent="0.2">
      <c r="A106" s="38"/>
      <c r="B106" s="37"/>
      <c r="C106" s="36">
        <f t="shared" si="10"/>
        <v>0</v>
      </c>
      <c r="D106" s="20"/>
      <c r="E106" s="36">
        <f t="shared" si="15"/>
        <v>0</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00"/>
      <c r="EJ106" s="100"/>
      <c r="EK106" s="100"/>
      <c r="EL106" s="100"/>
      <c r="EM106" s="100"/>
      <c r="EN106" s="100"/>
      <c r="EO106" s="100"/>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c r="FL106" s="100"/>
      <c r="FM106" s="100"/>
      <c r="FN106" s="100"/>
      <c r="FO106" s="100"/>
      <c r="FP106" s="100"/>
      <c r="FQ106" s="100"/>
      <c r="FR106" s="100"/>
      <c r="FS106" s="100"/>
      <c r="FT106" s="100"/>
      <c r="FU106" s="100"/>
      <c r="FV106" s="100"/>
      <c r="FW106" s="100"/>
      <c r="FX106" s="100"/>
      <c r="FY106" s="100"/>
      <c r="FZ106" s="100"/>
      <c r="GA106" s="100"/>
      <c r="GB106" s="100"/>
      <c r="GC106" s="100"/>
      <c r="GD106" s="100"/>
      <c r="GE106" s="100"/>
      <c r="GF106" s="100"/>
    </row>
    <row r="107" spans="1:188" s="27" customFormat="1" x14ac:dyDescent="0.2">
      <c r="A107" s="38"/>
      <c r="B107" s="37"/>
      <c r="C107" s="36">
        <f t="shared" si="10"/>
        <v>0</v>
      </c>
      <c r="D107" s="20"/>
      <c r="E107" s="36">
        <f t="shared" si="15"/>
        <v>0</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c r="FL107" s="100"/>
      <c r="FM107" s="100"/>
      <c r="FN107" s="100"/>
      <c r="FO107" s="100"/>
      <c r="FP107" s="100"/>
      <c r="FQ107" s="100"/>
      <c r="FR107" s="100"/>
      <c r="FS107" s="100"/>
      <c r="FT107" s="100"/>
      <c r="FU107" s="100"/>
      <c r="FV107" s="100"/>
      <c r="FW107" s="100"/>
      <c r="FX107" s="100"/>
      <c r="FY107" s="100"/>
      <c r="FZ107" s="100"/>
      <c r="GA107" s="100"/>
      <c r="GB107" s="100"/>
      <c r="GC107" s="100"/>
      <c r="GD107" s="100"/>
      <c r="GE107" s="100"/>
      <c r="GF107" s="100"/>
    </row>
    <row r="108" spans="1:188" s="27" customFormat="1" x14ac:dyDescent="0.2">
      <c r="A108" s="38"/>
      <c r="B108" s="37"/>
      <c r="C108" s="36">
        <f t="shared" si="10"/>
        <v>0</v>
      </c>
      <c r="D108" s="20"/>
      <c r="E108" s="36">
        <f t="shared" si="15"/>
        <v>0</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row>
    <row r="109" spans="1:188" s="27" customFormat="1" x14ac:dyDescent="0.2">
      <c r="A109" s="38"/>
      <c r="B109" s="37"/>
      <c r="C109" s="36">
        <f t="shared" si="10"/>
        <v>0</v>
      </c>
      <c r="D109" s="20"/>
      <c r="E109" s="36">
        <f t="shared" si="15"/>
        <v>0</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c r="FL109" s="100"/>
      <c r="FM109" s="100"/>
      <c r="FN109" s="100"/>
      <c r="FO109" s="100"/>
      <c r="FP109" s="100"/>
      <c r="FQ109" s="100"/>
      <c r="FR109" s="100"/>
      <c r="FS109" s="100"/>
      <c r="FT109" s="100"/>
      <c r="FU109" s="100"/>
      <c r="FV109" s="100"/>
      <c r="FW109" s="100"/>
      <c r="FX109" s="100"/>
      <c r="FY109" s="100"/>
      <c r="FZ109" s="100"/>
      <c r="GA109" s="100"/>
      <c r="GB109" s="100"/>
      <c r="GC109" s="100"/>
      <c r="GD109" s="100"/>
      <c r="GE109" s="100"/>
      <c r="GF109" s="100"/>
    </row>
    <row r="110" spans="1:188" s="27" customFormat="1" x14ac:dyDescent="0.2">
      <c r="A110" s="38"/>
      <c r="B110" s="37"/>
      <c r="C110" s="36">
        <f t="shared" si="10"/>
        <v>0</v>
      </c>
      <c r="D110" s="20"/>
      <c r="E110" s="36">
        <f t="shared" si="15"/>
        <v>0</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row>
    <row r="111" spans="1:188" s="27" customFormat="1" x14ac:dyDescent="0.2">
      <c r="A111" s="38"/>
      <c r="B111" s="37"/>
      <c r="C111" s="36">
        <f t="shared" si="10"/>
        <v>0</v>
      </c>
      <c r="D111" s="20"/>
      <c r="E111" s="36">
        <f t="shared" si="15"/>
        <v>0</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c r="FL111" s="100"/>
      <c r="FM111" s="100"/>
      <c r="FN111" s="100"/>
      <c r="FO111" s="100"/>
      <c r="FP111" s="100"/>
      <c r="FQ111" s="100"/>
      <c r="FR111" s="100"/>
      <c r="FS111" s="100"/>
      <c r="FT111" s="100"/>
      <c r="FU111" s="100"/>
      <c r="FV111" s="100"/>
      <c r="FW111" s="100"/>
      <c r="FX111" s="100"/>
      <c r="FY111" s="100"/>
      <c r="FZ111" s="100"/>
      <c r="GA111" s="100"/>
      <c r="GB111" s="100"/>
      <c r="GC111" s="100"/>
      <c r="GD111" s="100"/>
      <c r="GE111" s="100"/>
      <c r="GF111" s="100"/>
    </row>
    <row r="112" spans="1:188" s="27" customFormat="1" x14ac:dyDescent="0.2">
      <c r="A112" s="38"/>
      <c r="B112" s="37"/>
      <c r="C112" s="36">
        <f t="shared" si="10"/>
        <v>0</v>
      </c>
      <c r="D112" s="20"/>
      <c r="E112" s="36">
        <f t="shared" si="15"/>
        <v>0</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row>
    <row r="113" spans="1:188" s="27" customFormat="1" x14ac:dyDescent="0.2">
      <c r="A113" s="38"/>
      <c r="B113" s="37"/>
      <c r="C113" s="36">
        <f t="shared" si="10"/>
        <v>0</v>
      </c>
      <c r="D113" s="20"/>
      <c r="E113" s="36">
        <f t="shared" si="15"/>
        <v>0</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c r="FL113" s="100"/>
      <c r="FM113" s="100"/>
      <c r="FN113" s="100"/>
      <c r="FO113" s="100"/>
      <c r="FP113" s="100"/>
      <c r="FQ113" s="100"/>
      <c r="FR113" s="100"/>
      <c r="FS113" s="100"/>
      <c r="FT113" s="100"/>
      <c r="FU113" s="100"/>
      <c r="FV113" s="100"/>
      <c r="FW113" s="100"/>
      <c r="FX113" s="100"/>
      <c r="FY113" s="100"/>
      <c r="FZ113" s="100"/>
      <c r="GA113" s="100"/>
      <c r="GB113" s="100"/>
      <c r="GC113" s="100"/>
      <c r="GD113" s="100"/>
      <c r="GE113" s="100"/>
      <c r="GF113" s="100"/>
    </row>
    <row r="114" spans="1:188" s="27" customFormat="1" x14ac:dyDescent="0.2">
      <c r="A114" s="38"/>
      <c r="B114" s="37"/>
      <c r="C114" s="36">
        <f t="shared" si="10"/>
        <v>0</v>
      </c>
      <c r="D114" s="20"/>
      <c r="E114" s="36">
        <f t="shared" si="15"/>
        <v>0</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row>
    <row r="115" spans="1:188" s="27" customFormat="1" x14ac:dyDescent="0.2">
      <c r="A115" s="38"/>
      <c r="B115" s="37"/>
      <c r="C115" s="36">
        <f t="shared" si="10"/>
        <v>0</v>
      </c>
      <c r="D115" s="20"/>
      <c r="E115" s="36">
        <f t="shared" si="15"/>
        <v>0</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c r="FL115" s="100"/>
      <c r="FM115" s="100"/>
      <c r="FN115" s="100"/>
      <c r="FO115" s="100"/>
      <c r="FP115" s="100"/>
      <c r="FQ115" s="100"/>
      <c r="FR115" s="100"/>
      <c r="FS115" s="100"/>
      <c r="FT115" s="100"/>
      <c r="FU115" s="100"/>
      <c r="FV115" s="100"/>
      <c r="FW115" s="100"/>
      <c r="FX115" s="100"/>
      <c r="FY115" s="100"/>
      <c r="FZ115" s="100"/>
      <c r="GA115" s="100"/>
      <c r="GB115" s="100"/>
      <c r="GC115" s="100"/>
      <c r="GD115" s="100"/>
      <c r="GE115" s="100"/>
      <c r="GF115" s="100"/>
    </row>
    <row r="116" spans="1:188" s="27" customFormat="1" x14ac:dyDescent="0.2">
      <c r="A116" s="38"/>
      <c r="B116" s="37"/>
      <c r="C116" s="36">
        <f t="shared" si="10"/>
        <v>0</v>
      </c>
      <c r="D116" s="20"/>
      <c r="E116" s="36">
        <f t="shared" si="15"/>
        <v>0</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row>
    <row r="117" spans="1:188" s="27" customFormat="1" x14ac:dyDescent="0.2">
      <c r="A117" s="38"/>
      <c r="B117" s="37"/>
      <c r="C117" s="36">
        <f t="shared" si="10"/>
        <v>0</v>
      </c>
      <c r="D117" s="20"/>
      <c r="E117" s="36">
        <f t="shared" si="15"/>
        <v>0</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c r="FL117" s="100"/>
      <c r="FM117" s="100"/>
      <c r="FN117" s="100"/>
      <c r="FO117" s="100"/>
      <c r="FP117" s="100"/>
      <c r="FQ117" s="100"/>
      <c r="FR117" s="100"/>
      <c r="FS117" s="100"/>
      <c r="FT117" s="100"/>
      <c r="FU117" s="100"/>
      <c r="FV117" s="100"/>
      <c r="FW117" s="100"/>
      <c r="FX117" s="100"/>
      <c r="FY117" s="100"/>
      <c r="FZ117" s="100"/>
      <c r="GA117" s="100"/>
      <c r="GB117" s="100"/>
      <c r="GC117" s="100"/>
      <c r="GD117" s="100"/>
      <c r="GE117" s="100"/>
      <c r="GF117" s="100"/>
    </row>
    <row r="118" spans="1:188" s="27" customFormat="1" x14ac:dyDescent="0.2">
      <c r="A118" s="38"/>
      <c r="B118" s="37"/>
      <c r="C118" s="36">
        <f t="shared" si="10"/>
        <v>0</v>
      </c>
      <c r="D118" s="20"/>
      <c r="E118" s="36">
        <f t="shared" si="15"/>
        <v>0</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row>
    <row r="119" spans="1:188" s="27" customFormat="1" x14ac:dyDescent="0.2">
      <c r="A119" s="38"/>
      <c r="B119" s="37"/>
      <c r="C119" s="36">
        <f t="shared" ref="C119:C182" si="16">E119*D$5</f>
        <v>0</v>
      </c>
      <c r="D119" s="20"/>
      <c r="E119" s="36">
        <f t="shared" si="15"/>
        <v>0</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00"/>
      <c r="EJ119" s="100"/>
      <c r="EK119" s="100"/>
      <c r="EL119" s="100"/>
      <c r="EM119" s="100"/>
      <c r="EN119" s="100"/>
      <c r="EO119" s="100"/>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c r="FL119" s="100"/>
      <c r="FM119" s="100"/>
      <c r="FN119" s="100"/>
      <c r="FO119" s="100"/>
      <c r="FP119" s="100"/>
      <c r="FQ119" s="100"/>
      <c r="FR119" s="100"/>
      <c r="FS119" s="100"/>
      <c r="FT119" s="100"/>
      <c r="FU119" s="100"/>
      <c r="FV119" s="100"/>
      <c r="FW119" s="100"/>
      <c r="FX119" s="100"/>
      <c r="FY119" s="100"/>
      <c r="FZ119" s="100"/>
      <c r="GA119" s="100"/>
      <c r="GB119" s="100"/>
      <c r="GC119" s="100"/>
      <c r="GD119" s="100"/>
      <c r="GE119" s="100"/>
      <c r="GF119" s="100"/>
    </row>
    <row r="120" spans="1:188" s="27" customFormat="1" x14ac:dyDescent="0.2">
      <c r="A120" s="38"/>
      <c r="B120" s="37"/>
      <c r="C120" s="36">
        <f t="shared" si="16"/>
        <v>0</v>
      </c>
      <c r="D120" s="20"/>
      <c r="E120" s="36">
        <f t="shared" si="15"/>
        <v>0</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row>
    <row r="121" spans="1:188" s="27" customFormat="1" x14ac:dyDescent="0.2">
      <c r="A121" s="38"/>
      <c r="B121" s="37"/>
      <c r="C121" s="36">
        <f t="shared" si="16"/>
        <v>0</v>
      </c>
      <c r="D121" s="20"/>
      <c r="E121" s="36">
        <f t="shared" si="15"/>
        <v>0</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c r="FM121" s="100"/>
      <c r="FN121" s="100"/>
      <c r="FO121" s="100"/>
      <c r="FP121" s="100"/>
      <c r="FQ121" s="100"/>
      <c r="FR121" s="100"/>
      <c r="FS121" s="100"/>
      <c r="FT121" s="100"/>
      <c r="FU121" s="100"/>
      <c r="FV121" s="100"/>
      <c r="FW121" s="100"/>
      <c r="FX121" s="100"/>
      <c r="FY121" s="100"/>
      <c r="FZ121" s="100"/>
      <c r="GA121" s="100"/>
      <c r="GB121" s="100"/>
      <c r="GC121" s="100"/>
      <c r="GD121" s="100"/>
      <c r="GE121" s="100"/>
      <c r="GF121" s="100"/>
    </row>
    <row r="122" spans="1:188" s="27" customFormat="1" x14ac:dyDescent="0.2">
      <c r="A122" s="38"/>
      <c r="B122" s="37"/>
      <c r="C122" s="36">
        <f t="shared" si="16"/>
        <v>0</v>
      </c>
      <c r="D122" s="20"/>
      <c r="E122" s="36">
        <f t="shared" si="15"/>
        <v>0</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row>
    <row r="123" spans="1:188" s="27" customFormat="1" x14ac:dyDescent="0.2">
      <c r="A123" s="38"/>
      <c r="B123" s="37"/>
      <c r="C123" s="36">
        <f t="shared" si="16"/>
        <v>0</v>
      </c>
      <c r="D123" s="20"/>
      <c r="E123" s="36">
        <f t="shared" si="15"/>
        <v>0</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c r="FR123" s="100"/>
      <c r="FS123" s="100"/>
      <c r="FT123" s="100"/>
      <c r="FU123" s="100"/>
      <c r="FV123" s="100"/>
      <c r="FW123" s="100"/>
      <c r="FX123" s="100"/>
      <c r="FY123" s="100"/>
      <c r="FZ123" s="100"/>
      <c r="GA123" s="100"/>
      <c r="GB123" s="100"/>
      <c r="GC123" s="100"/>
      <c r="GD123" s="100"/>
      <c r="GE123" s="100"/>
      <c r="GF123" s="100"/>
    </row>
    <row r="124" spans="1:188" s="27" customFormat="1" x14ac:dyDescent="0.2">
      <c r="A124" s="38"/>
      <c r="B124" s="37"/>
      <c r="C124" s="36">
        <f t="shared" si="16"/>
        <v>0</v>
      </c>
      <c r="D124" s="20"/>
      <c r="E124" s="36">
        <f t="shared" si="15"/>
        <v>0</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row>
    <row r="125" spans="1:188" s="27" customFormat="1" x14ac:dyDescent="0.2">
      <c r="A125" s="38"/>
      <c r="B125" s="37"/>
      <c r="C125" s="36">
        <f t="shared" si="16"/>
        <v>0</v>
      </c>
      <c r="D125" s="20"/>
      <c r="E125" s="36">
        <f t="shared" si="15"/>
        <v>0</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c r="FR125" s="100"/>
      <c r="FS125" s="100"/>
      <c r="FT125" s="100"/>
      <c r="FU125" s="100"/>
      <c r="FV125" s="100"/>
      <c r="FW125" s="100"/>
      <c r="FX125" s="100"/>
      <c r="FY125" s="100"/>
      <c r="FZ125" s="100"/>
      <c r="GA125" s="100"/>
      <c r="GB125" s="100"/>
      <c r="GC125" s="100"/>
      <c r="GD125" s="100"/>
      <c r="GE125" s="100"/>
      <c r="GF125" s="100"/>
    </row>
    <row r="126" spans="1:188" s="27" customFormat="1" x14ac:dyDescent="0.2">
      <c r="A126" s="38"/>
      <c r="B126" s="37"/>
      <c r="C126" s="36">
        <f t="shared" si="16"/>
        <v>0</v>
      </c>
      <c r="D126" s="20"/>
      <c r="E126" s="36">
        <f t="shared" si="15"/>
        <v>0</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row>
    <row r="127" spans="1:188" s="27" customFormat="1" x14ac:dyDescent="0.2">
      <c r="A127" s="38"/>
      <c r="B127" s="37"/>
      <c r="C127" s="36">
        <f t="shared" si="16"/>
        <v>0</v>
      </c>
      <c r="D127" s="20"/>
      <c r="E127" s="36">
        <f t="shared" si="15"/>
        <v>0</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c r="FR127" s="100"/>
      <c r="FS127" s="100"/>
      <c r="FT127" s="100"/>
      <c r="FU127" s="100"/>
      <c r="FV127" s="100"/>
      <c r="FW127" s="100"/>
      <c r="FX127" s="100"/>
      <c r="FY127" s="100"/>
      <c r="FZ127" s="100"/>
      <c r="GA127" s="100"/>
      <c r="GB127" s="100"/>
      <c r="GC127" s="100"/>
      <c r="GD127" s="100"/>
      <c r="GE127" s="100"/>
      <c r="GF127" s="100"/>
    </row>
    <row r="128" spans="1:188" s="27" customFormat="1" x14ac:dyDescent="0.2">
      <c r="A128" s="38"/>
      <c r="B128" s="37"/>
      <c r="C128" s="36">
        <f t="shared" si="16"/>
        <v>0</v>
      </c>
      <c r="D128" s="20"/>
      <c r="E128" s="36">
        <f t="shared" si="15"/>
        <v>0</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row>
    <row r="129" spans="1:188" s="27" customFormat="1" x14ac:dyDescent="0.2">
      <c r="A129" s="38"/>
      <c r="B129" s="37"/>
      <c r="C129" s="36">
        <f t="shared" si="16"/>
        <v>0</v>
      </c>
      <c r="D129" s="20"/>
      <c r="E129" s="36">
        <f t="shared" si="15"/>
        <v>0</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c r="FR129" s="100"/>
      <c r="FS129" s="100"/>
      <c r="FT129" s="100"/>
      <c r="FU129" s="100"/>
      <c r="FV129" s="100"/>
      <c r="FW129" s="100"/>
      <c r="FX129" s="100"/>
      <c r="FY129" s="100"/>
      <c r="FZ129" s="100"/>
      <c r="GA129" s="100"/>
      <c r="GB129" s="100"/>
      <c r="GC129" s="100"/>
      <c r="GD129" s="100"/>
      <c r="GE129" s="100"/>
      <c r="GF129" s="100"/>
    </row>
    <row r="130" spans="1:188" s="27" customFormat="1" x14ac:dyDescent="0.2">
      <c r="A130" s="38"/>
      <c r="B130" s="37"/>
      <c r="C130" s="36">
        <f t="shared" si="16"/>
        <v>0</v>
      </c>
      <c r="D130" s="20"/>
      <c r="E130" s="36">
        <f t="shared" si="15"/>
        <v>0</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row>
    <row r="131" spans="1:188" s="27" customFormat="1" x14ac:dyDescent="0.2">
      <c r="A131" s="38"/>
      <c r="B131" s="37"/>
      <c r="C131" s="36">
        <f t="shared" si="16"/>
        <v>0</v>
      </c>
      <c r="D131" s="20"/>
      <c r="E131" s="36">
        <f t="shared" si="15"/>
        <v>0</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c r="FL131" s="100"/>
      <c r="FM131" s="100"/>
      <c r="FN131" s="100"/>
      <c r="FO131" s="100"/>
      <c r="FP131" s="100"/>
      <c r="FQ131" s="100"/>
      <c r="FR131" s="100"/>
      <c r="FS131" s="100"/>
      <c r="FT131" s="100"/>
      <c r="FU131" s="100"/>
      <c r="FV131" s="100"/>
      <c r="FW131" s="100"/>
      <c r="FX131" s="100"/>
      <c r="FY131" s="100"/>
      <c r="FZ131" s="100"/>
      <c r="GA131" s="100"/>
      <c r="GB131" s="100"/>
      <c r="GC131" s="100"/>
      <c r="GD131" s="100"/>
      <c r="GE131" s="100"/>
      <c r="GF131" s="100"/>
    </row>
    <row r="132" spans="1:188" s="27" customFormat="1" x14ac:dyDescent="0.2">
      <c r="A132" s="38"/>
      <c r="B132" s="37"/>
      <c r="C132" s="36">
        <f t="shared" si="16"/>
        <v>0</v>
      </c>
      <c r="D132" s="20"/>
      <c r="E132" s="36">
        <f t="shared" si="15"/>
        <v>0</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c r="FL132" s="100"/>
      <c r="FM132" s="100"/>
      <c r="FN132" s="100"/>
      <c r="FO132" s="100"/>
      <c r="FP132" s="100"/>
      <c r="FQ132" s="100"/>
      <c r="FR132" s="100"/>
      <c r="FS132" s="100"/>
      <c r="FT132" s="100"/>
      <c r="FU132" s="100"/>
      <c r="FV132" s="100"/>
      <c r="FW132" s="100"/>
      <c r="FX132" s="100"/>
      <c r="FY132" s="100"/>
      <c r="FZ132" s="100"/>
      <c r="GA132" s="100"/>
      <c r="GB132" s="100"/>
      <c r="GC132" s="100"/>
      <c r="GD132" s="100"/>
      <c r="GE132" s="100"/>
      <c r="GF132" s="100"/>
    </row>
    <row r="133" spans="1:188" s="27" customFormat="1" x14ac:dyDescent="0.2">
      <c r="A133" s="38"/>
      <c r="B133" s="37"/>
      <c r="C133" s="36">
        <f t="shared" si="16"/>
        <v>0</v>
      </c>
      <c r="D133" s="20"/>
      <c r="E133" s="36">
        <f t="shared" si="15"/>
        <v>0</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c r="FL133" s="100"/>
      <c r="FM133" s="100"/>
      <c r="FN133" s="100"/>
      <c r="FO133" s="100"/>
      <c r="FP133" s="100"/>
      <c r="FQ133" s="100"/>
      <c r="FR133" s="100"/>
      <c r="FS133" s="100"/>
      <c r="FT133" s="100"/>
      <c r="FU133" s="100"/>
      <c r="FV133" s="100"/>
      <c r="FW133" s="100"/>
      <c r="FX133" s="100"/>
      <c r="FY133" s="100"/>
      <c r="FZ133" s="100"/>
      <c r="GA133" s="100"/>
      <c r="GB133" s="100"/>
      <c r="GC133" s="100"/>
      <c r="GD133" s="100"/>
      <c r="GE133" s="100"/>
      <c r="GF133" s="100"/>
    </row>
    <row r="134" spans="1:188" s="27" customFormat="1" x14ac:dyDescent="0.2">
      <c r="A134" s="38"/>
      <c r="B134" s="37"/>
      <c r="C134" s="36">
        <f t="shared" si="16"/>
        <v>0</v>
      </c>
      <c r="D134" s="20"/>
      <c r="E134" s="36">
        <f t="shared" si="15"/>
        <v>0</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c r="FL134" s="100"/>
      <c r="FM134" s="100"/>
      <c r="FN134" s="100"/>
      <c r="FO134" s="100"/>
      <c r="FP134" s="100"/>
      <c r="FQ134" s="100"/>
      <c r="FR134" s="100"/>
      <c r="FS134" s="100"/>
      <c r="FT134" s="100"/>
      <c r="FU134" s="100"/>
      <c r="FV134" s="100"/>
      <c r="FW134" s="100"/>
      <c r="FX134" s="100"/>
      <c r="FY134" s="100"/>
      <c r="FZ134" s="100"/>
      <c r="GA134" s="100"/>
      <c r="GB134" s="100"/>
      <c r="GC134" s="100"/>
      <c r="GD134" s="100"/>
      <c r="GE134" s="100"/>
      <c r="GF134" s="100"/>
    </row>
    <row r="135" spans="1:188" s="27" customFormat="1" x14ac:dyDescent="0.2">
      <c r="A135" s="38"/>
      <c r="B135" s="37"/>
      <c r="C135" s="36">
        <f t="shared" si="16"/>
        <v>0</v>
      </c>
      <c r="D135" s="20"/>
      <c r="E135" s="36">
        <f t="shared" si="15"/>
        <v>0</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c r="FL135" s="100"/>
      <c r="FM135" s="100"/>
      <c r="FN135" s="100"/>
      <c r="FO135" s="100"/>
      <c r="FP135" s="100"/>
      <c r="FQ135" s="100"/>
      <c r="FR135" s="100"/>
      <c r="FS135" s="100"/>
      <c r="FT135" s="100"/>
      <c r="FU135" s="100"/>
      <c r="FV135" s="100"/>
      <c r="FW135" s="100"/>
      <c r="FX135" s="100"/>
      <c r="FY135" s="100"/>
      <c r="FZ135" s="100"/>
      <c r="GA135" s="100"/>
      <c r="GB135" s="100"/>
      <c r="GC135" s="100"/>
      <c r="GD135" s="100"/>
      <c r="GE135" s="100"/>
      <c r="GF135" s="100"/>
    </row>
    <row r="136" spans="1:188" s="27" customFormat="1" x14ac:dyDescent="0.2">
      <c r="A136" s="38"/>
      <c r="B136" s="37"/>
      <c r="C136" s="36">
        <f t="shared" si="16"/>
        <v>0</v>
      </c>
      <c r="D136" s="20"/>
      <c r="E136" s="36">
        <f t="shared" si="15"/>
        <v>0</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00"/>
      <c r="EJ136" s="100"/>
      <c r="EK136" s="100"/>
      <c r="EL136" s="100"/>
      <c r="EM136" s="100"/>
      <c r="EN136" s="100"/>
      <c r="EO136" s="100"/>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c r="FL136" s="100"/>
      <c r="FM136" s="100"/>
      <c r="FN136" s="100"/>
      <c r="FO136" s="100"/>
      <c r="FP136" s="100"/>
      <c r="FQ136" s="100"/>
      <c r="FR136" s="100"/>
      <c r="FS136" s="100"/>
      <c r="FT136" s="100"/>
      <c r="FU136" s="100"/>
      <c r="FV136" s="100"/>
      <c r="FW136" s="100"/>
      <c r="FX136" s="100"/>
      <c r="FY136" s="100"/>
      <c r="FZ136" s="100"/>
      <c r="GA136" s="100"/>
      <c r="GB136" s="100"/>
      <c r="GC136" s="100"/>
      <c r="GD136" s="100"/>
      <c r="GE136" s="100"/>
      <c r="GF136" s="100"/>
    </row>
    <row r="137" spans="1:188" s="27" customFormat="1" x14ac:dyDescent="0.2">
      <c r="A137" s="38"/>
      <c r="B137" s="37"/>
      <c r="C137" s="36">
        <f t="shared" si="16"/>
        <v>0</v>
      </c>
      <c r="D137" s="20"/>
      <c r="E137" s="36">
        <f t="shared" si="15"/>
        <v>0</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00"/>
      <c r="EJ137" s="100"/>
      <c r="EK137" s="100"/>
      <c r="EL137" s="100"/>
      <c r="EM137" s="100"/>
      <c r="EN137" s="100"/>
      <c r="EO137" s="100"/>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c r="FL137" s="100"/>
      <c r="FM137" s="100"/>
      <c r="FN137" s="100"/>
      <c r="FO137" s="100"/>
      <c r="FP137" s="100"/>
      <c r="FQ137" s="100"/>
      <c r="FR137" s="100"/>
      <c r="FS137" s="100"/>
      <c r="FT137" s="100"/>
      <c r="FU137" s="100"/>
      <c r="FV137" s="100"/>
      <c r="FW137" s="100"/>
      <c r="FX137" s="100"/>
      <c r="FY137" s="100"/>
      <c r="FZ137" s="100"/>
      <c r="GA137" s="100"/>
      <c r="GB137" s="100"/>
      <c r="GC137" s="100"/>
      <c r="GD137" s="100"/>
      <c r="GE137" s="100"/>
      <c r="GF137" s="100"/>
    </row>
    <row r="138" spans="1:188" s="27" customFormat="1" x14ac:dyDescent="0.2">
      <c r="A138" s="38"/>
      <c r="B138" s="37"/>
      <c r="C138" s="36">
        <f t="shared" si="16"/>
        <v>0</v>
      </c>
      <c r="D138" s="20"/>
      <c r="E138" s="36">
        <f t="shared" ref="E138:E201" si="17">SUM(G138:HT138)</f>
        <v>0</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00"/>
      <c r="EJ138" s="100"/>
      <c r="EK138" s="100"/>
      <c r="EL138" s="100"/>
      <c r="EM138" s="100"/>
      <c r="EN138" s="100"/>
      <c r="EO138" s="100"/>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c r="FL138" s="100"/>
      <c r="FM138" s="100"/>
      <c r="FN138" s="100"/>
      <c r="FO138" s="100"/>
      <c r="FP138" s="100"/>
      <c r="FQ138" s="100"/>
      <c r="FR138" s="100"/>
      <c r="FS138" s="100"/>
      <c r="FT138" s="100"/>
      <c r="FU138" s="100"/>
      <c r="FV138" s="100"/>
      <c r="FW138" s="100"/>
      <c r="FX138" s="100"/>
      <c r="FY138" s="100"/>
      <c r="FZ138" s="100"/>
      <c r="GA138" s="100"/>
      <c r="GB138" s="100"/>
      <c r="GC138" s="100"/>
      <c r="GD138" s="100"/>
      <c r="GE138" s="100"/>
      <c r="GF138" s="100"/>
    </row>
    <row r="139" spans="1:188" s="27" customFormat="1" x14ac:dyDescent="0.2">
      <c r="A139" s="38"/>
      <c r="B139" s="37"/>
      <c r="C139" s="36">
        <f t="shared" si="16"/>
        <v>0</v>
      </c>
      <c r="D139" s="20"/>
      <c r="E139" s="36">
        <f t="shared" si="17"/>
        <v>0</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00"/>
      <c r="EJ139" s="100"/>
      <c r="EK139" s="100"/>
      <c r="EL139" s="100"/>
      <c r="EM139" s="100"/>
      <c r="EN139" s="100"/>
      <c r="EO139" s="100"/>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c r="FL139" s="100"/>
      <c r="FM139" s="100"/>
      <c r="FN139" s="100"/>
      <c r="FO139" s="100"/>
      <c r="FP139" s="100"/>
      <c r="FQ139" s="100"/>
      <c r="FR139" s="100"/>
      <c r="FS139" s="100"/>
      <c r="FT139" s="100"/>
      <c r="FU139" s="100"/>
      <c r="FV139" s="100"/>
      <c r="FW139" s="100"/>
      <c r="FX139" s="100"/>
      <c r="FY139" s="100"/>
      <c r="FZ139" s="100"/>
      <c r="GA139" s="100"/>
      <c r="GB139" s="100"/>
      <c r="GC139" s="100"/>
      <c r="GD139" s="100"/>
      <c r="GE139" s="100"/>
      <c r="GF139" s="100"/>
    </row>
    <row r="140" spans="1:188" s="27" customFormat="1" x14ac:dyDescent="0.2">
      <c r="A140" s="38"/>
      <c r="B140" s="37"/>
      <c r="C140" s="36">
        <f t="shared" si="16"/>
        <v>0</v>
      </c>
      <c r="D140" s="20"/>
      <c r="E140" s="36">
        <f t="shared" si="17"/>
        <v>0</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00"/>
      <c r="EJ140" s="100"/>
      <c r="EK140" s="100"/>
      <c r="EL140" s="100"/>
      <c r="EM140" s="100"/>
      <c r="EN140" s="100"/>
      <c r="EO140" s="100"/>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c r="FL140" s="100"/>
      <c r="FM140" s="100"/>
      <c r="FN140" s="100"/>
      <c r="FO140" s="100"/>
      <c r="FP140" s="100"/>
      <c r="FQ140" s="100"/>
      <c r="FR140" s="100"/>
      <c r="FS140" s="100"/>
      <c r="FT140" s="100"/>
      <c r="FU140" s="100"/>
      <c r="FV140" s="100"/>
      <c r="FW140" s="100"/>
      <c r="FX140" s="100"/>
      <c r="FY140" s="100"/>
      <c r="FZ140" s="100"/>
      <c r="GA140" s="100"/>
      <c r="GB140" s="100"/>
      <c r="GC140" s="100"/>
      <c r="GD140" s="100"/>
      <c r="GE140" s="100"/>
      <c r="GF140" s="100"/>
    </row>
    <row r="141" spans="1:188" s="27" customFormat="1" x14ac:dyDescent="0.2">
      <c r="A141" s="38"/>
      <c r="B141" s="37"/>
      <c r="C141" s="36">
        <f t="shared" si="16"/>
        <v>0</v>
      </c>
      <c r="D141" s="20"/>
      <c r="E141" s="36">
        <f t="shared" si="17"/>
        <v>0</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00"/>
      <c r="EJ141" s="100"/>
      <c r="EK141" s="100"/>
      <c r="EL141" s="100"/>
      <c r="EM141" s="100"/>
      <c r="EN141" s="100"/>
      <c r="EO141" s="100"/>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c r="FL141" s="100"/>
      <c r="FM141" s="100"/>
      <c r="FN141" s="100"/>
      <c r="FO141" s="100"/>
      <c r="FP141" s="100"/>
      <c r="FQ141" s="100"/>
      <c r="FR141" s="100"/>
      <c r="FS141" s="100"/>
      <c r="FT141" s="100"/>
      <c r="FU141" s="100"/>
      <c r="FV141" s="100"/>
      <c r="FW141" s="100"/>
      <c r="FX141" s="100"/>
      <c r="FY141" s="100"/>
      <c r="FZ141" s="100"/>
      <c r="GA141" s="100"/>
      <c r="GB141" s="100"/>
      <c r="GC141" s="100"/>
      <c r="GD141" s="100"/>
      <c r="GE141" s="100"/>
      <c r="GF141" s="100"/>
    </row>
    <row r="142" spans="1:188" s="27" customFormat="1" x14ac:dyDescent="0.2">
      <c r="A142" s="38"/>
      <c r="B142" s="37"/>
      <c r="C142" s="36">
        <f t="shared" si="16"/>
        <v>0</v>
      </c>
      <c r="D142" s="20"/>
      <c r="E142" s="36">
        <f t="shared" si="17"/>
        <v>0</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00"/>
      <c r="EJ142" s="100"/>
      <c r="EK142" s="100"/>
      <c r="EL142" s="100"/>
      <c r="EM142" s="100"/>
      <c r="EN142" s="100"/>
      <c r="EO142" s="100"/>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c r="FL142" s="100"/>
      <c r="FM142" s="100"/>
      <c r="FN142" s="100"/>
      <c r="FO142" s="100"/>
      <c r="FP142" s="100"/>
      <c r="FQ142" s="100"/>
      <c r="FR142" s="100"/>
      <c r="FS142" s="100"/>
      <c r="FT142" s="100"/>
      <c r="FU142" s="100"/>
      <c r="FV142" s="100"/>
      <c r="FW142" s="100"/>
      <c r="FX142" s="100"/>
      <c r="FY142" s="100"/>
      <c r="FZ142" s="100"/>
      <c r="GA142" s="100"/>
      <c r="GB142" s="100"/>
      <c r="GC142" s="100"/>
      <c r="GD142" s="100"/>
      <c r="GE142" s="100"/>
      <c r="GF142" s="100"/>
    </row>
    <row r="143" spans="1:188" s="27" customFormat="1" x14ac:dyDescent="0.2">
      <c r="A143" s="38"/>
      <c r="B143" s="37"/>
      <c r="C143" s="36">
        <f t="shared" si="16"/>
        <v>0</v>
      </c>
      <c r="D143" s="20"/>
      <c r="E143" s="36">
        <f t="shared" si="17"/>
        <v>0</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00"/>
      <c r="EJ143" s="100"/>
      <c r="EK143" s="100"/>
      <c r="EL143" s="100"/>
      <c r="EM143" s="100"/>
      <c r="EN143" s="100"/>
      <c r="EO143" s="100"/>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c r="FL143" s="100"/>
      <c r="FM143" s="100"/>
      <c r="FN143" s="100"/>
      <c r="FO143" s="100"/>
      <c r="FP143" s="100"/>
      <c r="FQ143" s="100"/>
      <c r="FR143" s="100"/>
      <c r="FS143" s="100"/>
      <c r="FT143" s="100"/>
      <c r="FU143" s="100"/>
      <c r="FV143" s="100"/>
      <c r="FW143" s="100"/>
      <c r="FX143" s="100"/>
      <c r="FY143" s="100"/>
      <c r="FZ143" s="100"/>
      <c r="GA143" s="100"/>
      <c r="GB143" s="100"/>
      <c r="GC143" s="100"/>
      <c r="GD143" s="100"/>
      <c r="GE143" s="100"/>
      <c r="GF143" s="100"/>
    </row>
    <row r="144" spans="1:188" s="27" customFormat="1" x14ac:dyDescent="0.2">
      <c r="A144" s="38"/>
      <c r="B144" s="37"/>
      <c r="C144" s="36">
        <f t="shared" si="16"/>
        <v>0</v>
      </c>
      <c r="D144" s="20"/>
      <c r="E144" s="36">
        <f t="shared" si="17"/>
        <v>0</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00"/>
      <c r="EJ144" s="100"/>
      <c r="EK144" s="100"/>
      <c r="EL144" s="100"/>
      <c r="EM144" s="100"/>
      <c r="EN144" s="100"/>
      <c r="EO144" s="100"/>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c r="FL144" s="100"/>
      <c r="FM144" s="100"/>
      <c r="FN144" s="100"/>
      <c r="FO144" s="100"/>
      <c r="FP144" s="100"/>
      <c r="FQ144" s="100"/>
      <c r="FR144" s="100"/>
      <c r="FS144" s="100"/>
      <c r="FT144" s="100"/>
      <c r="FU144" s="100"/>
      <c r="FV144" s="100"/>
      <c r="FW144" s="100"/>
      <c r="FX144" s="100"/>
      <c r="FY144" s="100"/>
      <c r="FZ144" s="100"/>
      <c r="GA144" s="100"/>
      <c r="GB144" s="100"/>
      <c r="GC144" s="100"/>
      <c r="GD144" s="100"/>
      <c r="GE144" s="100"/>
      <c r="GF144" s="100"/>
    </row>
    <row r="145" spans="1:188" s="27" customFormat="1" x14ac:dyDescent="0.2">
      <c r="A145" s="38"/>
      <c r="B145" s="37"/>
      <c r="C145" s="36">
        <f t="shared" si="16"/>
        <v>0</v>
      </c>
      <c r="D145" s="20"/>
      <c r="E145" s="36">
        <f t="shared" si="17"/>
        <v>0</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00"/>
      <c r="EJ145" s="100"/>
      <c r="EK145" s="100"/>
      <c r="EL145" s="100"/>
      <c r="EM145" s="100"/>
      <c r="EN145" s="100"/>
      <c r="EO145" s="100"/>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c r="FL145" s="100"/>
      <c r="FM145" s="100"/>
      <c r="FN145" s="100"/>
      <c r="FO145" s="100"/>
      <c r="FP145" s="100"/>
      <c r="FQ145" s="100"/>
      <c r="FR145" s="100"/>
      <c r="FS145" s="100"/>
      <c r="FT145" s="100"/>
      <c r="FU145" s="100"/>
      <c r="FV145" s="100"/>
      <c r="FW145" s="100"/>
      <c r="FX145" s="100"/>
      <c r="FY145" s="100"/>
      <c r="FZ145" s="100"/>
      <c r="GA145" s="100"/>
      <c r="GB145" s="100"/>
      <c r="GC145" s="100"/>
      <c r="GD145" s="100"/>
      <c r="GE145" s="100"/>
      <c r="GF145" s="100"/>
    </row>
    <row r="146" spans="1:188" s="27" customFormat="1" x14ac:dyDescent="0.2">
      <c r="A146" s="38"/>
      <c r="B146" s="37"/>
      <c r="C146" s="36">
        <f t="shared" si="16"/>
        <v>0</v>
      </c>
      <c r="D146" s="20"/>
      <c r="E146" s="36">
        <f t="shared" si="17"/>
        <v>0</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00"/>
      <c r="EJ146" s="100"/>
      <c r="EK146" s="100"/>
      <c r="EL146" s="100"/>
      <c r="EM146" s="100"/>
      <c r="EN146" s="100"/>
      <c r="EO146" s="100"/>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c r="FL146" s="100"/>
      <c r="FM146" s="100"/>
      <c r="FN146" s="100"/>
      <c r="FO146" s="100"/>
      <c r="FP146" s="100"/>
      <c r="FQ146" s="100"/>
      <c r="FR146" s="100"/>
      <c r="FS146" s="100"/>
      <c r="FT146" s="100"/>
      <c r="FU146" s="100"/>
      <c r="FV146" s="100"/>
      <c r="FW146" s="100"/>
      <c r="FX146" s="100"/>
      <c r="FY146" s="100"/>
      <c r="FZ146" s="100"/>
      <c r="GA146" s="100"/>
      <c r="GB146" s="100"/>
      <c r="GC146" s="100"/>
      <c r="GD146" s="100"/>
      <c r="GE146" s="100"/>
      <c r="GF146" s="100"/>
    </row>
    <row r="147" spans="1:188" s="27" customFormat="1" x14ac:dyDescent="0.2">
      <c r="A147" s="38"/>
      <c r="B147" s="37"/>
      <c r="C147" s="36">
        <f t="shared" si="16"/>
        <v>0</v>
      </c>
      <c r="D147" s="20"/>
      <c r="E147" s="36">
        <f t="shared" si="17"/>
        <v>0</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00"/>
      <c r="EJ147" s="100"/>
      <c r="EK147" s="100"/>
      <c r="EL147" s="100"/>
      <c r="EM147" s="100"/>
      <c r="EN147" s="100"/>
      <c r="EO147" s="100"/>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c r="FL147" s="100"/>
      <c r="FM147" s="100"/>
      <c r="FN147" s="100"/>
      <c r="FO147" s="100"/>
      <c r="FP147" s="100"/>
      <c r="FQ147" s="100"/>
      <c r="FR147" s="100"/>
      <c r="FS147" s="100"/>
      <c r="FT147" s="100"/>
      <c r="FU147" s="100"/>
      <c r="FV147" s="100"/>
      <c r="FW147" s="100"/>
      <c r="FX147" s="100"/>
      <c r="FY147" s="100"/>
      <c r="FZ147" s="100"/>
      <c r="GA147" s="100"/>
      <c r="GB147" s="100"/>
      <c r="GC147" s="100"/>
      <c r="GD147" s="100"/>
      <c r="GE147" s="100"/>
      <c r="GF147" s="100"/>
    </row>
    <row r="148" spans="1:188" s="27" customFormat="1" x14ac:dyDescent="0.2">
      <c r="A148" s="38"/>
      <c r="B148" s="37"/>
      <c r="C148" s="36">
        <f t="shared" si="16"/>
        <v>0</v>
      </c>
      <c r="D148" s="20"/>
      <c r="E148" s="36">
        <f t="shared" si="17"/>
        <v>0</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00"/>
      <c r="EJ148" s="100"/>
      <c r="EK148" s="100"/>
      <c r="EL148" s="100"/>
      <c r="EM148" s="100"/>
      <c r="EN148" s="100"/>
      <c r="EO148" s="100"/>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c r="FL148" s="100"/>
      <c r="FM148" s="100"/>
      <c r="FN148" s="100"/>
      <c r="FO148" s="100"/>
      <c r="FP148" s="100"/>
      <c r="FQ148" s="100"/>
      <c r="FR148" s="100"/>
      <c r="FS148" s="100"/>
      <c r="FT148" s="100"/>
      <c r="FU148" s="100"/>
      <c r="FV148" s="100"/>
      <c r="FW148" s="100"/>
      <c r="FX148" s="100"/>
      <c r="FY148" s="100"/>
      <c r="FZ148" s="100"/>
      <c r="GA148" s="100"/>
      <c r="GB148" s="100"/>
      <c r="GC148" s="100"/>
      <c r="GD148" s="100"/>
      <c r="GE148" s="100"/>
      <c r="GF148" s="100"/>
    </row>
    <row r="149" spans="1:188" s="27" customFormat="1" x14ac:dyDescent="0.2">
      <c r="A149" s="38"/>
      <c r="B149" s="37"/>
      <c r="C149" s="36">
        <f t="shared" si="16"/>
        <v>0</v>
      </c>
      <c r="D149" s="20"/>
      <c r="E149" s="36">
        <f t="shared" si="17"/>
        <v>0</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00"/>
      <c r="EJ149" s="100"/>
      <c r="EK149" s="100"/>
      <c r="EL149" s="100"/>
      <c r="EM149" s="100"/>
      <c r="EN149" s="100"/>
      <c r="EO149" s="100"/>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c r="FL149" s="100"/>
      <c r="FM149" s="100"/>
      <c r="FN149" s="100"/>
      <c r="FO149" s="100"/>
      <c r="FP149" s="100"/>
      <c r="FQ149" s="100"/>
      <c r="FR149" s="100"/>
      <c r="FS149" s="100"/>
      <c r="FT149" s="100"/>
      <c r="FU149" s="100"/>
      <c r="FV149" s="100"/>
      <c r="FW149" s="100"/>
      <c r="FX149" s="100"/>
      <c r="FY149" s="100"/>
      <c r="FZ149" s="100"/>
      <c r="GA149" s="100"/>
      <c r="GB149" s="100"/>
      <c r="GC149" s="100"/>
      <c r="GD149" s="100"/>
      <c r="GE149" s="100"/>
      <c r="GF149" s="100"/>
    </row>
    <row r="150" spans="1:188" s="27" customFormat="1" x14ac:dyDescent="0.2">
      <c r="A150" s="38"/>
      <c r="B150" s="37"/>
      <c r="C150" s="36">
        <f t="shared" si="16"/>
        <v>0</v>
      </c>
      <c r="D150" s="20"/>
      <c r="E150" s="36">
        <f t="shared" si="17"/>
        <v>0</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00"/>
      <c r="EJ150" s="100"/>
      <c r="EK150" s="100"/>
      <c r="EL150" s="100"/>
      <c r="EM150" s="100"/>
      <c r="EN150" s="100"/>
      <c r="EO150" s="100"/>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c r="FL150" s="100"/>
      <c r="FM150" s="100"/>
      <c r="FN150" s="100"/>
      <c r="FO150" s="100"/>
      <c r="FP150" s="100"/>
      <c r="FQ150" s="100"/>
      <c r="FR150" s="100"/>
      <c r="FS150" s="100"/>
      <c r="FT150" s="100"/>
      <c r="FU150" s="100"/>
      <c r="FV150" s="100"/>
      <c r="FW150" s="100"/>
      <c r="FX150" s="100"/>
      <c r="FY150" s="100"/>
      <c r="FZ150" s="100"/>
      <c r="GA150" s="100"/>
      <c r="GB150" s="100"/>
      <c r="GC150" s="100"/>
      <c r="GD150" s="100"/>
      <c r="GE150" s="100"/>
      <c r="GF150" s="100"/>
    </row>
    <row r="151" spans="1:188" s="27" customFormat="1" x14ac:dyDescent="0.2">
      <c r="A151" s="38"/>
      <c r="B151" s="37"/>
      <c r="C151" s="36">
        <f t="shared" si="16"/>
        <v>0</v>
      </c>
      <c r="D151" s="20"/>
      <c r="E151" s="36">
        <f t="shared" si="17"/>
        <v>0</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00"/>
      <c r="EJ151" s="100"/>
      <c r="EK151" s="100"/>
      <c r="EL151" s="100"/>
      <c r="EM151" s="100"/>
      <c r="EN151" s="100"/>
      <c r="EO151" s="100"/>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c r="FL151" s="100"/>
      <c r="FM151" s="100"/>
      <c r="FN151" s="100"/>
      <c r="FO151" s="100"/>
      <c r="FP151" s="100"/>
      <c r="FQ151" s="100"/>
      <c r="FR151" s="100"/>
      <c r="FS151" s="100"/>
      <c r="FT151" s="100"/>
      <c r="FU151" s="100"/>
      <c r="FV151" s="100"/>
      <c r="FW151" s="100"/>
      <c r="FX151" s="100"/>
      <c r="FY151" s="100"/>
      <c r="FZ151" s="100"/>
      <c r="GA151" s="100"/>
      <c r="GB151" s="100"/>
      <c r="GC151" s="100"/>
      <c r="GD151" s="100"/>
      <c r="GE151" s="100"/>
      <c r="GF151" s="100"/>
    </row>
    <row r="152" spans="1:188" s="27" customFormat="1" x14ac:dyDescent="0.2">
      <c r="A152" s="38"/>
      <c r="B152" s="37"/>
      <c r="C152" s="36">
        <f t="shared" si="16"/>
        <v>0</v>
      </c>
      <c r="D152" s="20"/>
      <c r="E152" s="36">
        <f t="shared" si="17"/>
        <v>0</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00"/>
      <c r="EJ152" s="100"/>
      <c r="EK152" s="100"/>
      <c r="EL152" s="100"/>
      <c r="EM152" s="100"/>
      <c r="EN152" s="100"/>
      <c r="EO152" s="100"/>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c r="FL152" s="100"/>
      <c r="FM152" s="100"/>
      <c r="FN152" s="100"/>
      <c r="FO152" s="100"/>
      <c r="FP152" s="100"/>
      <c r="FQ152" s="100"/>
      <c r="FR152" s="100"/>
      <c r="FS152" s="100"/>
      <c r="FT152" s="100"/>
      <c r="FU152" s="100"/>
      <c r="FV152" s="100"/>
      <c r="FW152" s="100"/>
      <c r="FX152" s="100"/>
      <c r="FY152" s="100"/>
      <c r="FZ152" s="100"/>
      <c r="GA152" s="100"/>
      <c r="GB152" s="100"/>
      <c r="GC152" s="100"/>
      <c r="GD152" s="100"/>
      <c r="GE152" s="100"/>
      <c r="GF152" s="100"/>
    </row>
    <row r="153" spans="1:188" s="27" customFormat="1" x14ac:dyDescent="0.2">
      <c r="A153" s="38"/>
      <c r="B153" s="37"/>
      <c r="C153" s="36">
        <f t="shared" si="16"/>
        <v>0</v>
      </c>
      <c r="D153" s="20"/>
      <c r="E153" s="36">
        <f t="shared" si="17"/>
        <v>0</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00"/>
      <c r="EJ153" s="100"/>
      <c r="EK153" s="100"/>
      <c r="EL153" s="100"/>
      <c r="EM153" s="100"/>
      <c r="EN153" s="100"/>
      <c r="EO153" s="100"/>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c r="FL153" s="100"/>
      <c r="FM153" s="100"/>
      <c r="FN153" s="100"/>
      <c r="FO153" s="100"/>
      <c r="FP153" s="100"/>
      <c r="FQ153" s="100"/>
      <c r="FR153" s="100"/>
      <c r="FS153" s="100"/>
      <c r="FT153" s="100"/>
      <c r="FU153" s="100"/>
      <c r="FV153" s="100"/>
      <c r="FW153" s="100"/>
      <c r="FX153" s="100"/>
      <c r="FY153" s="100"/>
      <c r="FZ153" s="100"/>
      <c r="GA153" s="100"/>
      <c r="GB153" s="100"/>
      <c r="GC153" s="100"/>
      <c r="GD153" s="100"/>
      <c r="GE153" s="100"/>
      <c r="GF153" s="100"/>
    </row>
    <row r="154" spans="1:188" s="27" customFormat="1" x14ac:dyDescent="0.2">
      <c r="A154" s="38"/>
      <c r="B154" s="37"/>
      <c r="C154" s="36">
        <f t="shared" si="16"/>
        <v>0</v>
      </c>
      <c r="D154" s="20"/>
      <c r="E154" s="36">
        <f t="shared" si="17"/>
        <v>0</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00"/>
      <c r="EJ154" s="100"/>
      <c r="EK154" s="100"/>
      <c r="EL154" s="100"/>
      <c r="EM154" s="100"/>
      <c r="EN154" s="100"/>
      <c r="EO154" s="100"/>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c r="FL154" s="100"/>
      <c r="FM154" s="100"/>
      <c r="FN154" s="100"/>
      <c r="FO154" s="100"/>
      <c r="FP154" s="100"/>
      <c r="FQ154" s="100"/>
      <c r="FR154" s="100"/>
      <c r="FS154" s="100"/>
      <c r="FT154" s="100"/>
      <c r="FU154" s="100"/>
      <c r="FV154" s="100"/>
      <c r="FW154" s="100"/>
      <c r="FX154" s="100"/>
      <c r="FY154" s="100"/>
      <c r="FZ154" s="100"/>
      <c r="GA154" s="100"/>
      <c r="GB154" s="100"/>
      <c r="GC154" s="100"/>
      <c r="GD154" s="100"/>
      <c r="GE154" s="100"/>
      <c r="GF154" s="100"/>
    </row>
    <row r="155" spans="1:188" s="27" customFormat="1" x14ac:dyDescent="0.2">
      <c r="A155" s="38"/>
      <c r="B155" s="37"/>
      <c r="C155" s="36">
        <f t="shared" si="16"/>
        <v>0</v>
      </c>
      <c r="D155" s="20"/>
      <c r="E155" s="36">
        <f t="shared" si="17"/>
        <v>0</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00"/>
      <c r="EJ155" s="100"/>
      <c r="EK155" s="100"/>
      <c r="EL155" s="100"/>
      <c r="EM155" s="100"/>
      <c r="EN155" s="100"/>
      <c r="EO155" s="100"/>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c r="FL155" s="100"/>
      <c r="FM155" s="100"/>
      <c r="FN155" s="100"/>
      <c r="FO155" s="100"/>
      <c r="FP155" s="100"/>
      <c r="FQ155" s="100"/>
      <c r="FR155" s="100"/>
      <c r="FS155" s="100"/>
      <c r="FT155" s="100"/>
      <c r="FU155" s="100"/>
      <c r="FV155" s="100"/>
      <c r="FW155" s="100"/>
      <c r="FX155" s="100"/>
      <c r="FY155" s="100"/>
      <c r="FZ155" s="100"/>
      <c r="GA155" s="100"/>
      <c r="GB155" s="100"/>
      <c r="GC155" s="100"/>
      <c r="GD155" s="100"/>
      <c r="GE155" s="100"/>
      <c r="GF155" s="100"/>
    </row>
    <row r="156" spans="1:188" s="27" customFormat="1" x14ac:dyDescent="0.2">
      <c r="A156" s="38"/>
      <c r="B156" s="37"/>
      <c r="C156" s="36">
        <f t="shared" si="16"/>
        <v>0</v>
      </c>
      <c r="D156" s="20"/>
      <c r="E156" s="36">
        <f t="shared" si="17"/>
        <v>0</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00"/>
      <c r="EJ156" s="100"/>
      <c r="EK156" s="100"/>
      <c r="EL156" s="100"/>
      <c r="EM156" s="100"/>
      <c r="EN156" s="100"/>
      <c r="EO156" s="100"/>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c r="FL156" s="100"/>
      <c r="FM156" s="100"/>
      <c r="FN156" s="100"/>
      <c r="FO156" s="100"/>
      <c r="FP156" s="100"/>
      <c r="FQ156" s="100"/>
      <c r="FR156" s="100"/>
      <c r="FS156" s="100"/>
      <c r="FT156" s="100"/>
      <c r="FU156" s="100"/>
      <c r="FV156" s="100"/>
      <c r="FW156" s="100"/>
      <c r="FX156" s="100"/>
      <c r="FY156" s="100"/>
      <c r="FZ156" s="100"/>
      <c r="GA156" s="100"/>
      <c r="GB156" s="100"/>
      <c r="GC156" s="100"/>
      <c r="GD156" s="100"/>
      <c r="GE156" s="100"/>
      <c r="GF156" s="100"/>
    </row>
    <row r="157" spans="1:188" s="27" customFormat="1" x14ac:dyDescent="0.2">
      <c r="A157" s="38"/>
      <c r="B157" s="37"/>
      <c r="C157" s="36">
        <f t="shared" si="16"/>
        <v>0</v>
      </c>
      <c r="D157" s="20"/>
      <c r="E157" s="36">
        <f t="shared" si="17"/>
        <v>0</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00"/>
      <c r="EJ157" s="100"/>
      <c r="EK157" s="100"/>
      <c r="EL157" s="100"/>
      <c r="EM157" s="100"/>
      <c r="EN157" s="100"/>
      <c r="EO157" s="100"/>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c r="FL157" s="100"/>
      <c r="FM157" s="100"/>
      <c r="FN157" s="100"/>
      <c r="FO157" s="100"/>
      <c r="FP157" s="100"/>
      <c r="FQ157" s="100"/>
      <c r="FR157" s="100"/>
      <c r="FS157" s="100"/>
      <c r="FT157" s="100"/>
      <c r="FU157" s="100"/>
      <c r="FV157" s="100"/>
      <c r="FW157" s="100"/>
      <c r="FX157" s="100"/>
      <c r="FY157" s="100"/>
      <c r="FZ157" s="100"/>
      <c r="GA157" s="100"/>
      <c r="GB157" s="100"/>
      <c r="GC157" s="100"/>
      <c r="GD157" s="100"/>
      <c r="GE157" s="100"/>
      <c r="GF157" s="100"/>
    </row>
    <row r="158" spans="1:188" s="27" customFormat="1" x14ac:dyDescent="0.2">
      <c r="A158" s="38"/>
      <c r="B158" s="37"/>
      <c r="C158" s="36">
        <f t="shared" si="16"/>
        <v>0</v>
      </c>
      <c r="D158" s="20"/>
      <c r="E158" s="36">
        <f t="shared" si="17"/>
        <v>0</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00"/>
      <c r="EJ158" s="100"/>
      <c r="EK158" s="100"/>
      <c r="EL158" s="100"/>
      <c r="EM158" s="100"/>
      <c r="EN158" s="100"/>
      <c r="EO158" s="100"/>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c r="FL158" s="100"/>
      <c r="FM158" s="100"/>
      <c r="FN158" s="100"/>
      <c r="FO158" s="100"/>
      <c r="FP158" s="100"/>
      <c r="FQ158" s="100"/>
      <c r="FR158" s="100"/>
      <c r="FS158" s="100"/>
      <c r="FT158" s="100"/>
      <c r="FU158" s="100"/>
      <c r="FV158" s="100"/>
      <c r="FW158" s="100"/>
      <c r="FX158" s="100"/>
      <c r="FY158" s="100"/>
      <c r="FZ158" s="100"/>
      <c r="GA158" s="100"/>
      <c r="GB158" s="100"/>
      <c r="GC158" s="100"/>
      <c r="GD158" s="100"/>
      <c r="GE158" s="100"/>
      <c r="GF158" s="100"/>
    </row>
    <row r="159" spans="1:188" s="27" customFormat="1" x14ac:dyDescent="0.2">
      <c r="A159" s="38"/>
      <c r="B159" s="37"/>
      <c r="C159" s="36">
        <f t="shared" si="16"/>
        <v>0</v>
      </c>
      <c r="D159" s="20"/>
      <c r="E159" s="36">
        <f t="shared" si="17"/>
        <v>0</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00"/>
      <c r="EJ159" s="100"/>
      <c r="EK159" s="100"/>
      <c r="EL159" s="100"/>
      <c r="EM159" s="100"/>
      <c r="EN159" s="100"/>
      <c r="EO159" s="100"/>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c r="FL159" s="100"/>
      <c r="FM159" s="100"/>
      <c r="FN159" s="100"/>
      <c r="FO159" s="100"/>
      <c r="FP159" s="100"/>
      <c r="FQ159" s="100"/>
      <c r="FR159" s="100"/>
      <c r="FS159" s="100"/>
      <c r="FT159" s="100"/>
      <c r="FU159" s="100"/>
      <c r="FV159" s="100"/>
      <c r="FW159" s="100"/>
      <c r="FX159" s="100"/>
      <c r="FY159" s="100"/>
      <c r="FZ159" s="100"/>
      <c r="GA159" s="100"/>
      <c r="GB159" s="100"/>
      <c r="GC159" s="100"/>
      <c r="GD159" s="100"/>
      <c r="GE159" s="100"/>
      <c r="GF159" s="100"/>
    </row>
    <row r="160" spans="1:188" s="27" customFormat="1" x14ac:dyDescent="0.2">
      <c r="A160" s="38"/>
      <c r="B160" s="37"/>
      <c r="C160" s="36">
        <f t="shared" si="16"/>
        <v>0</v>
      </c>
      <c r="D160" s="20"/>
      <c r="E160" s="36">
        <f t="shared" si="17"/>
        <v>0</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00"/>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c r="GB160" s="100"/>
      <c r="GC160" s="100"/>
      <c r="GD160" s="100"/>
      <c r="GE160" s="100"/>
      <c r="GF160" s="100"/>
    </row>
    <row r="161" spans="1:188" s="27" customFormat="1" x14ac:dyDescent="0.2">
      <c r="A161" s="38"/>
      <c r="B161" s="37"/>
      <c r="C161" s="36">
        <f t="shared" si="16"/>
        <v>0</v>
      </c>
      <c r="D161" s="20"/>
      <c r="E161" s="36">
        <f t="shared" si="17"/>
        <v>0</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00"/>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c r="GB161" s="100"/>
      <c r="GC161" s="100"/>
      <c r="GD161" s="100"/>
      <c r="GE161" s="100"/>
      <c r="GF161" s="100"/>
    </row>
    <row r="162" spans="1:188" s="27" customFormat="1" x14ac:dyDescent="0.2">
      <c r="A162" s="38"/>
      <c r="B162" s="37"/>
      <c r="C162" s="36">
        <f t="shared" si="16"/>
        <v>0</v>
      </c>
      <c r="D162" s="20"/>
      <c r="E162" s="36">
        <f t="shared" si="17"/>
        <v>0</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00"/>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c r="GB162" s="100"/>
      <c r="GC162" s="100"/>
      <c r="GD162" s="100"/>
      <c r="GE162" s="100"/>
      <c r="GF162" s="100"/>
    </row>
    <row r="163" spans="1:188" s="27" customFormat="1" x14ac:dyDescent="0.2">
      <c r="A163" s="38"/>
      <c r="B163" s="37"/>
      <c r="C163" s="36">
        <f t="shared" si="16"/>
        <v>0</v>
      </c>
      <c r="D163" s="20"/>
      <c r="E163" s="36">
        <f t="shared" si="17"/>
        <v>0</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00"/>
      <c r="EJ163" s="100"/>
      <c r="EK163" s="100"/>
      <c r="EL163" s="100"/>
      <c r="EM163" s="100"/>
      <c r="EN163" s="100"/>
      <c r="EO163" s="100"/>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c r="FL163" s="100"/>
      <c r="FM163" s="100"/>
      <c r="FN163" s="100"/>
      <c r="FO163" s="100"/>
      <c r="FP163" s="100"/>
      <c r="FQ163" s="100"/>
      <c r="FR163" s="100"/>
      <c r="FS163" s="100"/>
      <c r="FT163" s="100"/>
      <c r="FU163" s="100"/>
      <c r="FV163" s="100"/>
      <c r="FW163" s="100"/>
      <c r="FX163" s="100"/>
      <c r="FY163" s="100"/>
      <c r="FZ163" s="100"/>
      <c r="GA163" s="100"/>
      <c r="GB163" s="100"/>
      <c r="GC163" s="100"/>
      <c r="GD163" s="100"/>
      <c r="GE163" s="100"/>
      <c r="GF163" s="100"/>
    </row>
    <row r="164" spans="1:188" s="27" customFormat="1" x14ac:dyDescent="0.2">
      <c r="A164" s="38"/>
      <c r="B164" s="37"/>
      <c r="C164" s="36">
        <f t="shared" si="16"/>
        <v>0</v>
      </c>
      <c r="D164" s="20"/>
      <c r="E164" s="36">
        <f t="shared" si="17"/>
        <v>0</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00"/>
      <c r="EJ164" s="100"/>
      <c r="EK164" s="100"/>
      <c r="EL164" s="100"/>
      <c r="EM164" s="100"/>
      <c r="EN164" s="100"/>
      <c r="EO164" s="100"/>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c r="FL164" s="100"/>
      <c r="FM164" s="100"/>
      <c r="FN164" s="100"/>
      <c r="FO164" s="100"/>
      <c r="FP164" s="100"/>
      <c r="FQ164" s="100"/>
      <c r="FR164" s="100"/>
      <c r="FS164" s="100"/>
      <c r="FT164" s="100"/>
      <c r="FU164" s="100"/>
      <c r="FV164" s="100"/>
      <c r="FW164" s="100"/>
      <c r="FX164" s="100"/>
      <c r="FY164" s="100"/>
      <c r="FZ164" s="100"/>
      <c r="GA164" s="100"/>
      <c r="GB164" s="100"/>
      <c r="GC164" s="100"/>
      <c r="GD164" s="100"/>
      <c r="GE164" s="100"/>
      <c r="GF164" s="100"/>
    </row>
    <row r="165" spans="1:188" s="27" customFormat="1" x14ac:dyDescent="0.2">
      <c r="A165" s="38"/>
      <c r="B165" s="37"/>
      <c r="C165" s="36">
        <f t="shared" si="16"/>
        <v>0</v>
      </c>
      <c r="D165" s="20"/>
      <c r="E165" s="36">
        <f t="shared" si="17"/>
        <v>0</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00"/>
      <c r="EJ165" s="100"/>
      <c r="EK165" s="100"/>
      <c r="EL165" s="100"/>
      <c r="EM165" s="100"/>
      <c r="EN165" s="100"/>
      <c r="EO165" s="100"/>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c r="FL165" s="100"/>
      <c r="FM165" s="100"/>
      <c r="FN165" s="100"/>
      <c r="FO165" s="100"/>
      <c r="FP165" s="100"/>
      <c r="FQ165" s="100"/>
      <c r="FR165" s="100"/>
      <c r="FS165" s="100"/>
      <c r="FT165" s="100"/>
      <c r="FU165" s="100"/>
      <c r="FV165" s="100"/>
      <c r="FW165" s="100"/>
      <c r="FX165" s="100"/>
      <c r="FY165" s="100"/>
      <c r="FZ165" s="100"/>
      <c r="GA165" s="100"/>
      <c r="GB165" s="100"/>
      <c r="GC165" s="100"/>
      <c r="GD165" s="100"/>
      <c r="GE165" s="100"/>
      <c r="GF165" s="100"/>
    </row>
    <row r="166" spans="1:188" s="27" customFormat="1" x14ac:dyDescent="0.2">
      <c r="A166" s="38"/>
      <c r="B166" s="37"/>
      <c r="C166" s="36">
        <f t="shared" si="16"/>
        <v>0</v>
      </c>
      <c r="D166" s="20"/>
      <c r="E166" s="36">
        <f t="shared" si="17"/>
        <v>0</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00"/>
      <c r="EJ166" s="100"/>
      <c r="EK166" s="100"/>
      <c r="EL166" s="100"/>
      <c r="EM166" s="100"/>
      <c r="EN166" s="100"/>
      <c r="EO166" s="100"/>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c r="FL166" s="100"/>
      <c r="FM166" s="100"/>
      <c r="FN166" s="100"/>
      <c r="FO166" s="100"/>
      <c r="FP166" s="100"/>
      <c r="FQ166" s="100"/>
      <c r="FR166" s="100"/>
      <c r="FS166" s="100"/>
      <c r="FT166" s="100"/>
      <c r="FU166" s="100"/>
      <c r="FV166" s="100"/>
      <c r="FW166" s="100"/>
      <c r="FX166" s="100"/>
      <c r="FY166" s="100"/>
      <c r="FZ166" s="100"/>
      <c r="GA166" s="100"/>
      <c r="GB166" s="100"/>
      <c r="GC166" s="100"/>
      <c r="GD166" s="100"/>
      <c r="GE166" s="100"/>
      <c r="GF166" s="100"/>
    </row>
    <row r="167" spans="1:188" s="27" customFormat="1" x14ac:dyDescent="0.2">
      <c r="A167" s="38"/>
      <c r="B167" s="37"/>
      <c r="C167" s="36">
        <f t="shared" si="16"/>
        <v>0</v>
      </c>
      <c r="D167" s="20"/>
      <c r="E167" s="36">
        <f t="shared" si="17"/>
        <v>0</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00"/>
      <c r="EJ167" s="100"/>
      <c r="EK167" s="100"/>
      <c r="EL167" s="100"/>
      <c r="EM167" s="100"/>
      <c r="EN167" s="100"/>
      <c r="EO167" s="100"/>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c r="FL167" s="100"/>
      <c r="FM167" s="100"/>
      <c r="FN167" s="100"/>
      <c r="FO167" s="100"/>
      <c r="FP167" s="100"/>
      <c r="FQ167" s="100"/>
      <c r="FR167" s="100"/>
      <c r="FS167" s="100"/>
      <c r="FT167" s="100"/>
      <c r="FU167" s="100"/>
      <c r="FV167" s="100"/>
      <c r="FW167" s="100"/>
      <c r="FX167" s="100"/>
      <c r="FY167" s="100"/>
      <c r="FZ167" s="100"/>
      <c r="GA167" s="100"/>
      <c r="GB167" s="100"/>
      <c r="GC167" s="100"/>
      <c r="GD167" s="100"/>
      <c r="GE167" s="100"/>
      <c r="GF167" s="100"/>
    </row>
    <row r="168" spans="1:188" s="27" customFormat="1" x14ac:dyDescent="0.2">
      <c r="A168" s="38"/>
      <c r="B168" s="37"/>
      <c r="C168" s="36">
        <f t="shared" si="16"/>
        <v>0</v>
      </c>
      <c r="D168" s="20"/>
      <c r="E168" s="36">
        <f t="shared" si="17"/>
        <v>0</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00"/>
      <c r="EJ168" s="100"/>
      <c r="EK168" s="100"/>
      <c r="EL168" s="100"/>
      <c r="EM168" s="100"/>
      <c r="EN168" s="100"/>
      <c r="EO168" s="100"/>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c r="FL168" s="100"/>
      <c r="FM168" s="100"/>
      <c r="FN168" s="100"/>
      <c r="FO168" s="100"/>
      <c r="FP168" s="100"/>
      <c r="FQ168" s="100"/>
      <c r="FR168" s="100"/>
      <c r="FS168" s="100"/>
      <c r="FT168" s="100"/>
      <c r="FU168" s="100"/>
      <c r="FV168" s="100"/>
      <c r="FW168" s="100"/>
      <c r="FX168" s="100"/>
      <c r="FY168" s="100"/>
      <c r="FZ168" s="100"/>
      <c r="GA168" s="100"/>
      <c r="GB168" s="100"/>
      <c r="GC168" s="100"/>
      <c r="GD168" s="100"/>
      <c r="GE168" s="100"/>
      <c r="GF168" s="100"/>
    </row>
    <row r="169" spans="1:188" s="27" customFormat="1" x14ac:dyDescent="0.2">
      <c r="A169" s="38"/>
      <c r="B169" s="37"/>
      <c r="C169" s="36">
        <f t="shared" si="16"/>
        <v>0</v>
      </c>
      <c r="D169" s="20"/>
      <c r="E169" s="36">
        <f t="shared" si="17"/>
        <v>0</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00"/>
      <c r="EJ169" s="100"/>
      <c r="EK169" s="100"/>
      <c r="EL169" s="100"/>
      <c r="EM169" s="100"/>
      <c r="EN169" s="100"/>
      <c r="EO169" s="100"/>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c r="FL169" s="100"/>
      <c r="FM169" s="100"/>
      <c r="FN169" s="100"/>
      <c r="FO169" s="100"/>
      <c r="FP169" s="100"/>
      <c r="FQ169" s="100"/>
      <c r="FR169" s="100"/>
      <c r="FS169" s="100"/>
      <c r="FT169" s="100"/>
      <c r="FU169" s="100"/>
      <c r="FV169" s="100"/>
      <c r="FW169" s="100"/>
      <c r="FX169" s="100"/>
      <c r="FY169" s="100"/>
      <c r="FZ169" s="100"/>
      <c r="GA169" s="100"/>
      <c r="GB169" s="100"/>
      <c r="GC169" s="100"/>
      <c r="GD169" s="100"/>
      <c r="GE169" s="100"/>
      <c r="GF169" s="100"/>
    </row>
    <row r="170" spans="1:188" s="27" customFormat="1" x14ac:dyDescent="0.2">
      <c r="A170" s="38"/>
      <c r="B170" s="37"/>
      <c r="C170" s="36">
        <f t="shared" si="16"/>
        <v>0</v>
      </c>
      <c r="D170" s="20"/>
      <c r="E170" s="36">
        <f t="shared" si="17"/>
        <v>0</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00"/>
      <c r="EJ170" s="100"/>
      <c r="EK170" s="100"/>
      <c r="EL170" s="100"/>
      <c r="EM170" s="100"/>
      <c r="EN170" s="100"/>
      <c r="EO170" s="100"/>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c r="FL170" s="100"/>
      <c r="FM170" s="100"/>
      <c r="FN170" s="100"/>
      <c r="FO170" s="100"/>
      <c r="FP170" s="100"/>
      <c r="FQ170" s="100"/>
      <c r="FR170" s="100"/>
      <c r="FS170" s="100"/>
      <c r="FT170" s="100"/>
      <c r="FU170" s="100"/>
      <c r="FV170" s="100"/>
      <c r="FW170" s="100"/>
      <c r="FX170" s="100"/>
      <c r="FY170" s="100"/>
      <c r="FZ170" s="100"/>
      <c r="GA170" s="100"/>
      <c r="GB170" s="100"/>
      <c r="GC170" s="100"/>
      <c r="GD170" s="100"/>
      <c r="GE170" s="100"/>
      <c r="GF170" s="100"/>
    </row>
    <row r="171" spans="1:188" s="27" customFormat="1" x14ac:dyDescent="0.2">
      <c r="A171" s="38"/>
      <c r="B171" s="37"/>
      <c r="C171" s="36">
        <f t="shared" si="16"/>
        <v>0</v>
      </c>
      <c r="D171" s="20"/>
      <c r="E171" s="36">
        <f t="shared" si="17"/>
        <v>0</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row>
    <row r="172" spans="1:188" s="27" customFormat="1" x14ac:dyDescent="0.2">
      <c r="A172" s="38"/>
      <c r="B172" s="37"/>
      <c r="C172" s="36">
        <f t="shared" si="16"/>
        <v>0</v>
      </c>
      <c r="D172" s="20"/>
      <c r="E172" s="36">
        <f t="shared" si="17"/>
        <v>0</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00"/>
      <c r="EJ172" s="100"/>
      <c r="EK172" s="100"/>
      <c r="EL172" s="100"/>
      <c r="EM172" s="100"/>
      <c r="EN172" s="100"/>
      <c r="EO172" s="100"/>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c r="FL172" s="100"/>
      <c r="FM172" s="100"/>
      <c r="FN172" s="100"/>
      <c r="FO172" s="100"/>
      <c r="FP172" s="100"/>
      <c r="FQ172" s="100"/>
      <c r="FR172" s="100"/>
      <c r="FS172" s="100"/>
      <c r="FT172" s="100"/>
      <c r="FU172" s="100"/>
      <c r="FV172" s="100"/>
      <c r="FW172" s="100"/>
      <c r="FX172" s="100"/>
      <c r="FY172" s="100"/>
      <c r="FZ172" s="100"/>
      <c r="GA172" s="100"/>
      <c r="GB172" s="100"/>
      <c r="GC172" s="100"/>
      <c r="GD172" s="100"/>
      <c r="GE172" s="100"/>
      <c r="GF172" s="100"/>
    </row>
    <row r="173" spans="1:188" s="27" customFormat="1" x14ac:dyDescent="0.2">
      <c r="A173" s="38"/>
      <c r="B173" s="37"/>
      <c r="C173" s="36">
        <f t="shared" si="16"/>
        <v>0</v>
      </c>
      <c r="D173" s="20"/>
      <c r="E173" s="36">
        <f t="shared" si="17"/>
        <v>0</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00"/>
      <c r="EJ173" s="100"/>
      <c r="EK173" s="100"/>
      <c r="EL173" s="100"/>
      <c r="EM173" s="100"/>
      <c r="EN173" s="100"/>
      <c r="EO173" s="100"/>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c r="FL173" s="100"/>
      <c r="FM173" s="100"/>
      <c r="FN173" s="100"/>
      <c r="FO173" s="100"/>
      <c r="FP173" s="100"/>
      <c r="FQ173" s="100"/>
      <c r="FR173" s="100"/>
      <c r="FS173" s="100"/>
      <c r="FT173" s="100"/>
      <c r="FU173" s="100"/>
      <c r="FV173" s="100"/>
      <c r="FW173" s="100"/>
      <c r="FX173" s="100"/>
      <c r="FY173" s="100"/>
      <c r="FZ173" s="100"/>
      <c r="GA173" s="100"/>
      <c r="GB173" s="100"/>
      <c r="GC173" s="100"/>
      <c r="GD173" s="100"/>
      <c r="GE173" s="100"/>
      <c r="GF173" s="100"/>
    </row>
    <row r="174" spans="1:188" s="27" customFormat="1" x14ac:dyDescent="0.2">
      <c r="A174" s="38"/>
      <c r="B174" s="37"/>
      <c r="C174" s="36">
        <f t="shared" si="16"/>
        <v>0</v>
      </c>
      <c r="D174" s="20"/>
      <c r="E174" s="36">
        <f t="shared" si="17"/>
        <v>0</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00"/>
      <c r="EJ174" s="100"/>
      <c r="EK174" s="100"/>
      <c r="EL174" s="100"/>
      <c r="EM174" s="100"/>
      <c r="EN174" s="100"/>
      <c r="EO174" s="100"/>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c r="FL174" s="100"/>
      <c r="FM174" s="100"/>
      <c r="FN174" s="100"/>
      <c r="FO174" s="100"/>
      <c r="FP174" s="100"/>
      <c r="FQ174" s="100"/>
      <c r="FR174" s="100"/>
      <c r="FS174" s="100"/>
      <c r="FT174" s="100"/>
      <c r="FU174" s="100"/>
      <c r="FV174" s="100"/>
      <c r="FW174" s="100"/>
      <c r="FX174" s="100"/>
      <c r="FY174" s="100"/>
      <c r="FZ174" s="100"/>
      <c r="GA174" s="100"/>
      <c r="GB174" s="100"/>
      <c r="GC174" s="100"/>
      <c r="GD174" s="100"/>
      <c r="GE174" s="100"/>
      <c r="GF174" s="100"/>
    </row>
    <row r="175" spans="1:188" s="27" customFormat="1" x14ac:dyDescent="0.2">
      <c r="A175" s="38"/>
      <c r="B175" s="37"/>
      <c r="C175" s="36">
        <f t="shared" si="16"/>
        <v>0</v>
      </c>
      <c r="D175" s="20"/>
      <c r="E175" s="36">
        <f t="shared" si="17"/>
        <v>0</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00"/>
      <c r="EJ175" s="100"/>
      <c r="EK175" s="100"/>
      <c r="EL175" s="100"/>
      <c r="EM175" s="100"/>
      <c r="EN175" s="100"/>
      <c r="EO175" s="100"/>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c r="FL175" s="100"/>
      <c r="FM175" s="100"/>
      <c r="FN175" s="100"/>
      <c r="FO175" s="100"/>
      <c r="FP175" s="100"/>
      <c r="FQ175" s="100"/>
      <c r="FR175" s="100"/>
      <c r="FS175" s="100"/>
      <c r="FT175" s="100"/>
      <c r="FU175" s="100"/>
      <c r="FV175" s="100"/>
      <c r="FW175" s="100"/>
      <c r="FX175" s="100"/>
      <c r="FY175" s="100"/>
      <c r="FZ175" s="100"/>
      <c r="GA175" s="100"/>
      <c r="GB175" s="100"/>
      <c r="GC175" s="100"/>
      <c r="GD175" s="100"/>
      <c r="GE175" s="100"/>
      <c r="GF175" s="100"/>
    </row>
    <row r="176" spans="1:188" s="27" customFormat="1" x14ac:dyDescent="0.2">
      <c r="A176" s="38"/>
      <c r="B176" s="37"/>
      <c r="C176" s="36">
        <f t="shared" si="16"/>
        <v>0</v>
      </c>
      <c r="D176" s="20"/>
      <c r="E176" s="36">
        <f t="shared" si="17"/>
        <v>0</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00"/>
      <c r="EJ176" s="100"/>
      <c r="EK176" s="100"/>
      <c r="EL176" s="100"/>
      <c r="EM176" s="100"/>
      <c r="EN176" s="100"/>
      <c r="EO176" s="100"/>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c r="FL176" s="100"/>
      <c r="FM176" s="100"/>
      <c r="FN176" s="100"/>
      <c r="FO176" s="100"/>
      <c r="FP176" s="100"/>
      <c r="FQ176" s="100"/>
      <c r="FR176" s="100"/>
      <c r="FS176" s="100"/>
      <c r="FT176" s="100"/>
      <c r="FU176" s="100"/>
      <c r="FV176" s="100"/>
      <c r="FW176" s="100"/>
      <c r="FX176" s="100"/>
      <c r="FY176" s="100"/>
      <c r="FZ176" s="100"/>
      <c r="GA176" s="100"/>
      <c r="GB176" s="100"/>
      <c r="GC176" s="100"/>
      <c r="GD176" s="100"/>
      <c r="GE176" s="100"/>
      <c r="GF176" s="100"/>
    </row>
    <row r="177" spans="1:188" s="27" customFormat="1" x14ac:dyDescent="0.2">
      <c r="A177" s="38"/>
      <c r="B177" s="37"/>
      <c r="C177" s="36">
        <f t="shared" si="16"/>
        <v>0</v>
      </c>
      <c r="D177" s="20"/>
      <c r="E177" s="36">
        <f t="shared" si="17"/>
        <v>0</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00"/>
      <c r="EJ177" s="100"/>
      <c r="EK177" s="100"/>
      <c r="EL177" s="100"/>
      <c r="EM177" s="100"/>
      <c r="EN177" s="100"/>
      <c r="EO177" s="100"/>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c r="FL177" s="100"/>
      <c r="FM177" s="100"/>
      <c r="FN177" s="100"/>
      <c r="FO177" s="100"/>
      <c r="FP177" s="100"/>
      <c r="FQ177" s="100"/>
      <c r="FR177" s="100"/>
      <c r="FS177" s="100"/>
      <c r="FT177" s="100"/>
      <c r="FU177" s="100"/>
      <c r="FV177" s="100"/>
      <c r="FW177" s="100"/>
      <c r="FX177" s="100"/>
      <c r="FY177" s="100"/>
      <c r="FZ177" s="100"/>
      <c r="GA177" s="100"/>
      <c r="GB177" s="100"/>
      <c r="GC177" s="100"/>
      <c r="GD177" s="100"/>
      <c r="GE177" s="100"/>
      <c r="GF177" s="100"/>
    </row>
    <row r="178" spans="1:188" s="27" customFormat="1" x14ac:dyDescent="0.2">
      <c r="A178" s="38"/>
      <c r="B178" s="37"/>
      <c r="C178" s="36">
        <f t="shared" si="16"/>
        <v>0</v>
      </c>
      <c r="D178" s="20"/>
      <c r="E178" s="36">
        <f t="shared" si="17"/>
        <v>0</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00"/>
      <c r="EJ178" s="100"/>
      <c r="EK178" s="100"/>
      <c r="EL178" s="100"/>
      <c r="EM178" s="100"/>
      <c r="EN178" s="100"/>
      <c r="EO178" s="100"/>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c r="FL178" s="100"/>
      <c r="FM178" s="100"/>
      <c r="FN178" s="100"/>
      <c r="FO178" s="100"/>
      <c r="FP178" s="100"/>
      <c r="FQ178" s="100"/>
      <c r="FR178" s="100"/>
      <c r="FS178" s="100"/>
      <c r="FT178" s="100"/>
      <c r="FU178" s="100"/>
      <c r="FV178" s="100"/>
      <c r="FW178" s="100"/>
      <c r="FX178" s="100"/>
      <c r="FY178" s="100"/>
      <c r="FZ178" s="100"/>
      <c r="GA178" s="100"/>
      <c r="GB178" s="100"/>
      <c r="GC178" s="100"/>
      <c r="GD178" s="100"/>
      <c r="GE178" s="100"/>
      <c r="GF178" s="100"/>
    </row>
    <row r="179" spans="1:188" s="27" customFormat="1" x14ac:dyDescent="0.2">
      <c r="A179" s="38"/>
      <c r="B179" s="37"/>
      <c r="C179" s="36">
        <f t="shared" si="16"/>
        <v>0</v>
      </c>
      <c r="D179" s="20"/>
      <c r="E179" s="36">
        <f t="shared" si="17"/>
        <v>0</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00"/>
      <c r="EJ179" s="100"/>
      <c r="EK179" s="100"/>
      <c r="EL179" s="100"/>
      <c r="EM179" s="100"/>
      <c r="EN179" s="100"/>
      <c r="EO179" s="100"/>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c r="FL179" s="100"/>
      <c r="FM179" s="100"/>
      <c r="FN179" s="100"/>
      <c r="FO179" s="100"/>
      <c r="FP179" s="100"/>
      <c r="FQ179" s="100"/>
      <c r="FR179" s="100"/>
      <c r="FS179" s="100"/>
      <c r="FT179" s="100"/>
      <c r="FU179" s="100"/>
      <c r="FV179" s="100"/>
      <c r="FW179" s="100"/>
      <c r="FX179" s="100"/>
      <c r="FY179" s="100"/>
      <c r="FZ179" s="100"/>
      <c r="GA179" s="100"/>
      <c r="GB179" s="100"/>
      <c r="GC179" s="100"/>
      <c r="GD179" s="100"/>
      <c r="GE179" s="100"/>
      <c r="GF179" s="100"/>
    </row>
    <row r="180" spans="1:188" s="27" customFormat="1" x14ac:dyDescent="0.2">
      <c r="A180" s="38"/>
      <c r="B180" s="37"/>
      <c r="C180" s="36">
        <f t="shared" si="16"/>
        <v>0</v>
      </c>
      <c r="D180" s="20"/>
      <c r="E180" s="36">
        <f t="shared" si="17"/>
        <v>0</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00"/>
      <c r="EJ180" s="100"/>
      <c r="EK180" s="100"/>
      <c r="EL180" s="100"/>
      <c r="EM180" s="100"/>
      <c r="EN180" s="100"/>
      <c r="EO180" s="100"/>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c r="FL180" s="100"/>
      <c r="FM180" s="100"/>
      <c r="FN180" s="100"/>
      <c r="FO180" s="100"/>
      <c r="FP180" s="100"/>
      <c r="FQ180" s="100"/>
      <c r="FR180" s="100"/>
      <c r="FS180" s="100"/>
      <c r="FT180" s="100"/>
      <c r="FU180" s="100"/>
      <c r="FV180" s="100"/>
      <c r="FW180" s="100"/>
      <c r="FX180" s="100"/>
      <c r="FY180" s="100"/>
      <c r="FZ180" s="100"/>
      <c r="GA180" s="100"/>
      <c r="GB180" s="100"/>
      <c r="GC180" s="100"/>
      <c r="GD180" s="100"/>
      <c r="GE180" s="100"/>
      <c r="GF180" s="100"/>
    </row>
    <row r="181" spans="1:188" s="27" customFormat="1" x14ac:dyDescent="0.2">
      <c r="A181" s="38"/>
      <c r="B181" s="37"/>
      <c r="C181" s="36">
        <f t="shared" si="16"/>
        <v>0</v>
      </c>
      <c r="D181" s="20"/>
      <c r="E181" s="36">
        <f t="shared" si="17"/>
        <v>0</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00"/>
      <c r="EJ181" s="100"/>
      <c r="EK181" s="100"/>
      <c r="EL181" s="100"/>
      <c r="EM181" s="100"/>
      <c r="EN181" s="100"/>
      <c r="EO181" s="100"/>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c r="FL181" s="100"/>
      <c r="FM181" s="100"/>
      <c r="FN181" s="100"/>
      <c r="FO181" s="100"/>
      <c r="FP181" s="100"/>
      <c r="FQ181" s="100"/>
      <c r="FR181" s="100"/>
      <c r="FS181" s="100"/>
      <c r="FT181" s="100"/>
      <c r="FU181" s="100"/>
      <c r="FV181" s="100"/>
      <c r="FW181" s="100"/>
      <c r="FX181" s="100"/>
      <c r="FY181" s="100"/>
      <c r="FZ181" s="100"/>
      <c r="GA181" s="100"/>
      <c r="GB181" s="100"/>
      <c r="GC181" s="100"/>
      <c r="GD181" s="100"/>
      <c r="GE181" s="100"/>
      <c r="GF181" s="100"/>
    </row>
    <row r="182" spans="1:188" s="27" customFormat="1" x14ac:dyDescent="0.2">
      <c r="A182" s="38"/>
      <c r="B182" s="37"/>
      <c r="C182" s="36">
        <f t="shared" si="16"/>
        <v>0</v>
      </c>
      <c r="D182" s="20"/>
      <c r="E182" s="36">
        <f t="shared" si="17"/>
        <v>0</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00"/>
      <c r="EJ182" s="100"/>
      <c r="EK182" s="100"/>
      <c r="EL182" s="100"/>
      <c r="EM182" s="100"/>
      <c r="EN182" s="100"/>
      <c r="EO182" s="100"/>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c r="FL182" s="100"/>
      <c r="FM182" s="100"/>
      <c r="FN182" s="100"/>
      <c r="FO182" s="100"/>
      <c r="FP182" s="100"/>
      <c r="FQ182" s="100"/>
      <c r="FR182" s="100"/>
      <c r="FS182" s="100"/>
      <c r="FT182" s="100"/>
      <c r="FU182" s="100"/>
      <c r="FV182" s="100"/>
      <c r="FW182" s="100"/>
      <c r="FX182" s="100"/>
      <c r="FY182" s="100"/>
      <c r="FZ182" s="100"/>
      <c r="GA182" s="100"/>
      <c r="GB182" s="100"/>
      <c r="GC182" s="100"/>
      <c r="GD182" s="100"/>
      <c r="GE182" s="100"/>
      <c r="GF182" s="100"/>
    </row>
    <row r="183" spans="1:188" s="27" customFormat="1" x14ac:dyDescent="0.2">
      <c r="A183" s="38"/>
      <c r="B183" s="37"/>
      <c r="C183" s="36">
        <f t="shared" ref="C183:C203" si="18">E183*D$5</f>
        <v>0</v>
      </c>
      <c r="D183" s="20"/>
      <c r="E183" s="36">
        <f t="shared" si="17"/>
        <v>0</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00"/>
      <c r="EJ183" s="100"/>
      <c r="EK183" s="100"/>
      <c r="EL183" s="100"/>
      <c r="EM183" s="100"/>
      <c r="EN183" s="100"/>
      <c r="EO183" s="100"/>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c r="FL183" s="100"/>
      <c r="FM183" s="100"/>
      <c r="FN183" s="100"/>
      <c r="FO183" s="100"/>
      <c r="FP183" s="100"/>
      <c r="FQ183" s="100"/>
      <c r="FR183" s="100"/>
      <c r="FS183" s="100"/>
      <c r="FT183" s="100"/>
      <c r="FU183" s="100"/>
      <c r="FV183" s="100"/>
      <c r="FW183" s="100"/>
      <c r="FX183" s="100"/>
      <c r="FY183" s="100"/>
      <c r="FZ183" s="100"/>
      <c r="GA183" s="100"/>
      <c r="GB183" s="100"/>
      <c r="GC183" s="100"/>
      <c r="GD183" s="100"/>
      <c r="GE183" s="100"/>
      <c r="GF183" s="100"/>
    </row>
    <row r="184" spans="1:188" s="27" customFormat="1" x14ac:dyDescent="0.2">
      <c r="A184" s="38"/>
      <c r="B184" s="37"/>
      <c r="C184" s="36">
        <f t="shared" si="18"/>
        <v>0</v>
      </c>
      <c r="D184" s="20"/>
      <c r="E184" s="36">
        <f t="shared" si="17"/>
        <v>0</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00"/>
      <c r="EJ184" s="100"/>
      <c r="EK184" s="100"/>
      <c r="EL184" s="100"/>
      <c r="EM184" s="100"/>
      <c r="EN184" s="100"/>
      <c r="EO184" s="100"/>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c r="FL184" s="100"/>
      <c r="FM184" s="100"/>
      <c r="FN184" s="100"/>
      <c r="FO184" s="100"/>
      <c r="FP184" s="100"/>
      <c r="FQ184" s="100"/>
      <c r="FR184" s="100"/>
      <c r="FS184" s="100"/>
      <c r="FT184" s="100"/>
      <c r="FU184" s="100"/>
      <c r="FV184" s="100"/>
      <c r="FW184" s="100"/>
      <c r="FX184" s="100"/>
      <c r="FY184" s="100"/>
      <c r="FZ184" s="100"/>
      <c r="GA184" s="100"/>
      <c r="GB184" s="100"/>
      <c r="GC184" s="100"/>
      <c r="GD184" s="100"/>
      <c r="GE184" s="100"/>
      <c r="GF184" s="100"/>
    </row>
    <row r="185" spans="1:188" s="27" customFormat="1" x14ac:dyDescent="0.2">
      <c r="A185" s="38"/>
      <c r="B185" s="37"/>
      <c r="C185" s="36">
        <f t="shared" si="18"/>
        <v>0</v>
      </c>
      <c r="D185" s="20"/>
      <c r="E185" s="36">
        <f t="shared" si="17"/>
        <v>0</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00"/>
      <c r="EJ185" s="100"/>
      <c r="EK185" s="100"/>
      <c r="EL185" s="100"/>
      <c r="EM185" s="100"/>
      <c r="EN185" s="100"/>
      <c r="EO185" s="100"/>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c r="FL185" s="100"/>
      <c r="FM185" s="100"/>
      <c r="FN185" s="100"/>
      <c r="FO185" s="100"/>
      <c r="FP185" s="100"/>
      <c r="FQ185" s="100"/>
      <c r="FR185" s="100"/>
      <c r="FS185" s="100"/>
      <c r="FT185" s="100"/>
      <c r="FU185" s="100"/>
      <c r="FV185" s="100"/>
      <c r="FW185" s="100"/>
      <c r="FX185" s="100"/>
      <c r="FY185" s="100"/>
      <c r="FZ185" s="100"/>
      <c r="GA185" s="100"/>
      <c r="GB185" s="100"/>
      <c r="GC185" s="100"/>
      <c r="GD185" s="100"/>
      <c r="GE185" s="100"/>
      <c r="GF185" s="100"/>
    </row>
    <row r="186" spans="1:188" s="27" customFormat="1" x14ac:dyDescent="0.2">
      <c r="A186" s="38"/>
      <c r="B186" s="37"/>
      <c r="C186" s="36">
        <f t="shared" si="18"/>
        <v>0</v>
      </c>
      <c r="D186" s="20"/>
      <c r="E186" s="36">
        <f t="shared" si="17"/>
        <v>0</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00"/>
      <c r="EJ186" s="100"/>
      <c r="EK186" s="100"/>
      <c r="EL186" s="100"/>
      <c r="EM186" s="100"/>
      <c r="EN186" s="100"/>
      <c r="EO186" s="100"/>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c r="FL186" s="100"/>
      <c r="FM186" s="100"/>
      <c r="FN186" s="100"/>
      <c r="FO186" s="100"/>
      <c r="FP186" s="100"/>
      <c r="FQ186" s="100"/>
      <c r="FR186" s="100"/>
      <c r="FS186" s="100"/>
      <c r="FT186" s="100"/>
      <c r="FU186" s="100"/>
      <c r="FV186" s="100"/>
      <c r="FW186" s="100"/>
      <c r="FX186" s="100"/>
      <c r="FY186" s="100"/>
      <c r="FZ186" s="100"/>
      <c r="GA186" s="100"/>
      <c r="GB186" s="100"/>
      <c r="GC186" s="100"/>
      <c r="GD186" s="100"/>
      <c r="GE186" s="100"/>
      <c r="GF186" s="100"/>
    </row>
    <row r="187" spans="1:188" s="27" customFormat="1" x14ac:dyDescent="0.2">
      <c r="A187" s="38"/>
      <c r="B187" s="37"/>
      <c r="C187" s="36">
        <f t="shared" si="18"/>
        <v>0</v>
      </c>
      <c r="D187" s="20"/>
      <c r="E187" s="36">
        <f t="shared" si="17"/>
        <v>0</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00"/>
      <c r="EJ187" s="100"/>
      <c r="EK187" s="100"/>
      <c r="EL187" s="100"/>
      <c r="EM187" s="100"/>
      <c r="EN187" s="100"/>
      <c r="EO187" s="100"/>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c r="FL187" s="100"/>
      <c r="FM187" s="100"/>
      <c r="FN187" s="100"/>
      <c r="FO187" s="100"/>
      <c r="FP187" s="100"/>
      <c r="FQ187" s="100"/>
      <c r="FR187" s="100"/>
      <c r="FS187" s="100"/>
      <c r="FT187" s="100"/>
      <c r="FU187" s="100"/>
      <c r="FV187" s="100"/>
      <c r="FW187" s="100"/>
      <c r="FX187" s="100"/>
      <c r="FY187" s="100"/>
      <c r="FZ187" s="100"/>
      <c r="GA187" s="100"/>
      <c r="GB187" s="100"/>
      <c r="GC187" s="100"/>
      <c r="GD187" s="100"/>
      <c r="GE187" s="100"/>
      <c r="GF187" s="100"/>
    </row>
    <row r="188" spans="1:188" s="27" customFormat="1" x14ac:dyDescent="0.2">
      <c r="A188" s="38"/>
      <c r="B188" s="37"/>
      <c r="C188" s="36">
        <f t="shared" si="18"/>
        <v>0</v>
      </c>
      <c r="D188" s="20"/>
      <c r="E188" s="36">
        <f t="shared" si="17"/>
        <v>0</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00"/>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c r="GB188" s="100"/>
      <c r="GC188" s="100"/>
      <c r="GD188" s="100"/>
      <c r="GE188" s="100"/>
      <c r="GF188" s="100"/>
    </row>
    <row r="189" spans="1:188" s="27" customFormat="1" x14ac:dyDescent="0.2">
      <c r="A189" s="38"/>
      <c r="B189" s="37"/>
      <c r="C189" s="36">
        <f t="shared" si="18"/>
        <v>0</v>
      </c>
      <c r="D189" s="20"/>
      <c r="E189" s="36">
        <f t="shared" si="17"/>
        <v>0</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00"/>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c r="GB189" s="100"/>
      <c r="GC189" s="100"/>
      <c r="GD189" s="100"/>
      <c r="GE189" s="100"/>
      <c r="GF189" s="100"/>
    </row>
    <row r="190" spans="1:188" s="27" customFormat="1" x14ac:dyDescent="0.2">
      <c r="A190" s="38"/>
      <c r="B190" s="37"/>
      <c r="C190" s="36">
        <f t="shared" si="18"/>
        <v>0</v>
      </c>
      <c r="D190" s="20"/>
      <c r="E190" s="36">
        <f t="shared" si="17"/>
        <v>0</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00"/>
      <c r="EJ190" s="100"/>
      <c r="EK190" s="100"/>
      <c r="EL190" s="100"/>
      <c r="EM190" s="100"/>
      <c r="EN190" s="100"/>
      <c r="EO190" s="100"/>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c r="FL190" s="100"/>
      <c r="FM190" s="100"/>
      <c r="FN190" s="100"/>
      <c r="FO190" s="100"/>
      <c r="FP190" s="100"/>
      <c r="FQ190" s="100"/>
      <c r="FR190" s="100"/>
      <c r="FS190" s="100"/>
      <c r="FT190" s="100"/>
      <c r="FU190" s="100"/>
      <c r="FV190" s="100"/>
      <c r="FW190" s="100"/>
      <c r="FX190" s="100"/>
      <c r="FY190" s="100"/>
      <c r="FZ190" s="100"/>
      <c r="GA190" s="100"/>
      <c r="GB190" s="100"/>
      <c r="GC190" s="100"/>
      <c r="GD190" s="100"/>
      <c r="GE190" s="100"/>
      <c r="GF190" s="100"/>
    </row>
    <row r="191" spans="1:188" s="27" customFormat="1" x14ac:dyDescent="0.2">
      <c r="A191" s="38"/>
      <c r="B191" s="37"/>
      <c r="C191" s="36">
        <f t="shared" si="18"/>
        <v>0</v>
      </c>
      <c r="D191" s="20"/>
      <c r="E191" s="36">
        <f t="shared" si="17"/>
        <v>0</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00"/>
      <c r="EJ191" s="100"/>
      <c r="EK191" s="100"/>
      <c r="EL191" s="100"/>
      <c r="EM191" s="100"/>
      <c r="EN191" s="100"/>
      <c r="EO191" s="100"/>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c r="FL191" s="100"/>
      <c r="FM191" s="100"/>
      <c r="FN191" s="100"/>
      <c r="FO191" s="100"/>
      <c r="FP191" s="100"/>
      <c r="FQ191" s="100"/>
      <c r="FR191" s="100"/>
      <c r="FS191" s="100"/>
      <c r="FT191" s="100"/>
      <c r="FU191" s="100"/>
      <c r="FV191" s="100"/>
      <c r="FW191" s="100"/>
      <c r="FX191" s="100"/>
      <c r="FY191" s="100"/>
      <c r="FZ191" s="100"/>
      <c r="GA191" s="100"/>
      <c r="GB191" s="100"/>
      <c r="GC191" s="100"/>
      <c r="GD191" s="100"/>
      <c r="GE191" s="100"/>
      <c r="GF191" s="100"/>
    </row>
    <row r="192" spans="1:188" s="27" customFormat="1" x14ac:dyDescent="0.2">
      <c r="A192" s="38"/>
      <c r="B192" s="37"/>
      <c r="C192" s="36">
        <f t="shared" si="18"/>
        <v>0</v>
      </c>
      <c r="D192" s="20"/>
      <c r="E192" s="36">
        <f t="shared" si="17"/>
        <v>0</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00"/>
      <c r="EJ192" s="100"/>
      <c r="EK192" s="100"/>
      <c r="EL192" s="100"/>
      <c r="EM192" s="100"/>
      <c r="EN192" s="100"/>
      <c r="EO192" s="100"/>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c r="FL192" s="100"/>
      <c r="FM192" s="100"/>
      <c r="FN192" s="100"/>
      <c r="FO192" s="100"/>
      <c r="FP192" s="100"/>
      <c r="FQ192" s="100"/>
      <c r="FR192" s="100"/>
      <c r="FS192" s="100"/>
      <c r="FT192" s="100"/>
      <c r="FU192" s="100"/>
      <c r="FV192" s="100"/>
      <c r="FW192" s="100"/>
      <c r="FX192" s="100"/>
      <c r="FY192" s="100"/>
      <c r="FZ192" s="100"/>
      <c r="GA192" s="100"/>
      <c r="GB192" s="100"/>
      <c r="GC192" s="100"/>
      <c r="GD192" s="100"/>
      <c r="GE192" s="100"/>
      <c r="GF192" s="100"/>
    </row>
    <row r="193" spans="1:188" s="27" customFormat="1" x14ac:dyDescent="0.2">
      <c r="A193" s="38"/>
      <c r="B193" s="37"/>
      <c r="C193" s="36">
        <f t="shared" si="18"/>
        <v>0</v>
      </c>
      <c r="D193" s="20"/>
      <c r="E193" s="36">
        <f t="shared" si="17"/>
        <v>0</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00"/>
      <c r="EJ193" s="100"/>
      <c r="EK193" s="100"/>
      <c r="EL193" s="100"/>
      <c r="EM193" s="100"/>
      <c r="EN193" s="100"/>
      <c r="EO193" s="100"/>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c r="FL193" s="100"/>
      <c r="FM193" s="100"/>
      <c r="FN193" s="100"/>
      <c r="FO193" s="100"/>
      <c r="FP193" s="100"/>
      <c r="FQ193" s="100"/>
      <c r="FR193" s="100"/>
      <c r="FS193" s="100"/>
      <c r="FT193" s="100"/>
      <c r="FU193" s="100"/>
      <c r="FV193" s="100"/>
      <c r="FW193" s="100"/>
      <c r="FX193" s="100"/>
      <c r="FY193" s="100"/>
      <c r="FZ193" s="100"/>
      <c r="GA193" s="100"/>
      <c r="GB193" s="100"/>
      <c r="GC193" s="100"/>
      <c r="GD193" s="100"/>
      <c r="GE193" s="100"/>
      <c r="GF193" s="100"/>
    </row>
    <row r="194" spans="1:188" s="27" customFormat="1" x14ac:dyDescent="0.2">
      <c r="A194" s="38"/>
      <c r="B194" s="37"/>
      <c r="C194" s="36">
        <f t="shared" si="18"/>
        <v>0</v>
      </c>
      <c r="D194" s="20"/>
      <c r="E194" s="36">
        <f t="shared" si="17"/>
        <v>0</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00"/>
      <c r="EJ194" s="100"/>
      <c r="EK194" s="100"/>
      <c r="EL194" s="100"/>
      <c r="EM194" s="100"/>
      <c r="EN194" s="100"/>
      <c r="EO194" s="100"/>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c r="FL194" s="100"/>
      <c r="FM194" s="100"/>
      <c r="FN194" s="100"/>
      <c r="FO194" s="100"/>
      <c r="FP194" s="100"/>
      <c r="FQ194" s="100"/>
      <c r="FR194" s="100"/>
      <c r="FS194" s="100"/>
      <c r="FT194" s="100"/>
      <c r="FU194" s="100"/>
      <c r="FV194" s="100"/>
      <c r="FW194" s="100"/>
      <c r="FX194" s="100"/>
      <c r="FY194" s="100"/>
      <c r="FZ194" s="100"/>
      <c r="GA194" s="100"/>
      <c r="GB194" s="100"/>
      <c r="GC194" s="100"/>
      <c r="GD194" s="100"/>
      <c r="GE194" s="100"/>
      <c r="GF194" s="100"/>
    </row>
    <row r="195" spans="1:188" s="27" customFormat="1" x14ac:dyDescent="0.2">
      <c r="A195" s="38"/>
      <c r="B195" s="37"/>
      <c r="C195" s="36">
        <f t="shared" si="18"/>
        <v>0</v>
      </c>
      <c r="D195" s="20"/>
      <c r="E195" s="36">
        <f t="shared" si="17"/>
        <v>0</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2"/>
      <c r="AX195" s="102"/>
      <c r="AY195" s="102"/>
      <c r="AZ195" s="102"/>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00"/>
      <c r="EJ195" s="100"/>
      <c r="EK195" s="100"/>
      <c r="EL195" s="100"/>
      <c r="EM195" s="100"/>
      <c r="EN195" s="100"/>
      <c r="EO195" s="100"/>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c r="FL195" s="100"/>
      <c r="FM195" s="100"/>
      <c r="FN195" s="100"/>
      <c r="FO195" s="100"/>
      <c r="FP195" s="100"/>
      <c r="FQ195" s="100"/>
      <c r="FR195" s="100"/>
      <c r="FS195" s="100"/>
      <c r="FT195" s="100"/>
      <c r="FU195" s="100"/>
      <c r="FV195" s="100"/>
      <c r="FW195" s="100"/>
      <c r="FX195" s="100"/>
      <c r="FY195" s="100"/>
      <c r="FZ195" s="100"/>
      <c r="GA195" s="100"/>
      <c r="GB195" s="100"/>
      <c r="GC195" s="100"/>
      <c r="GD195" s="100"/>
      <c r="GE195" s="100"/>
      <c r="GF195" s="100"/>
    </row>
    <row r="196" spans="1:188" s="27" customFormat="1" x14ac:dyDescent="0.2">
      <c r="A196" s="38"/>
      <c r="B196" s="37"/>
      <c r="C196" s="36">
        <f t="shared" si="18"/>
        <v>0</v>
      </c>
      <c r="D196" s="20"/>
      <c r="E196" s="36">
        <f t="shared" si="17"/>
        <v>0</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95"/>
      <c r="AX196" s="95"/>
      <c r="AY196" s="95"/>
      <c r="AZ196" s="95"/>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00"/>
      <c r="EJ196" s="100"/>
      <c r="EK196" s="100"/>
      <c r="EL196" s="100"/>
      <c r="EM196" s="100"/>
      <c r="EN196" s="100"/>
      <c r="EO196" s="100"/>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c r="FL196" s="100"/>
      <c r="FM196" s="100"/>
      <c r="FN196" s="100"/>
      <c r="FO196" s="100"/>
      <c r="FP196" s="100"/>
      <c r="FQ196" s="100"/>
      <c r="FR196" s="100"/>
      <c r="FS196" s="100"/>
      <c r="FT196" s="100"/>
      <c r="FU196" s="100"/>
      <c r="FV196" s="100"/>
      <c r="FW196" s="100"/>
      <c r="FX196" s="100"/>
      <c r="FY196" s="100"/>
      <c r="FZ196" s="100"/>
      <c r="GA196" s="100"/>
      <c r="GB196" s="100"/>
      <c r="GC196" s="100"/>
      <c r="GD196" s="100"/>
      <c r="GE196" s="100"/>
      <c r="GF196" s="100"/>
    </row>
    <row r="197" spans="1:188" s="27" customFormat="1" x14ac:dyDescent="0.2">
      <c r="A197" s="38"/>
      <c r="B197" s="37"/>
      <c r="C197" s="36">
        <f t="shared" si="18"/>
        <v>0</v>
      </c>
      <c r="D197" s="20"/>
      <c r="E197" s="36">
        <f t="shared" si="17"/>
        <v>0</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95"/>
      <c r="AX197" s="95"/>
      <c r="AY197" s="95"/>
      <c r="AZ197" s="95"/>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00"/>
      <c r="EJ197" s="100"/>
      <c r="EK197" s="100"/>
      <c r="EL197" s="100"/>
      <c r="EM197" s="100"/>
      <c r="EN197" s="100"/>
      <c r="EO197" s="100"/>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c r="FL197" s="100"/>
      <c r="FM197" s="100"/>
      <c r="FN197" s="100"/>
      <c r="FO197" s="100"/>
      <c r="FP197" s="100"/>
      <c r="FQ197" s="100"/>
      <c r="FR197" s="100"/>
      <c r="FS197" s="100"/>
      <c r="FT197" s="100"/>
      <c r="FU197" s="100"/>
      <c r="FV197" s="100"/>
      <c r="FW197" s="100"/>
      <c r="FX197" s="100"/>
      <c r="FY197" s="100"/>
      <c r="FZ197" s="100"/>
      <c r="GA197" s="100"/>
      <c r="GB197" s="100"/>
      <c r="GC197" s="100"/>
      <c r="GD197" s="100"/>
      <c r="GE197" s="100"/>
      <c r="GF197" s="100"/>
    </row>
    <row r="198" spans="1:188" s="27" customFormat="1" x14ac:dyDescent="0.2">
      <c r="A198" s="38"/>
      <c r="B198" s="37"/>
      <c r="C198" s="36">
        <f t="shared" si="18"/>
        <v>0</v>
      </c>
      <c r="D198" s="20"/>
      <c r="E198" s="36">
        <f t="shared" si="17"/>
        <v>0</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95"/>
      <c r="AX198" s="95"/>
      <c r="AY198" s="95"/>
      <c r="AZ198" s="95"/>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00"/>
      <c r="EJ198" s="100"/>
      <c r="EK198" s="100"/>
      <c r="EL198" s="100"/>
      <c r="EM198" s="100"/>
      <c r="EN198" s="100"/>
      <c r="EO198" s="100"/>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c r="FL198" s="100"/>
      <c r="FM198" s="100"/>
      <c r="FN198" s="100"/>
      <c r="FO198" s="100"/>
      <c r="FP198" s="100"/>
      <c r="FQ198" s="100"/>
      <c r="FR198" s="100"/>
      <c r="FS198" s="100"/>
      <c r="FT198" s="100"/>
      <c r="FU198" s="100"/>
      <c r="FV198" s="100"/>
      <c r="FW198" s="100"/>
      <c r="FX198" s="100"/>
      <c r="FY198" s="100"/>
      <c r="FZ198" s="100"/>
      <c r="GA198" s="100"/>
      <c r="GB198" s="100"/>
      <c r="GC198" s="100"/>
      <c r="GD198" s="100"/>
      <c r="GE198" s="100"/>
      <c r="GF198" s="100"/>
    </row>
    <row r="199" spans="1:188" s="27" customFormat="1" x14ac:dyDescent="0.2">
      <c r="A199" s="38"/>
      <c r="B199" s="37"/>
      <c r="C199" s="36">
        <f t="shared" si="18"/>
        <v>0</v>
      </c>
      <c r="D199" s="20"/>
      <c r="E199" s="36">
        <f t="shared" si="17"/>
        <v>0</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95"/>
      <c r="AX199" s="95"/>
      <c r="AY199" s="95"/>
      <c r="AZ199" s="95"/>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00"/>
      <c r="EJ199" s="100"/>
      <c r="EK199" s="100"/>
      <c r="EL199" s="100"/>
      <c r="EM199" s="100"/>
      <c r="EN199" s="100"/>
      <c r="EO199" s="100"/>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c r="FL199" s="100"/>
      <c r="FM199" s="100"/>
      <c r="FN199" s="100"/>
      <c r="FO199" s="100"/>
      <c r="FP199" s="100"/>
      <c r="FQ199" s="100"/>
      <c r="FR199" s="100"/>
      <c r="FS199" s="100"/>
      <c r="FT199" s="100"/>
      <c r="FU199" s="100"/>
      <c r="FV199" s="100"/>
      <c r="FW199" s="100"/>
      <c r="FX199" s="100"/>
      <c r="FY199" s="100"/>
      <c r="FZ199" s="100"/>
      <c r="GA199" s="100"/>
      <c r="GB199" s="100"/>
      <c r="GC199" s="100"/>
      <c r="GD199" s="100"/>
      <c r="GE199" s="100"/>
      <c r="GF199" s="100"/>
    </row>
    <row r="200" spans="1:188" s="27" customFormat="1" x14ac:dyDescent="0.2">
      <c r="A200" s="38"/>
      <c r="B200" s="37"/>
      <c r="C200" s="36">
        <f t="shared" si="18"/>
        <v>0</v>
      </c>
      <c r="D200" s="20"/>
      <c r="E200" s="36">
        <f t="shared" si="17"/>
        <v>0</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95"/>
      <c r="AX200" s="95"/>
      <c r="AY200" s="95"/>
      <c r="AZ200" s="95"/>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00"/>
      <c r="EJ200" s="100"/>
      <c r="EK200" s="100"/>
      <c r="EL200" s="100"/>
      <c r="EM200" s="100"/>
      <c r="EN200" s="100"/>
      <c r="EO200" s="100"/>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c r="FL200" s="100"/>
      <c r="FM200" s="100"/>
      <c r="FN200" s="100"/>
      <c r="FO200" s="100"/>
      <c r="FP200" s="100"/>
      <c r="FQ200" s="100"/>
      <c r="FR200" s="100"/>
      <c r="FS200" s="100"/>
      <c r="FT200" s="100"/>
      <c r="FU200" s="100"/>
      <c r="FV200" s="100"/>
      <c r="FW200" s="100"/>
      <c r="FX200" s="100"/>
      <c r="FY200" s="100"/>
      <c r="FZ200" s="100"/>
      <c r="GA200" s="100"/>
      <c r="GB200" s="100"/>
      <c r="GC200" s="100"/>
      <c r="GD200" s="100"/>
      <c r="GE200" s="100"/>
      <c r="GF200" s="100"/>
    </row>
    <row r="201" spans="1:188" s="27" customFormat="1" x14ac:dyDescent="0.2">
      <c r="A201" s="38"/>
      <c r="B201" s="37"/>
      <c r="C201" s="36">
        <f t="shared" si="18"/>
        <v>0</v>
      </c>
      <c r="D201" s="20"/>
      <c r="E201" s="36">
        <f t="shared" si="17"/>
        <v>0</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2"/>
      <c r="AW201" s="95"/>
      <c r="AX201" s="95"/>
      <c r="AY201" s="95"/>
      <c r="AZ201" s="95"/>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00"/>
      <c r="EJ201" s="100"/>
      <c r="EK201" s="100"/>
      <c r="EL201" s="100"/>
      <c r="EM201" s="100"/>
      <c r="EN201" s="100"/>
      <c r="EO201" s="100"/>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c r="FL201" s="100"/>
      <c r="FM201" s="100"/>
      <c r="FN201" s="100"/>
      <c r="FO201" s="100"/>
      <c r="FP201" s="100"/>
      <c r="FQ201" s="100"/>
      <c r="FR201" s="100"/>
      <c r="FS201" s="100"/>
      <c r="FT201" s="100"/>
      <c r="FU201" s="100"/>
      <c r="FV201" s="100"/>
      <c r="FW201" s="100"/>
      <c r="FX201" s="100"/>
      <c r="FY201" s="100"/>
      <c r="FZ201" s="100"/>
      <c r="GA201" s="100"/>
      <c r="GB201" s="100"/>
      <c r="GC201" s="100"/>
      <c r="GD201" s="100"/>
      <c r="GE201" s="100"/>
      <c r="GF201" s="100"/>
    </row>
    <row r="202" spans="1:188" s="27" customFormat="1" x14ac:dyDescent="0.2">
      <c r="A202" s="38"/>
      <c r="B202" s="37"/>
      <c r="C202" s="36">
        <f t="shared" si="18"/>
        <v>0</v>
      </c>
      <c r="D202" s="20"/>
      <c r="E202" s="36">
        <f t="shared" ref="E202:E204" si="19">SUM(G202:HT202)</f>
        <v>0</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95"/>
      <c r="AW202" s="95"/>
      <c r="AX202" s="95"/>
      <c r="AY202" s="95"/>
      <c r="AZ202" s="95"/>
      <c r="BA202" s="100"/>
      <c r="BB202" s="100"/>
      <c r="BC202" s="100"/>
      <c r="BD202" s="102"/>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00"/>
      <c r="EJ202" s="100"/>
      <c r="EK202" s="100"/>
      <c r="EL202" s="100"/>
      <c r="EM202" s="100"/>
      <c r="EN202" s="100"/>
      <c r="EO202" s="100"/>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c r="FL202" s="100"/>
      <c r="FM202" s="100"/>
      <c r="FN202" s="100"/>
      <c r="FO202" s="100"/>
      <c r="FP202" s="100"/>
      <c r="FQ202" s="100"/>
      <c r="FR202" s="100"/>
      <c r="FS202" s="100"/>
      <c r="FT202" s="100"/>
      <c r="FU202" s="100"/>
      <c r="FV202" s="100"/>
      <c r="FW202" s="100"/>
      <c r="FX202" s="100"/>
      <c r="FY202" s="100"/>
      <c r="FZ202" s="100"/>
      <c r="GA202" s="100"/>
      <c r="GB202" s="100"/>
      <c r="GC202" s="100"/>
      <c r="GD202" s="100"/>
      <c r="GE202" s="100"/>
      <c r="GF202" s="100"/>
    </row>
    <row r="203" spans="1:188" s="27" customFormat="1" x14ac:dyDescent="0.2">
      <c r="A203" s="38"/>
      <c r="B203" s="37"/>
      <c r="C203" s="36">
        <f t="shared" si="18"/>
        <v>0</v>
      </c>
      <c r="D203" s="20"/>
      <c r="E203" s="36">
        <f t="shared" si="19"/>
        <v>0</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95"/>
      <c r="AW203" s="95"/>
      <c r="AX203" s="95"/>
      <c r="AY203" s="95"/>
      <c r="AZ203" s="95"/>
      <c r="BA203" s="100"/>
      <c r="BB203" s="100"/>
      <c r="BC203" s="100"/>
      <c r="BD203" s="95"/>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00"/>
      <c r="EJ203" s="100"/>
      <c r="EK203" s="100"/>
      <c r="EL203" s="100"/>
      <c r="EM203" s="100"/>
      <c r="EN203" s="100"/>
      <c r="EO203" s="100"/>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c r="FL203" s="100"/>
      <c r="FM203" s="100"/>
      <c r="FN203" s="100"/>
      <c r="FO203" s="100"/>
      <c r="FP203" s="100"/>
      <c r="FQ203" s="100"/>
      <c r="FR203" s="100"/>
      <c r="FS203" s="100"/>
      <c r="FT203" s="100"/>
      <c r="FU203" s="100"/>
      <c r="FV203" s="100"/>
      <c r="FW203" s="100"/>
      <c r="FX203" s="100"/>
      <c r="FY203" s="100"/>
      <c r="FZ203" s="100"/>
      <c r="GA203" s="100"/>
      <c r="GB203" s="100"/>
      <c r="GC203" s="100"/>
      <c r="GD203" s="100"/>
      <c r="GE203" s="100"/>
      <c r="GF203" s="100"/>
    </row>
    <row r="204" spans="1:188" s="27" customFormat="1" x14ac:dyDescent="0.2">
      <c r="A204" s="38"/>
      <c r="B204" s="37"/>
      <c r="C204" s="36">
        <f t="shared" ref="C204" si="20">E204*D$5</f>
        <v>0</v>
      </c>
      <c r="D204" s="20"/>
      <c r="E204" s="36">
        <f t="shared" si="19"/>
        <v>0</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95"/>
      <c r="AW204" s="95"/>
      <c r="AX204" s="95"/>
      <c r="AY204" s="95"/>
      <c r="AZ204" s="95"/>
      <c r="BA204" s="100"/>
      <c r="BB204" s="100"/>
      <c r="BC204" s="100"/>
      <c r="BD204" s="95"/>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00"/>
      <c r="EJ204" s="100"/>
      <c r="EK204" s="100"/>
      <c r="EL204" s="100"/>
      <c r="EM204" s="100"/>
      <c r="EN204" s="100"/>
      <c r="EO204" s="100"/>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c r="FL204" s="100"/>
      <c r="FM204" s="100"/>
      <c r="FN204" s="100"/>
      <c r="FO204" s="100"/>
      <c r="FP204" s="100"/>
      <c r="FQ204" s="100"/>
      <c r="FR204" s="100"/>
      <c r="FS204" s="100"/>
      <c r="FT204" s="100"/>
      <c r="FU204" s="100"/>
      <c r="FV204" s="100"/>
      <c r="FW204" s="100"/>
      <c r="FX204" s="100"/>
      <c r="FY204" s="100"/>
      <c r="FZ204" s="100"/>
      <c r="GA204" s="100"/>
      <c r="GB204" s="100"/>
      <c r="GC204" s="100"/>
      <c r="GD204" s="100"/>
      <c r="GE204" s="100"/>
      <c r="GF204" s="100"/>
    </row>
    <row r="205" spans="1:188" s="27" customFormat="1" x14ac:dyDescent="0.2">
      <c r="A205" s="38"/>
      <c r="B205" s="37"/>
      <c r="C205" s="36">
        <f>E205*D$5</f>
        <v>0</v>
      </c>
      <c r="D205" s="20"/>
      <c r="E205" s="36">
        <f>SUM(G205:HT205)</f>
        <v>0</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2"/>
      <c r="AT205" s="100"/>
      <c r="AU205" s="100"/>
      <c r="AV205" s="95"/>
      <c r="AW205" s="95"/>
      <c r="AX205" s="95"/>
      <c r="AY205" s="95"/>
      <c r="AZ205" s="95"/>
      <c r="BA205" s="100"/>
      <c r="BB205" s="100"/>
      <c r="BC205" s="100"/>
      <c r="BD205" s="95"/>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00"/>
      <c r="EJ205" s="100"/>
      <c r="EK205" s="100"/>
      <c r="EL205" s="100"/>
      <c r="EM205" s="100"/>
      <c r="EN205" s="100"/>
      <c r="EO205" s="100"/>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c r="FL205" s="100"/>
      <c r="FM205" s="100"/>
      <c r="FN205" s="100"/>
      <c r="FO205" s="100"/>
      <c r="FP205" s="100"/>
      <c r="FQ205" s="100"/>
      <c r="FR205" s="100"/>
      <c r="FS205" s="100"/>
      <c r="FT205" s="100"/>
      <c r="FU205" s="100"/>
      <c r="FV205" s="100"/>
      <c r="FW205" s="100"/>
      <c r="FX205" s="100"/>
      <c r="FY205" s="100"/>
      <c r="FZ205" s="100"/>
      <c r="GA205" s="100"/>
      <c r="GB205" s="100"/>
      <c r="GC205" s="100"/>
      <c r="GD205" s="100"/>
      <c r="GE205" s="100"/>
      <c r="GF205" s="100"/>
    </row>
    <row r="206" spans="1:188" s="29" customFormat="1" x14ac:dyDescent="0.2">
      <c r="A206" s="34"/>
      <c r="B206" s="33"/>
      <c r="C206" s="32"/>
      <c r="D206" s="31"/>
      <c r="E206" s="30"/>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95"/>
      <c r="AT206" s="102"/>
      <c r="AU206" s="102"/>
      <c r="AV206" s="95"/>
      <c r="AW206" s="95"/>
      <c r="AX206" s="95"/>
      <c r="AY206" s="95"/>
      <c r="AZ206" s="95"/>
      <c r="BA206" s="102"/>
      <c r="BB206" s="102"/>
      <c r="BC206" s="102"/>
      <c r="BD206" s="95"/>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2"/>
      <c r="DV206" s="102"/>
      <c r="DW206" s="102"/>
      <c r="DX206" s="102"/>
      <c r="DY206" s="102"/>
      <c r="DZ206" s="102"/>
      <c r="EA206" s="102"/>
      <c r="EB206" s="102"/>
      <c r="EC206" s="102"/>
      <c r="ED206" s="102"/>
      <c r="EE206" s="102"/>
      <c r="EF206" s="102"/>
      <c r="EG206" s="102"/>
      <c r="EH206" s="102"/>
      <c r="EI206" s="102"/>
      <c r="EJ206" s="102"/>
      <c r="EK206" s="102"/>
      <c r="EL206" s="102"/>
      <c r="EM206" s="102"/>
      <c r="EN206" s="102"/>
      <c r="EO206" s="102"/>
      <c r="EP206" s="102"/>
      <c r="EQ206" s="102"/>
      <c r="ER206" s="102"/>
      <c r="ES206" s="102"/>
      <c r="ET206" s="102"/>
      <c r="EU206" s="102"/>
      <c r="EV206" s="102"/>
      <c r="EW206" s="102"/>
      <c r="EX206" s="102"/>
      <c r="EY206" s="102"/>
      <c r="EZ206" s="102"/>
      <c r="FA206" s="102"/>
      <c r="FB206" s="102"/>
      <c r="FC206" s="102"/>
      <c r="FD206" s="102"/>
      <c r="FE206" s="102"/>
      <c r="FF206" s="102"/>
      <c r="FG206" s="102"/>
      <c r="FH206" s="102"/>
      <c r="FI206" s="102"/>
      <c r="FJ206" s="102"/>
      <c r="FK206" s="102"/>
      <c r="FL206" s="102"/>
      <c r="FM206" s="102"/>
      <c r="FN206" s="102"/>
      <c r="FO206" s="102"/>
      <c r="FP206" s="102"/>
      <c r="FQ206" s="102"/>
      <c r="FR206" s="102"/>
      <c r="FS206" s="102"/>
      <c r="FT206" s="102"/>
      <c r="FU206" s="102"/>
      <c r="FV206" s="102"/>
      <c r="FW206" s="102"/>
      <c r="FX206" s="102"/>
      <c r="FY206" s="102"/>
      <c r="FZ206" s="102"/>
      <c r="GA206" s="102"/>
      <c r="GB206" s="102"/>
      <c r="GC206" s="102"/>
      <c r="GD206" s="102"/>
      <c r="GE206" s="102"/>
      <c r="GF206" s="102"/>
    </row>
    <row r="207" spans="1:188" s="26" customFormat="1" x14ac:dyDescent="0.2">
      <c r="A207" s="25"/>
      <c r="B207" s="24"/>
      <c r="C207" s="23"/>
      <c r="D207" s="22"/>
      <c r="E207" s="21"/>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5"/>
      <c r="AS207" s="95"/>
      <c r="AT207" s="95"/>
      <c r="AU207" s="95"/>
      <c r="AV207" s="95"/>
      <c r="AW207" s="95"/>
      <c r="AX207" s="95"/>
      <c r="AY207" s="95"/>
      <c r="AZ207" s="95"/>
      <c r="BA207" s="95"/>
      <c r="BB207" s="95"/>
      <c r="BC207" s="95"/>
      <c r="BD207" s="95"/>
      <c r="BE207" s="95"/>
      <c r="BF207" s="95"/>
      <c r="BG207" s="95"/>
      <c r="BH207" s="95"/>
      <c r="BI207" s="95"/>
      <c r="BJ207" s="95"/>
      <c r="BK207" s="95"/>
      <c r="BL207" s="95"/>
      <c r="BM207" s="95"/>
      <c r="BN207" s="95"/>
      <c r="BO207" s="95"/>
      <c r="BP207" s="95"/>
      <c r="BQ207" s="95"/>
      <c r="BR207" s="95"/>
      <c r="BS207" s="95"/>
      <c r="BT207" s="95"/>
      <c r="BU207" s="95"/>
      <c r="BV207" s="95"/>
      <c r="BW207" s="95"/>
      <c r="BX207" s="95"/>
      <c r="BY207" s="95"/>
      <c r="BZ207" s="95"/>
      <c r="CA207" s="95"/>
      <c r="CB207" s="95"/>
      <c r="CC207" s="95"/>
      <c r="CD207" s="95"/>
      <c r="CE207" s="95"/>
      <c r="CF207" s="95"/>
      <c r="CG207" s="95"/>
      <c r="CH207" s="95"/>
      <c r="CI207" s="95"/>
      <c r="CJ207" s="95"/>
      <c r="CK207" s="95"/>
      <c r="CL207" s="95"/>
      <c r="CM207" s="95"/>
      <c r="CN207" s="95"/>
      <c r="CO207" s="95"/>
      <c r="CP207" s="95"/>
      <c r="CQ207" s="95"/>
      <c r="CR207" s="95"/>
      <c r="CS207" s="95"/>
      <c r="CT207" s="95"/>
      <c r="CU207" s="95"/>
      <c r="CV207" s="95"/>
      <c r="CW207" s="95"/>
      <c r="CX207" s="95"/>
      <c r="CY207" s="95"/>
      <c r="CZ207" s="95"/>
      <c r="DA207" s="95"/>
      <c r="DB207" s="95"/>
      <c r="DC207" s="95"/>
      <c r="DD207" s="95"/>
      <c r="DE207" s="95"/>
      <c r="DF207" s="95"/>
      <c r="DG207" s="95"/>
      <c r="DH207" s="95"/>
      <c r="DI207" s="95"/>
      <c r="DJ207" s="95"/>
      <c r="DK207" s="95"/>
      <c r="DL207" s="95"/>
      <c r="DM207" s="95"/>
      <c r="DN207" s="95"/>
      <c r="DO207" s="95"/>
      <c r="DP207" s="95"/>
      <c r="DQ207" s="95"/>
      <c r="DR207" s="95"/>
      <c r="DS207" s="95"/>
      <c r="DT207" s="95"/>
      <c r="DU207" s="95"/>
      <c r="DV207" s="95"/>
      <c r="DW207" s="95"/>
      <c r="DX207" s="95"/>
      <c r="DY207" s="95"/>
      <c r="DZ207" s="95"/>
      <c r="EA207" s="95"/>
      <c r="EB207" s="95"/>
      <c r="EC207" s="95"/>
      <c r="ED207" s="95"/>
      <c r="EE207" s="95"/>
      <c r="EF207" s="95"/>
      <c r="EG207" s="95"/>
      <c r="EH207" s="95"/>
      <c r="EI207" s="95"/>
      <c r="EJ207" s="95"/>
      <c r="EK207" s="95"/>
      <c r="EL207" s="95"/>
      <c r="EM207" s="95"/>
      <c r="EN207" s="95"/>
      <c r="EO207" s="95"/>
      <c r="EP207" s="95"/>
      <c r="EQ207" s="95"/>
      <c r="ER207" s="95"/>
      <c r="ES207" s="95"/>
      <c r="ET207" s="95"/>
      <c r="EU207" s="95"/>
      <c r="EV207" s="95"/>
      <c r="EW207" s="95"/>
      <c r="EX207" s="95"/>
      <c r="EY207" s="95"/>
      <c r="EZ207" s="95"/>
      <c r="FA207" s="95"/>
      <c r="FB207" s="95"/>
      <c r="FC207" s="95"/>
      <c r="FD207" s="95"/>
      <c r="FE207" s="95"/>
      <c r="FF207" s="95"/>
      <c r="FG207" s="95"/>
      <c r="FH207" s="95"/>
      <c r="FI207" s="95"/>
      <c r="FJ207" s="95"/>
      <c r="FK207" s="95"/>
      <c r="FL207" s="95"/>
      <c r="FM207" s="95"/>
      <c r="FN207" s="95"/>
      <c r="FO207" s="95"/>
      <c r="FP207" s="95"/>
      <c r="FQ207" s="95"/>
      <c r="FR207" s="95"/>
      <c r="FS207" s="95"/>
      <c r="FT207" s="95"/>
      <c r="FU207" s="95"/>
      <c r="FV207" s="95"/>
      <c r="FW207" s="95"/>
      <c r="FX207" s="95"/>
      <c r="FY207" s="95"/>
      <c r="FZ207" s="95"/>
      <c r="GA207" s="95"/>
      <c r="GB207" s="95"/>
      <c r="GC207" s="95"/>
      <c r="GD207" s="95"/>
      <c r="GE207" s="95"/>
      <c r="GF207" s="95"/>
    </row>
    <row r="208" spans="1:188" x14ac:dyDescent="0.2">
      <c r="A208" s="25"/>
      <c r="B208" s="24"/>
      <c r="C208" s="23"/>
      <c r="D208" s="22"/>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3281-E020-4BA4-BE81-1BF839AEED94}">
  <dimension ref="A1:GE209"/>
  <sheetViews>
    <sheetView zoomScaleNormal="120" workbookViewId="0">
      <pane xSplit="6" topLeftCell="G1" activePane="topRight" state="frozen"/>
      <selection pane="topRight" activeCell="K18" sqref="K18"/>
    </sheetView>
  </sheetViews>
  <sheetFormatPr defaultColWidth="14.42578125" defaultRowHeight="12.75" x14ac:dyDescent="0.2"/>
  <cols>
    <col min="1" max="1" width="19.85546875" style="19" bestFit="1" customWidth="1"/>
    <col min="2" max="2" width="7.7109375" style="18" bestFit="1" customWidth="1"/>
    <col min="3" max="3" width="12.5703125" style="17" bestFit="1" customWidth="1"/>
    <col min="4" max="4" width="49.7109375" style="16" bestFit="1" customWidth="1"/>
    <col min="5" max="5" width="12.5703125" style="15" bestFit="1" customWidth="1"/>
    <col min="6" max="6" width="6.85546875" style="13" customWidth="1"/>
    <col min="7" max="7" width="13" style="13" customWidth="1"/>
    <col min="8" max="16" width="13" style="81" customWidth="1"/>
    <col min="17" max="17" width="13" style="95" customWidth="1"/>
    <col min="18" max="25" width="13" style="81" customWidth="1"/>
    <col min="26" max="32" width="13" style="95" customWidth="1"/>
    <col min="33" max="33" width="13" style="81" customWidth="1"/>
    <col min="34" max="34" width="13" style="95" customWidth="1"/>
    <col min="35" max="35" width="13" style="81" customWidth="1"/>
    <col min="36" max="36" width="13" style="95" customWidth="1"/>
    <col min="37" max="156" width="13" style="81" customWidth="1"/>
    <col min="157"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95" t="s">
        <v>116</v>
      </c>
      <c r="I1" s="95" t="s">
        <v>8622</v>
      </c>
      <c r="J1" s="95" t="s">
        <v>8622</v>
      </c>
      <c r="K1" s="95" t="s">
        <v>8622</v>
      </c>
      <c r="L1" s="95" t="s">
        <v>107</v>
      </c>
      <c r="M1" s="95" t="s">
        <v>64</v>
      </c>
      <c r="N1" s="95" t="s">
        <v>64</v>
      </c>
      <c r="O1" s="95" t="s">
        <v>64</v>
      </c>
      <c r="P1" s="95" t="s">
        <v>64</v>
      </c>
      <c r="Q1" s="95" t="s">
        <v>64</v>
      </c>
      <c r="R1" s="95" t="s">
        <v>64</v>
      </c>
      <c r="S1" s="95" t="s">
        <v>64</v>
      </c>
      <c r="T1" s="95" t="s">
        <v>64</v>
      </c>
      <c r="U1" s="95" t="s">
        <v>64</v>
      </c>
      <c r="V1" s="95" t="s">
        <v>2763</v>
      </c>
      <c r="W1" s="95" t="s">
        <v>64</v>
      </c>
      <c r="X1" s="95" t="s">
        <v>64</v>
      </c>
      <c r="Y1" s="95" t="s">
        <v>64</v>
      </c>
      <c r="Z1" s="95" t="s">
        <v>2763</v>
      </c>
      <c r="AA1" s="95" t="s">
        <v>64</v>
      </c>
      <c r="AB1" s="95" t="s">
        <v>64</v>
      </c>
      <c r="AC1" s="95" t="s">
        <v>64</v>
      </c>
      <c r="AD1" s="95" t="s">
        <v>64</v>
      </c>
      <c r="AE1" s="95" t="s">
        <v>64</v>
      </c>
      <c r="AF1" s="95" t="s">
        <v>64</v>
      </c>
      <c r="AG1" s="95" t="s">
        <v>64</v>
      </c>
      <c r="AH1" s="95" t="s">
        <v>64</v>
      </c>
      <c r="AI1" s="95" t="s">
        <v>64</v>
      </c>
      <c r="AJ1" s="116" t="s">
        <v>64</v>
      </c>
      <c r="AK1" s="81" t="s">
        <v>64</v>
      </c>
      <c r="AL1" s="81" t="s">
        <v>64</v>
      </c>
      <c r="AM1" s="81" t="s">
        <v>64</v>
      </c>
      <c r="AN1" s="81" t="s">
        <v>64</v>
      </c>
      <c r="AO1" s="81" t="s">
        <v>64</v>
      </c>
      <c r="AP1" s="81" t="s">
        <v>64</v>
      </c>
      <c r="AQ1" s="81" t="s">
        <v>64</v>
      </c>
      <c r="AR1" s="81" t="s">
        <v>64</v>
      </c>
      <c r="AS1" s="81" t="s">
        <v>64</v>
      </c>
      <c r="AT1" s="81" t="s">
        <v>64</v>
      </c>
      <c r="AU1" s="81" t="s">
        <v>64</v>
      </c>
      <c r="AV1" s="81" t="s">
        <v>64</v>
      </c>
      <c r="AW1" s="81" t="s">
        <v>64</v>
      </c>
      <c r="AX1" s="81" t="s">
        <v>64</v>
      </c>
      <c r="AY1" s="81" t="s">
        <v>64</v>
      </c>
      <c r="AZ1" s="81" t="s">
        <v>64</v>
      </c>
      <c r="BA1" s="81" t="s">
        <v>64</v>
      </c>
      <c r="BB1" s="81" t="s">
        <v>64</v>
      </c>
      <c r="BC1" s="81" t="s">
        <v>64</v>
      </c>
      <c r="BD1" s="81" t="s">
        <v>64</v>
      </c>
      <c r="BE1" s="81" t="s">
        <v>64</v>
      </c>
      <c r="BF1" s="81" t="s">
        <v>64</v>
      </c>
      <c r="BG1" s="81" t="s">
        <v>64</v>
      </c>
      <c r="BH1" s="81" t="s">
        <v>64</v>
      </c>
      <c r="BI1" s="81" t="s">
        <v>64</v>
      </c>
      <c r="BJ1" s="81" t="s">
        <v>64</v>
      </c>
      <c r="BK1" s="81" t="s">
        <v>64</v>
      </c>
      <c r="BL1" s="81" t="s">
        <v>8623</v>
      </c>
      <c r="BM1" s="81" t="s">
        <v>64</v>
      </c>
      <c r="BN1" s="81" t="s">
        <v>64</v>
      </c>
      <c r="BO1" s="81" t="s">
        <v>64</v>
      </c>
      <c r="BP1" s="81" t="s">
        <v>64</v>
      </c>
      <c r="BQ1" s="81" t="s">
        <v>64</v>
      </c>
      <c r="BR1" s="81" t="s">
        <v>64</v>
      </c>
      <c r="BS1" s="81" t="s">
        <v>64</v>
      </c>
      <c r="BT1" s="81" t="s">
        <v>64</v>
      </c>
      <c r="BU1" s="81" t="s">
        <v>64</v>
      </c>
      <c r="BV1" s="81" t="s">
        <v>64</v>
      </c>
      <c r="BW1" s="81" t="s">
        <v>64</v>
      </c>
      <c r="BX1" s="81" t="s">
        <v>8623</v>
      </c>
      <c r="BY1" s="81" t="s">
        <v>64</v>
      </c>
      <c r="BZ1" s="81" t="s">
        <v>64</v>
      </c>
      <c r="CA1" s="81" t="s">
        <v>64</v>
      </c>
      <c r="CB1" s="81" t="s">
        <v>112</v>
      </c>
      <c r="CC1" s="81" t="s">
        <v>64</v>
      </c>
      <c r="CD1" s="81" t="s">
        <v>64</v>
      </c>
      <c r="CE1" s="81" t="s">
        <v>64</v>
      </c>
      <c r="CF1" s="81" t="s">
        <v>64</v>
      </c>
      <c r="CG1" s="81" t="s">
        <v>64</v>
      </c>
      <c r="CH1" s="81" t="s">
        <v>64</v>
      </c>
      <c r="CI1" s="81" t="s">
        <v>64</v>
      </c>
      <c r="CJ1" s="81" t="s">
        <v>64</v>
      </c>
      <c r="CK1" s="81" t="s">
        <v>64</v>
      </c>
      <c r="CL1" s="81" t="s">
        <v>64</v>
      </c>
      <c r="CM1" s="81" t="s">
        <v>8623</v>
      </c>
      <c r="CN1" s="81" t="s">
        <v>112</v>
      </c>
      <c r="CO1" s="81" t="s">
        <v>112</v>
      </c>
      <c r="CP1" s="81" t="s">
        <v>112</v>
      </c>
      <c r="CQ1" s="81" t="s">
        <v>112</v>
      </c>
      <c r="CR1" s="81" t="s">
        <v>64</v>
      </c>
      <c r="CS1" s="81" t="s">
        <v>64</v>
      </c>
      <c r="CT1" s="81" t="s">
        <v>112</v>
      </c>
      <c r="CU1" s="81" t="s">
        <v>64</v>
      </c>
      <c r="CV1" s="81" t="s">
        <v>64</v>
      </c>
      <c r="CW1" s="81" t="s">
        <v>64</v>
      </c>
      <c r="CX1" s="81" t="s">
        <v>64</v>
      </c>
      <c r="CY1" s="81" t="s">
        <v>64</v>
      </c>
      <c r="CZ1" s="81" t="s">
        <v>64</v>
      </c>
      <c r="DA1" s="81" t="s">
        <v>112</v>
      </c>
      <c r="DB1" s="81" t="s">
        <v>112</v>
      </c>
      <c r="DC1" s="81" t="s">
        <v>64</v>
      </c>
      <c r="DD1" s="81" t="s">
        <v>64</v>
      </c>
      <c r="DE1" s="81" t="s">
        <v>64</v>
      </c>
      <c r="DF1" s="81" t="s">
        <v>64</v>
      </c>
      <c r="DG1" s="81" t="s">
        <v>112</v>
      </c>
      <c r="DH1" s="81" t="s">
        <v>64</v>
      </c>
      <c r="DI1" s="81" t="s">
        <v>2764</v>
      </c>
      <c r="DJ1" s="81" t="s">
        <v>64</v>
      </c>
      <c r="DK1" s="81" t="s">
        <v>64</v>
      </c>
      <c r="DL1" s="81" t="s">
        <v>64</v>
      </c>
      <c r="DM1" s="81" t="s">
        <v>64</v>
      </c>
      <c r="DN1" s="81" t="s">
        <v>64</v>
      </c>
      <c r="DO1" s="81" t="s">
        <v>64</v>
      </c>
      <c r="DP1" s="81" t="s">
        <v>64</v>
      </c>
      <c r="DQ1" s="81" t="s">
        <v>64</v>
      </c>
      <c r="DR1" s="81" t="s">
        <v>64</v>
      </c>
      <c r="DS1" s="81" t="s">
        <v>64</v>
      </c>
      <c r="DT1" s="81" t="s">
        <v>8623</v>
      </c>
      <c r="DU1" s="81" t="s">
        <v>64</v>
      </c>
      <c r="DV1" s="81" t="s">
        <v>64</v>
      </c>
      <c r="DW1" s="81" t="s">
        <v>112</v>
      </c>
      <c r="DX1" s="81" t="s">
        <v>64</v>
      </c>
      <c r="DY1" s="81" t="s">
        <v>64</v>
      </c>
      <c r="DZ1" s="81" t="s">
        <v>64</v>
      </c>
      <c r="EA1" s="81" t="s">
        <v>64</v>
      </c>
      <c r="EB1" s="81" t="s">
        <v>8622</v>
      </c>
      <c r="EC1" s="81" t="s">
        <v>64</v>
      </c>
      <c r="ED1" s="81" t="s">
        <v>64</v>
      </c>
      <c r="EE1" s="81" t="s">
        <v>64</v>
      </c>
      <c r="EF1" s="81" t="s">
        <v>64</v>
      </c>
      <c r="EG1" s="81" t="s">
        <v>64</v>
      </c>
      <c r="EH1" s="81" t="s">
        <v>64</v>
      </c>
      <c r="EI1" s="81" t="s">
        <v>64</v>
      </c>
      <c r="EJ1" s="81" t="s">
        <v>8623</v>
      </c>
      <c r="EK1" s="81" t="s">
        <v>64</v>
      </c>
      <c r="EL1" s="81" t="s">
        <v>64</v>
      </c>
      <c r="EM1" s="81" t="s">
        <v>64</v>
      </c>
      <c r="EN1" s="81" t="s">
        <v>64</v>
      </c>
      <c r="EO1" s="81" t="s">
        <v>8623</v>
      </c>
      <c r="EP1" s="81" t="s">
        <v>112</v>
      </c>
      <c r="EQ1" s="81" t="s">
        <v>112</v>
      </c>
      <c r="ER1" s="81" t="s">
        <v>64</v>
      </c>
      <c r="ES1" s="81" t="s">
        <v>64</v>
      </c>
      <c r="ET1" s="81" t="s">
        <v>112</v>
      </c>
      <c r="EU1" s="81" t="s">
        <v>64</v>
      </c>
      <c r="EV1" s="81" t="s">
        <v>64</v>
      </c>
      <c r="EW1" s="81" t="s">
        <v>64</v>
      </c>
      <c r="EX1" s="81" t="s">
        <v>64</v>
      </c>
      <c r="EY1" s="81" t="s">
        <v>64</v>
      </c>
      <c r="EZ1" s="81" t="s">
        <v>8623</v>
      </c>
    </row>
    <row r="2" spans="1:183" s="62" customFormat="1" ht="12.75" customHeight="1" thickTop="1" x14ac:dyDescent="0.25">
      <c r="A2" s="552" t="s">
        <v>127</v>
      </c>
      <c r="B2" s="555" t="s">
        <v>21</v>
      </c>
      <c r="C2" s="556"/>
      <c r="D2" s="557" t="s">
        <v>2714</v>
      </c>
      <c r="E2" s="560" t="s">
        <v>22</v>
      </c>
      <c r="F2" s="561"/>
      <c r="G2" s="63"/>
      <c r="H2" s="96" t="s">
        <v>418</v>
      </c>
      <c r="I2" s="96" t="s">
        <v>423</v>
      </c>
      <c r="J2" s="96" t="s">
        <v>448</v>
      </c>
      <c r="K2" s="96" t="s">
        <v>481</v>
      </c>
      <c r="L2" s="96" t="s">
        <v>596</v>
      </c>
      <c r="M2" s="96" t="s">
        <v>718</v>
      </c>
      <c r="N2" s="96" t="s">
        <v>724</v>
      </c>
      <c r="O2" s="96" t="s">
        <v>727</v>
      </c>
      <c r="P2" s="96" t="s">
        <v>729</v>
      </c>
      <c r="Q2" s="96" t="s">
        <v>732</v>
      </c>
      <c r="R2" s="96" t="s">
        <v>734</v>
      </c>
      <c r="S2" s="96" t="s">
        <v>737</v>
      </c>
      <c r="T2" s="96" t="s">
        <v>740</v>
      </c>
      <c r="U2" s="96" t="s">
        <v>761</v>
      </c>
      <c r="V2" s="96" t="s">
        <v>779</v>
      </c>
      <c r="W2" s="96" t="s">
        <v>833</v>
      </c>
      <c r="X2" s="96" t="s">
        <v>836</v>
      </c>
      <c r="Y2" s="96" t="s">
        <v>828</v>
      </c>
      <c r="Z2" s="96" t="s">
        <v>852</v>
      </c>
      <c r="AA2" s="96" t="s">
        <v>847</v>
      </c>
      <c r="AB2" s="96" t="s">
        <v>839</v>
      </c>
      <c r="AC2" s="96" t="s">
        <v>861</v>
      </c>
      <c r="AD2" s="96" t="s">
        <v>864</v>
      </c>
      <c r="AE2" s="96" t="s">
        <v>867</v>
      </c>
      <c r="AF2" s="96" t="s">
        <v>870</v>
      </c>
      <c r="AG2" s="96" t="s">
        <v>873</v>
      </c>
      <c r="AH2" s="96" t="s">
        <v>890</v>
      </c>
      <c r="AI2" s="96" t="s">
        <v>909</v>
      </c>
      <c r="AJ2" s="118" t="s">
        <v>922</v>
      </c>
      <c r="AK2" s="59" t="s">
        <v>919</v>
      </c>
      <c r="AL2" s="59" t="s">
        <v>933</v>
      </c>
      <c r="AM2" s="59" t="s">
        <v>936</v>
      </c>
      <c r="AN2" s="59" t="s">
        <v>938</v>
      </c>
      <c r="AO2" s="59" t="s">
        <v>950</v>
      </c>
      <c r="AP2" s="59" t="s">
        <v>953</v>
      </c>
      <c r="AQ2" s="59" t="s">
        <v>960</v>
      </c>
      <c r="AR2" s="59" t="s">
        <v>957</v>
      </c>
      <c r="AS2" s="59" t="s">
        <v>967</v>
      </c>
      <c r="AT2" s="59" t="s">
        <v>978</v>
      </c>
      <c r="AU2" s="59" t="s">
        <v>981</v>
      </c>
      <c r="AV2" s="59" t="s">
        <v>984</v>
      </c>
      <c r="AW2" s="59" t="s">
        <v>987</v>
      </c>
      <c r="AX2" s="59" t="s">
        <v>999</v>
      </c>
      <c r="AY2" s="59" t="s">
        <v>1022</v>
      </c>
      <c r="AZ2" s="59" t="s">
        <v>1024</v>
      </c>
      <c r="BA2" s="59" t="s">
        <v>1026</v>
      </c>
      <c r="BB2" s="59" t="s">
        <v>1028</v>
      </c>
      <c r="BC2" s="59" t="s">
        <v>1030</v>
      </c>
      <c r="BD2" s="59" t="s">
        <v>1034</v>
      </c>
      <c r="BE2" s="59" t="s">
        <v>1037</v>
      </c>
      <c r="BF2" s="59" t="s">
        <v>1040</v>
      </c>
      <c r="BG2" s="59" t="s">
        <v>1043</v>
      </c>
      <c r="BH2" s="59" t="s">
        <v>1046</v>
      </c>
      <c r="BI2" s="59" t="s">
        <v>1049</v>
      </c>
      <c r="BJ2" s="59" t="s">
        <v>1052</v>
      </c>
      <c r="BK2" s="59" t="s">
        <v>1055</v>
      </c>
      <c r="BL2" s="59" t="s">
        <v>1058</v>
      </c>
      <c r="BM2" s="59" t="s">
        <v>1067</v>
      </c>
      <c r="BN2" s="59" t="s">
        <v>1071</v>
      </c>
      <c r="BO2" s="59" t="s">
        <v>1073</v>
      </c>
      <c r="BP2" s="59" t="s">
        <v>1078</v>
      </c>
      <c r="BQ2" s="59" t="s">
        <v>1081</v>
      </c>
      <c r="BR2" s="59" t="s">
        <v>1083</v>
      </c>
      <c r="BS2" s="59" t="s">
        <v>1085</v>
      </c>
      <c r="BT2" s="59" t="s">
        <v>1087</v>
      </c>
      <c r="BU2" s="59" t="s">
        <v>1089</v>
      </c>
      <c r="BV2" s="59" t="s">
        <v>1091</v>
      </c>
      <c r="BW2" s="59" t="s">
        <v>1093</v>
      </c>
      <c r="BX2" s="59" t="s">
        <v>1095</v>
      </c>
      <c r="BY2" s="59" t="s">
        <v>1099</v>
      </c>
      <c r="BZ2" s="59" t="s">
        <v>1101</v>
      </c>
      <c r="CA2" s="59" t="s">
        <v>1103</v>
      </c>
      <c r="CB2" s="59" t="s">
        <v>1159</v>
      </c>
      <c r="CC2" s="59" t="s">
        <v>1168</v>
      </c>
      <c r="CD2" s="59" t="s">
        <v>1185</v>
      </c>
      <c r="CE2" s="59" t="s">
        <v>1202</v>
      </c>
      <c r="CF2" s="59" t="s">
        <v>1207</v>
      </c>
      <c r="CG2" s="59" t="s">
        <v>1209</v>
      </c>
      <c r="CH2" s="59" t="s">
        <v>1211</v>
      </c>
      <c r="CI2" s="59" t="s">
        <v>1213</v>
      </c>
      <c r="CJ2" s="59" t="s">
        <v>1216</v>
      </c>
      <c r="CK2" s="59" t="s">
        <v>1225</v>
      </c>
      <c r="CL2" s="59" t="s">
        <v>1265</v>
      </c>
      <c r="CM2" s="59" t="s">
        <v>1276</v>
      </c>
      <c r="CN2" s="59" t="s">
        <v>1282</v>
      </c>
      <c r="CO2" s="59" t="s">
        <v>1288</v>
      </c>
      <c r="CP2" s="59" t="s">
        <v>1301</v>
      </c>
      <c r="CQ2" s="59" t="s">
        <v>1305</v>
      </c>
      <c r="CR2" s="59" t="s">
        <v>1312</v>
      </c>
      <c r="CS2" s="59" t="s">
        <v>1309</v>
      </c>
      <c r="CT2" s="59" t="s">
        <v>1315</v>
      </c>
      <c r="CU2" s="59" t="s">
        <v>1330</v>
      </c>
      <c r="CV2" s="59" t="s">
        <v>1348</v>
      </c>
      <c r="CW2" s="59" t="s">
        <v>1335</v>
      </c>
      <c r="CX2" s="59" t="s">
        <v>1339</v>
      </c>
      <c r="CY2" s="59" t="s">
        <v>1341</v>
      </c>
      <c r="CZ2" s="59" t="s">
        <v>1344</v>
      </c>
      <c r="DA2" s="59" t="s">
        <v>1376</v>
      </c>
      <c r="DB2" s="59" t="s">
        <v>1389</v>
      </c>
      <c r="DC2" s="59" t="s">
        <v>1394</v>
      </c>
      <c r="DD2" s="59" t="s">
        <v>1398</v>
      </c>
      <c r="DE2" s="59" t="s">
        <v>1402</v>
      </c>
      <c r="DF2" s="59" t="s">
        <v>1405</v>
      </c>
      <c r="DG2" s="59" t="s">
        <v>1416</v>
      </c>
      <c r="DH2" s="59" t="s">
        <v>1445</v>
      </c>
      <c r="DI2" s="59" t="s">
        <v>1606</v>
      </c>
      <c r="DJ2" s="59" t="s">
        <v>1649</v>
      </c>
      <c r="DK2" s="59" t="s">
        <v>1684</v>
      </c>
      <c r="DL2" s="59" t="s">
        <v>1718</v>
      </c>
      <c r="DM2" s="59" t="s">
        <v>1727</v>
      </c>
      <c r="DN2" s="59" t="s">
        <v>1732</v>
      </c>
      <c r="DO2" s="59" t="s">
        <v>1734</v>
      </c>
      <c r="DP2" s="59" t="s">
        <v>1737</v>
      </c>
      <c r="DQ2" s="59" t="s">
        <v>1767</v>
      </c>
      <c r="DR2" s="59" t="s">
        <v>1896</v>
      </c>
      <c r="DS2" s="59" t="s">
        <v>1961</v>
      </c>
      <c r="DT2" s="59" t="s">
        <v>1985</v>
      </c>
      <c r="DU2" s="59" t="s">
        <v>1994</v>
      </c>
      <c r="DV2" s="59" t="s">
        <v>2014</v>
      </c>
      <c r="DW2" s="59" t="s">
        <v>2024</v>
      </c>
      <c r="DX2" s="59" t="s">
        <v>2041</v>
      </c>
      <c r="DY2" s="59" t="s">
        <v>2056</v>
      </c>
      <c r="DZ2" s="59" t="s">
        <v>2064</v>
      </c>
      <c r="EA2" s="59" t="s">
        <v>2089</v>
      </c>
      <c r="EB2" s="59" t="s">
        <v>2107</v>
      </c>
      <c r="EC2" s="59" t="s">
        <v>2112</v>
      </c>
      <c r="ED2" s="59" t="s">
        <v>2122</v>
      </c>
      <c r="EE2" s="59" t="s">
        <v>2128</v>
      </c>
      <c r="EF2" s="59" t="s">
        <v>2162</v>
      </c>
      <c r="EG2" s="59" t="s">
        <v>2168</v>
      </c>
      <c r="EH2" s="59" t="s">
        <v>2223</v>
      </c>
      <c r="EI2" s="59" t="s">
        <v>2265</v>
      </c>
      <c r="EJ2" s="59" t="s">
        <v>2289</v>
      </c>
      <c r="EK2" s="59" t="s">
        <v>2317</v>
      </c>
      <c r="EL2" s="59" t="s">
        <v>2354</v>
      </c>
      <c r="EM2" s="59" t="s">
        <v>2365</v>
      </c>
      <c r="EN2" s="59" t="s">
        <v>2424</v>
      </c>
      <c r="EO2" s="59" t="s">
        <v>2426</v>
      </c>
      <c r="EP2" s="59" t="s">
        <v>2454</v>
      </c>
      <c r="EQ2" s="59" t="s">
        <v>2463</v>
      </c>
      <c r="ER2" s="59" t="s">
        <v>2506</v>
      </c>
      <c r="ES2" s="59" t="s">
        <v>2523</v>
      </c>
      <c r="ET2" s="59" t="s">
        <v>2557</v>
      </c>
      <c r="EU2" s="59" t="s">
        <v>2568</v>
      </c>
      <c r="EV2" s="59" t="s">
        <v>2574</v>
      </c>
      <c r="EW2" s="59" t="s">
        <v>2580</v>
      </c>
      <c r="EX2" s="59" t="s">
        <v>2583</v>
      </c>
      <c r="EY2" s="59" t="s">
        <v>2595</v>
      </c>
      <c r="EZ2" s="59" t="s">
        <v>2667</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53"/>
      <c r="B3" s="562" t="s">
        <v>23</v>
      </c>
      <c r="C3" s="563"/>
      <c r="D3" s="558"/>
      <c r="E3" s="564" t="s">
        <v>24</v>
      </c>
      <c r="F3" s="565"/>
      <c r="G3" s="63"/>
      <c r="H3" s="107" t="s">
        <v>419</v>
      </c>
      <c r="I3" s="107" t="s">
        <v>424</v>
      </c>
      <c r="J3" s="107" t="s">
        <v>449</v>
      </c>
      <c r="K3" s="107" t="s">
        <v>482</v>
      </c>
      <c r="L3" s="107" t="s">
        <v>597</v>
      </c>
      <c r="M3" s="107" t="s">
        <v>719</v>
      </c>
      <c r="N3" s="107" t="s">
        <v>725</v>
      </c>
      <c r="O3" s="107" t="s">
        <v>728</v>
      </c>
      <c r="P3" s="107" t="s">
        <v>730</v>
      </c>
      <c r="Q3" s="107" t="s">
        <v>733</v>
      </c>
      <c r="R3" s="107" t="s">
        <v>735</v>
      </c>
      <c r="S3" s="107" t="s">
        <v>738</v>
      </c>
      <c r="T3" s="107" t="s">
        <v>741</v>
      </c>
      <c r="U3" s="107" t="s">
        <v>762</v>
      </c>
      <c r="V3" s="107" t="s">
        <v>780</v>
      </c>
      <c r="W3" s="96" t="s">
        <v>834</v>
      </c>
      <c r="X3" s="96" t="s">
        <v>837</v>
      </c>
      <c r="Y3" s="107" t="s">
        <v>829</v>
      </c>
      <c r="Z3" s="107" t="s">
        <v>854</v>
      </c>
      <c r="AA3" s="107" t="s">
        <v>848</v>
      </c>
      <c r="AB3" s="107" t="s">
        <v>840</v>
      </c>
      <c r="AC3" s="107" t="s">
        <v>862</v>
      </c>
      <c r="AD3" s="107" t="s">
        <v>865</v>
      </c>
      <c r="AE3" s="107" t="s">
        <v>868</v>
      </c>
      <c r="AF3" s="107" t="s">
        <v>871</v>
      </c>
      <c r="AG3" s="96" t="s">
        <v>874</v>
      </c>
      <c r="AH3" s="108" t="s">
        <v>891</v>
      </c>
      <c r="AI3" s="96" t="s">
        <v>910</v>
      </c>
      <c r="AJ3" s="118" t="s">
        <v>923</v>
      </c>
      <c r="AK3" s="8" t="s">
        <v>920</v>
      </c>
      <c r="AL3" s="8" t="s">
        <v>934</v>
      </c>
      <c r="AM3" s="8" t="s">
        <v>937</v>
      </c>
      <c r="AN3" s="8" t="s">
        <v>939</v>
      </c>
      <c r="AO3" s="8" t="s">
        <v>951</v>
      </c>
      <c r="AP3" s="8" t="s">
        <v>954</v>
      </c>
      <c r="AQ3" s="8" t="s">
        <v>961</v>
      </c>
      <c r="AR3" s="7" t="s">
        <v>958</v>
      </c>
      <c r="AS3" s="8" t="s">
        <v>968</v>
      </c>
      <c r="AT3" s="8" t="s">
        <v>979</v>
      </c>
      <c r="AU3" s="59" t="s">
        <v>982</v>
      </c>
      <c r="AV3" s="59" t="s">
        <v>985</v>
      </c>
      <c r="AW3" s="59" t="s">
        <v>988</v>
      </c>
      <c r="AX3" s="59" t="s">
        <v>1000</v>
      </c>
      <c r="AY3" s="59" t="s">
        <v>1023</v>
      </c>
      <c r="AZ3" s="59" t="s">
        <v>1025</v>
      </c>
      <c r="BA3" s="59" t="s">
        <v>1027</v>
      </c>
      <c r="BB3" s="59" t="s">
        <v>1029</v>
      </c>
      <c r="BC3" s="59" t="s">
        <v>1031</v>
      </c>
      <c r="BD3" s="59" t="s">
        <v>1035</v>
      </c>
      <c r="BE3" s="59" t="s">
        <v>1038</v>
      </c>
      <c r="BF3" s="59" t="s">
        <v>1041</v>
      </c>
      <c r="BG3" s="59" t="s">
        <v>1044</v>
      </c>
      <c r="BH3" s="59" t="s">
        <v>1047</v>
      </c>
      <c r="BI3" s="59" t="s">
        <v>1050</v>
      </c>
      <c r="BJ3" s="59" t="s">
        <v>1053</v>
      </c>
      <c r="BK3" s="59" t="s">
        <v>1056</v>
      </c>
      <c r="BL3" s="59" t="s">
        <v>1059</v>
      </c>
      <c r="BM3" s="59" t="s">
        <v>1068</v>
      </c>
      <c r="BN3" s="59" t="s">
        <v>1072</v>
      </c>
      <c r="BO3" s="59" t="s">
        <v>1075</v>
      </c>
      <c r="BP3" s="59" t="s">
        <v>1079</v>
      </c>
      <c r="BQ3" s="59" t="s">
        <v>1082</v>
      </c>
      <c r="BR3" s="59" t="s">
        <v>1084</v>
      </c>
      <c r="BS3" s="59" t="s">
        <v>1086</v>
      </c>
      <c r="BT3" s="59" t="s">
        <v>1088</v>
      </c>
      <c r="BU3" s="59" t="s">
        <v>1090</v>
      </c>
      <c r="BV3" s="59" t="s">
        <v>1092</v>
      </c>
      <c r="BW3" s="59" t="s">
        <v>1094</v>
      </c>
      <c r="BX3" s="59" t="s">
        <v>1096</v>
      </c>
      <c r="BY3" s="59" t="s">
        <v>1100</v>
      </c>
      <c r="BZ3" s="59" t="s">
        <v>1102</v>
      </c>
      <c r="CA3" s="59" t="s">
        <v>1104</v>
      </c>
      <c r="CB3" s="59" t="s">
        <v>1161</v>
      </c>
      <c r="CC3" s="59" t="s">
        <v>1169</v>
      </c>
      <c r="CD3" s="59" t="s">
        <v>1187</v>
      </c>
      <c r="CE3" s="59" t="s">
        <v>1203</v>
      </c>
      <c r="CF3" s="59" t="s">
        <v>1208</v>
      </c>
      <c r="CG3" s="59" t="s">
        <v>1210</v>
      </c>
      <c r="CH3" s="59" t="s">
        <v>1212</v>
      </c>
      <c r="CI3" s="59" t="s">
        <v>1214</v>
      </c>
      <c r="CJ3" s="59" t="s">
        <v>1217</v>
      </c>
      <c r="CK3" s="59" t="s">
        <v>1226</v>
      </c>
      <c r="CL3" s="59" t="s">
        <v>1266</v>
      </c>
      <c r="CM3" s="59" t="s">
        <v>1277</v>
      </c>
      <c r="CN3" s="59" t="s">
        <v>1283</v>
      </c>
      <c r="CO3" s="59" t="s">
        <v>1289</v>
      </c>
      <c r="CP3" s="59" t="s">
        <v>1302</v>
      </c>
      <c r="CQ3" s="59" t="s">
        <v>1306</v>
      </c>
      <c r="CR3" s="59" t="s">
        <v>1313</v>
      </c>
      <c r="CS3" s="59" t="s">
        <v>1310</v>
      </c>
      <c r="CT3" s="59" t="s">
        <v>1316</v>
      </c>
      <c r="CU3" s="59" t="s">
        <v>1331</v>
      </c>
      <c r="CV3" s="59" t="s">
        <v>1349</v>
      </c>
      <c r="CW3" s="59" t="s">
        <v>1336</v>
      </c>
      <c r="CX3" s="59" t="s">
        <v>1340</v>
      </c>
      <c r="CY3" s="59" t="s">
        <v>1342</v>
      </c>
      <c r="CZ3" s="59" t="s">
        <v>1345</v>
      </c>
      <c r="DA3" s="59" t="s">
        <v>1377</v>
      </c>
      <c r="DB3" s="59" t="s">
        <v>1390</v>
      </c>
      <c r="DC3" s="59" t="s">
        <v>1395</v>
      </c>
      <c r="DD3" s="59" t="s">
        <v>1399</v>
      </c>
      <c r="DE3" s="59" t="s">
        <v>1403</v>
      </c>
      <c r="DF3" s="59" t="s">
        <v>1406</v>
      </c>
      <c r="DG3" s="59" t="s">
        <v>1417</v>
      </c>
      <c r="DH3" s="59" t="s">
        <v>1446</v>
      </c>
      <c r="DI3" s="59" t="s">
        <v>1608</v>
      </c>
      <c r="DJ3" s="59" t="s">
        <v>1650</v>
      </c>
      <c r="DK3" s="59" t="s">
        <v>1685</v>
      </c>
      <c r="DL3" s="59" t="s">
        <v>1719</v>
      </c>
      <c r="DM3" s="59" t="s">
        <v>1728</v>
      </c>
      <c r="DN3" s="59" t="s">
        <v>1733</v>
      </c>
      <c r="DO3" s="59" t="s">
        <v>1735</v>
      </c>
      <c r="DP3" s="59" t="s">
        <v>1738</v>
      </c>
      <c r="DQ3" s="59" t="s">
        <v>1768</v>
      </c>
      <c r="DR3" s="59" t="s">
        <v>1897</v>
      </c>
      <c r="DS3" s="59" t="s">
        <v>1962</v>
      </c>
      <c r="DT3" s="59" t="s">
        <v>1986</v>
      </c>
      <c r="DU3" s="59" t="s">
        <v>1995</v>
      </c>
      <c r="DV3" s="59" t="s">
        <v>2015</v>
      </c>
      <c r="DW3" s="59" t="s">
        <v>2025</v>
      </c>
      <c r="DX3" s="59" t="s">
        <v>2042</v>
      </c>
      <c r="DY3" s="59" t="s">
        <v>2057</v>
      </c>
      <c r="DZ3" s="59" t="s">
        <v>2065</v>
      </c>
      <c r="EA3" s="59" t="s">
        <v>2090</v>
      </c>
      <c r="EB3" s="59" t="s">
        <v>2108</v>
      </c>
      <c r="EC3" s="59" t="s">
        <v>2113</v>
      </c>
      <c r="ED3" s="59" t="s">
        <v>2124</v>
      </c>
      <c r="EE3" s="59" t="s">
        <v>2129</v>
      </c>
      <c r="EF3" s="59" t="s">
        <v>2163</v>
      </c>
      <c r="EG3" s="59" t="s">
        <v>2169</v>
      </c>
      <c r="EH3" s="59" t="s">
        <v>2224</v>
      </c>
      <c r="EI3" s="59" t="s">
        <v>2266</v>
      </c>
      <c r="EJ3" s="59" t="s">
        <v>2291</v>
      </c>
      <c r="EK3" s="59" t="s">
        <v>2318</v>
      </c>
      <c r="EL3" s="59" t="s">
        <v>2355</v>
      </c>
      <c r="EM3" s="59" t="s">
        <v>2366</v>
      </c>
      <c r="EN3" s="59" t="s">
        <v>2425</v>
      </c>
      <c r="EO3" s="59" t="s">
        <v>2428</v>
      </c>
      <c r="EP3" s="59" t="s">
        <v>2455</v>
      </c>
      <c r="EQ3" s="59" t="s">
        <v>2464</v>
      </c>
      <c r="ER3" s="59" t="s">
        <v>2507</v>
      </c>
      <c r="ES3" s="59" t="s">
        <v>2524</v>
      </c>
      <c r="ET3" s="59" t="s">
        <v>2559</v>
      </c>
      <c r="EU3" s="59" t="s">
        <v>2569</v>
      </c>
      <c r="EV3" s="59" t="s">
        <v>2575</v>
      </c>
      <c r="EW3" s="59" t="s">
        <v>2581</v>
      </c>
      <c r="EX3" s="59" t="s">
        <v>2584</v>
      </c>
      <c r="EY3" s="59" t="s">
        <v>2596</v>
      </c>
      <c r="EZ3" s="59" t="s">
        <v>143</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53"/>
      <c r="B4" s="566"/>
      <c r="C4" s="567"/>
      <c r="D4" s="574"/>
      <c r="E4" s="568" t="s">
        <v>25</v>
      </c>
      <c r="F4" s="569"/>
      <c r="G4" s="60"/>
      <c r="H4" s="108" t="s">
        <v>2765</v>
      </c>
      <c r="I4" s="108">
        <v>2592</v>
      </c>
      <c r="J4" s="108">
        <v>3073</v>
      </c>
      <c r="K4" s="108">
        <v>7303</v>
      </c>
      <c r="L4" s="108">
        <v>17950</v>
      </c>
      <c r="M4" s="108">
        <v>28583</v>
      </c>
      <c r="N4" s="108">
        <v>28583</v>
      </c>
      <c r="O4" s="108">
        <v>28583</v>
      </c>
      <c r="P4" s="108">
        <v>28583</v>
      </c>
      <c r="Q4" s="108">
        <v>28583</v>
      </c>
      <c r="R4" s="108">
        <v>28583</v>
      </c>
      <c r="S4" s="108">
        <v>28583</v>
      </c>
      <c r="T4" s="108">
        <v>28584</v>
      </c>
      <c r="U4" s="108">
        <v>29094</v>
      </c>
      <c r="V4" s="108">
        <v>29172</v>
      </c>
      <c r="W4" s="97">
        <v>30250</v>
      </c>
      <c r="X4" s="97">
        <v>30250</v>
      </c>
      <c r="Y4" s="108">
        <v>30250</v>
      </c>
      <c r="Z4" s="108">
        <v>30369</v>
      </c>
      <c r="AA4" s="108">
        <v>30369</v>
      </c>
      <c r="AB4" s="108">
        <v>30369</v>
      </c>
      <c r="AC4" s="108">
        <v>30388</v>
      </c>
      <c r="AD4" s="108">
        <v>30388</v>
      </c>
      <c r="AE4" s="108">
        <v>30388</v>
      </c>
      <c r="AF4" s="108">
        <v>30388</v>
      </c>
      <c r="AG4" s="97">
        <v>30388</v>
      </c>
      <c r="AH4" s="108">
        <v>30791</v>
      </c>
      <c r="AI4" s="97">
        <v>31308</v>
      </c>
      <c r="AJ4" s="120">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53"/>
      <c r="B5" s="570" t="s">
        <v>26</v>
      </c>
      <c r="C5" s="571"/>
      <c r="D5" s="65">
        <v>160</v>
      </c>
      <c r="E5" s="539" t="s">
        <v>27</v>
      </c>
      <c r="F5" s="540"/>
      <c r="G5" s="60"/>
      <c r="H5" s="96" t="s">
        <v>63</v>
      </c>
      <c r="I5" s="96" t="s">
        <v>63</v>
      </c>
      <c r="J5" s="96" t="s">
        <v>63</v>
      </c>
      <c r="K5" s="96" t="s">
        <v>63</v>
      </c>
      <c r="L5" s="96" t="s">
        <v>123</v>
      </c>
      <c r="M5" s="96" t="s">
        <v>2766</v>
      </c>
      <c r="N5" s="96" t="s">
        <v>2766</v>
      </c>
      <c r="O5" s="96" t="s">
        <v>2766</v>
      </c>
      <c r="P5" s="96" t="s">
        <v>2766</v>
      </c>
      <c r="Q5" s="96" t="s">
        <v>2766</v>
      </c>
      <c r="R5" s="96" t="s">
        <v>2766</v>
      </c>
      <c r="S5" s="96" t="s">
        <v>2766</v>
      </c>
      <c r="T5" s="96" t="s">
        <v>2766</v>
      </c>
      <c r="U5" s="96" t="s">
        <v>2767</v>
      </c>
      <c r="V5" s="96" t="s">
        <v>2766</v>
      </c>
      <c r="W5" s="96" t="s">
        <v>2768</v>
      </c>
      <c r="X5" s="96" t="s">
        <v>2768</v>
      </c>
      <c r="Y5" s="96" t="s">
        <v>2768</v>
      </c>
      <c r="Z5" s="96" t="s">
        <v>63</v>
      </c>
      <c r="AA5" s="96" t="s">
        <v>2769</v>
      </c>
      <c r="AB5" s="96" t="s">
        <v>2769</v>
      </c>
      <c r="AC5" s="96" t="s">
        <v>2768</v>
      </c>
      <c r="AD5" s="96" t="s">
        <v>2768</v>
      </c>
      <c r="AE5" s="96" t="s">
        <v>2768</v>
      </c>
      <c r="AF5" s="96" t="s">
        <v>2768</v>
      </c>
      <c r="AG5" s="96" t="s">
        <v>2770</v>
      </c>
      <c r="AH5" s="96" t="s">
        <v>2768</v>
      </c>
      <c r="AI5" s="96" t="s">
        <v>2768</v>
      </c>
      <c r="AJ5" s="118" t="s">
        <v>2770</v>
      </c>
      <c r="AK5" s="59" t="s">
        <v>2768</v>
      </c>
      <c r="AL5" s="59" t="s">
        <v>2770</v>
      </c>
      <c r="AM5" s="59" t="s">
        <v>2769</v>
      </c>
      <c r="AN5" s="59" t="s">
        <v>2771</v>
      </c>
      <c r="AO5" s="59" t="s">
        <v>2770</v>
      </c>
      <c r="AP5" s="59" t="s">
        <v>2768</v>
      </c>
      <c r="AQ5" s="59" t="s">
        <v>2772</v>
      </c>
      <c r="AR5" s="59" t="s">
        <v>2768</v>
      </c>
      <c r="AS5" s="59" t="s">
        <v>2769</v>
      </c>
      <c r="AT5" s="59" t="s">
        <v>2770</v>
      </c>
      <c r="AU5" s="59" t="s">
        <v>2770</v>
      </c>
      <c r="AV5" s="59" t="s">
        <v>2770</v>
      </c>
      <c r="AW5" s="59" t="s">
        <v>2770</v>
      </c>
      <c r="AX5" s="59" t="s">
        <v>63</v>
      </c>
      <c r="AY5" s="59" t="s">
        <v>2769</v>
      </c>
      <c r="AZ5" s="59" t="s">
        <v>2769</v>
      </c>
      <c r="BA5" s="59" t="s">
        <v>2769</v>
      </c>
      <c r="BB5" s="59" t="s">
        <v>2769</v>
      </c>
      <c r="BC5" s="59" t="s">
        <v>2773</v>
      </c>
      <c r="BD5" s="59" t="s">
        <v>2774</v>
      </c>
      <c r="BE5" s="59" t="s">
        <v>2774</v>
      </c>
      <c r="BF5" s="59" t="s">
        <v>2774</v>
      </c>
      <c r="BG5" s="59" t="s">
        <v>2774</v>
      </c>
      <c r="BH5" s="59" t="s">
        <v>2774</v>
      </c>
      <c r="BI5" s="59" t="s">
        <v>2774</v>
      </c>
      <c r="BJ5" s="59" t="s">
        <v>2774</v>
      </c>
      <c r="BK5" s="59" t="s">
        <v>2774</v>
      </c>
      <c r="BL5" s="59" t="s">
        <v>63</v>
      </c>
      <c r="BM5" s="59" t="s">
        <v>2775</v>
      </c>
      <c r="BN5" s="59" t="s">
        <v>2776</v>
      </c>
      <c r="BO5" s="59" t="s">
        <v>2777</v>
      </c>
      <c r="BP5" s="59" t="s">
        <v>2777</v>
      </c>
      <c r="BQ5" s="59" t="s">
        <v>2777</v>
      </c>
      <c r="BR5" s="59" t="s">
        <v>2777</v>
      </c>
      <c r="BS5" s="59" t="s">
        <v>2777</v>
      </c>
      <c r="BT5" s="59" t="s">
        <v>2777</v>
      </c>
      <c r="BU5" s="59" t="s">
        <v>2777</v>
      </c>
      <c r="BV5" s="59" t="s">
        <v>2777</v>
      </c>
      <c r="BW5" s="59" t="s">
        <v>2777</v>
      </c>
      <c r="BX5" s="59" t="s">
        <v>63</v>
      </c>
      <c r="BY5" s="59" t="s">
        <v>2776</v>
      </c>
      <c r="BZ5" s="59" t="s">
        <v>2776</v>
      </c>
      <c r="CA5" s="59" t="s">
        <v>63</v>
      </c>
      <c r="CB5" s="59" t="s">
        <v>63</v>
      </c>
      <c r="CC5" s="59" t="s">
        <v>63</v>
      </c>
      <c r="CD5" s="59" t="s">
        <v>63</v>
      </c>
      <c r="CE5" s="59" t="s">
        <v>2778</v>
      </c>
      <c r="CF5" s="59" t="s">
        <v>2778</v>
      </c>
      <c r="CG5" s="59" t="s">
        <v>2778</v>
      </c>
      <c r="CH5" s="59" t="s">
        <v>2778</v>
      </c>
      <c r="CI5" s="59" t="s">
        <v>2778</v>
      </c>
      <c r="CJ5" s="59" t="s">
        <v>2778</v>
      </c>
      <c r="CK5" s="59" t="s">
        <v>2771</v>
      </c>
      <c r="CL5" s="59" t="s">
        <v>63</v>
      </c>
      <c r="CM5" s="59" t="s">
        <v>63</v>
      </c>
      <c r="CN5" s="59" t="s">
        <v>63</v>
      </c>
      <c r="CO5" s="59" t="s">
        <v>63</v>
      </c>
      <c r="CP5" s="59" t="s">
        <v>63</v>
      </c>
      <c r="CQ5" s="59" t="s">
        <v>63</v>
      </c>
      <c r="CR5" s="59" t="s">
        <v>2779</v>
      </c>
      <c r="CS5" s="59" t="s">
        <v>2780</v>
      </c>
      <c r="CT5" s="59" t="s">
        <v>63</v>
      </c>
      <c r="CU5" s="59" t="s">
        <v>2781</v>
      </c>
      <c r="CV5" s="59" t="s">
        <v>2782</v>
      </c>
      <c r="CW5" s="59" t="s">
        <v>2783</v>
      </c>
      <c r="CX5" s="59" t="s">
        <v>2783</v>
      </c>
      <c r="CY5" s="59" t="s">
        <v>2784</v>
      </c>
      <c r="CZ5" s="59" t="s">
        <v>2785</v>
      </c>
      <c r="DA5" s="59" t="s">
        <v>63</v>
      </c>
      <c r="DB5" s="59" t="s">
        <v>63</v>
      </c>
      <c r="DC5" s="59" t="s">
        <v>63</v>
      </c>
      <c r="DD5" s="59" t="s">
        <v>2786</v>
      </c>
      <c r="DE5" s="59" t="s">
        <v>63</v>
      </c>
      <c r="DF5" s="59" t="s">
        <v>63</v>
      </c>
      <c r="DG5" s="59" t="s">
        <v>63</v>
      </c>
      <c r="DH5" s="59" t="s">
        <v>2787</v>
      </c>
      <c r="DI5" s="59" t="s">
        <v>63</v>
      </c>
      <c r="DJ5" s="59" t="s">
        <v>63</v>
      </c>
      <c r="DK5" s="59" t="s">
        <v>2788</v>
      </c>
      <c r="DL5" s="59" t="s">
        <v>63</v>
      </c>
      <c r="DM5" s="59" t="s">
        <v>8732</v>
      </c>
      <c r="DN5" s="59" t="s">
        <v>8732</v>
      </c>
      <c r="DO5" s="59" t="s">
        <v>8732</v>
      </c>
      <c r="DP5" s="59" t="s">
        <v>8732</v>
      </c>
      <c r="DQ5" s="59" t="s">
        <v>2789</v>
      </c>
      <c r="DR5" s="59" t="s">
        <v>63</v>
      </c>
      <c r="DS5" s="59" t="s">
        <v>63</v>
      </c>
      <c r="DT5" s="59" t="s">
        <v>63</v>
      </c>
      <c r="DU5" s="59" t="s">
        <v>63</v>
      </c>
      <c r="DV5" s="59" t="s">
        <v>2783</v>
      </c>
      <c r="DW5" s="59" t="s">
        <v>63</v>
      </c>
      <c r="DX5" s="59" t="s">
        <v>63</v>
      </c>
      <c r="DY5" s="59" t="s">
        <v>63</v>
      </c>
      <c r="DZ5" s="59" t="s">
        <v>63</v>
      </c>
      <c r="EA5" s="59" t="s">
        <v>63</v>
      </c>
      <c r="EB5" s="59" t="s">
        <v>63</v>
      </c>
      <c r="EC5" s="59" t="s">
        <v>63</v>
      </c>
      <c r="ED5" s="59" t="s">
        <v>2790</v>
      </c>
      <c r="EE5" s="59" t="s">
        <v>2780</v>
      </c>
      <c r="EF5" s="59" t="s">
        <v>2791</v>
      </c>
      <c r="EG5" s="59" t="s">
        <v>63</v>
      </c>
      <c r="EH5" s="59" t="s">
        <v>8732</v>
      </c>
      <c r="EI5" s="59" t="s">
        <v>2783</v>
      </c>
      <c r="EJ5" s="59" t="s">
        <v>63</v>
      </c>
      <c r="EK5" s="59" t="s">
        <v>63</v>
      </c>
      <c r="EL5" s="59" t="s">
        <v>2792</v>
      </c>
      <c r="EM5" s="59" t="s">
        <v>2793</v>
      </c>
      <c r="EN5" s="59" t="s">
        <v>63</v>
      </c>
      <c r="EO5" s="59" t="s">
        <v>63</v>
      </c>
      <c r="EP5" s="59" t="s">
        <v>63</v>
      </c>
      <c r="EQ5" s="59" t="s">
        <v>63</v>
      </c>
      <c r="ER5" s="59" t="s">
        <v>2793</v>
      </c>
      <c r="ES5" s="59" t="s">
        <v>63</v>
      </c>
      <c r="ET5" s="59" t="s">
        <v>63</v>
      </c>
      <c r="EU5" s="59" t="s">
        <v>8732</v>
      </c>
      <c r="EV5" s="59" t="s">
        <v>8732</v>
      </c>
      <c r="EW5" s="59" t="s">
        <v>63</v>
      </c>
      <c r="EX5" s="59" t="s">
        <v>63</v>
      </c>
      <c r="EY5" s="59" t="s">
        <v>63</v>
      </c>
      <c r="EZ5" s="59" t="s">
        <v>63</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54"/>
      <c r="B6" s="541" t="s">
        <v>28</v>
      </c>
      <c r="C6" s="544">
        <v>160</v>
      </c>
      <c r="D6" s="546" t="s">
        <v>7</v>
      </c>
      <c r="E6" s="573">
        <f>ROUND(SUBTOTAL(9,E9:E204),10)</f>
        <v>1</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98"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98" t="str">
        <f t="shared" si="0"/>
        <v/>
      </c>
      <c r="AA6" s="98" t="str">
        <f t="shared" si="0"/>
        <v/>
      </c>
      <c r="AB6" s="98" t="str">
        <f t="shared" si="0"/>
        <v/>
      </c>
      <c r="AC6" s="98" t="str">
        <f t="shared" si="0"/>
        <v/>
      </c>
      <c r="AD6" s="98" t="str">
        <f t="shared" si="0"/>
        <v/>
      </c>
      <c r="AE6" s="98" t="str">
        <f t="shared" si="0"/>
        <v/>
      </c>
      <c r="AF6" s="98" t="str">
        <f t="shared" si="0"/>
        <v/>
      </c>
      <c r="AG6" s="64" t="str">
        <f t="shared" si="0"/>
        <v/>
      </c>
      <c r="AH6" s="98" t="str">
        <f t="shared" si="0"/>
        <v/>
      </c>
      <c r="AI6" s="64" t="str">
        <f t="shared" si="0"/>
        <v/>
      </c>
      <c r="AJ6" s="98" t="str">
        <f t="shared" si="0"/>
        <v/>
      </c>
      <c r="AK6" s="64" t="str">
        <f t="shared" si="0"/>
        <v/>
      </c>
      <c r="AL6" s="64" t="str">
        <f t="shared" si="0"/>
        <v/>
      </c>
      <c r="AM6" s="64" t="str">
        <f t="shared" si="0"/>
        <v/>
      </c>
      <c r="AN6" s="64" t="str">
        <f t="shared" si="0"/>
        <v/>
      </c>
      <c r="AO6" s="64"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3">
        <f>SUBTOTAL(9,G10:G206)</f>
        <v>1</v>
      </c>
      <c r="H7" s="533">
        <f>SUBTOTAL(9,H10:H206)</f>
        <v>0</v>
      </c>
      <c r="I7" s="533">
        <f>SUBTOTAL(9,I10:I206)</f>
        <v>0</v>
      </c>
      <c r="J7" s="533">
        <f t="shared" ref="J7:P7" si="3">SUBTOTAL(9,J10:J205)</f>
        <v>0</v>
      </c>
      <c r="K7" s="533">
        <f t="shared" si="3"/>
        <v>0</v>
      </c>
      <c r="L7" s="533">
        <f t="shared" si="3"/>
        <v>0</v>
      </c>
      <c r="M7" s="533">
        <f t="shared" si="3"/>
        <v>0</v>
      </c>
      <c r="N7" s="533">
        <f t="shared" si="3"/>
        <v>0</v>
      </c>
      <c r="O7" s="533">
        <f t="shared" si="3"/>
        <v>0</v>
      </c>
      <c r="P7" s="533">
        <f t="shared" si="3"/>
        <v>0</v>
      </c>
      <c r="Q7" s="533">
        <f>SUBTOTAL(9,Q10:Q206)</f>
        <v>0</v>
      </c>
      <c r="R7" s="533">
        <f t="shared" ref="R7:Y7" si="4">SUBTOTAL(9,R10:R205)</f>
        <v>0</v>
      </c>
      <c r="S7" s="533">
        <f t="shared" si="4"/>
        <v>0</v>
      </c>
      <c r="T7" s="533">
        <f t="shared" si="4"/>
        <v>0</v>
      </c>
      <c r="U7" s="533">
        <f t="shared" si="4"/>
        <v>0</v>
      </c>
      <c r="V7" s="533">
        <f t="shared" si="4"/>
        <v>0</v>
      </c>
      <c r="W7" s="533">
        <f t="shared" si="4"/>
        <v>0</v>
      </c>
      <c r="X7" s="533">
        <f t="shared" si="4"/>
        <v>0</v>
      </c>
      <c r="Y7" s="533">
        <f t="shared" si="4"/>
        <v>0</v>
      </c>
      <c r="Z7" s="533">
        <f t="shared" ref="Z7:AF7" si="5">SUBTOTAL(9,Z10:Z206)</f>
        <v>0</v>
      </c>
      <c r="AA7" s="533">
        <f t="shared" si="5"/>
        <v>0</v>
      </c>
      <c r="AB7" s="533">
        <f t="shared" si="5"/>
        <v>0</v>
      </c>
      <c r="AC7" s="533">
        <f t="shared" si="5"/>
        <v>0</v>
      </c>
      <c r="AD7" s="533">
        <f t="shared" si="5"/>
        <v>0</v>
      </c>
      <c r="AE7" s="533">
        <f t="shared" si="5"/>
        <v>0</v>
      </c>
      <c r="AF7" s="533">
        <f t="shared" si="5"/>
        <v>0</v>
      </c>
      <c r="AG7" s="533">
        <f>SUBTOTAL(9,AG10:AG205)</f>
        <v>0</v>
      </c>
      <c r="AH7" s="533">
        <f>SUBTOTAL(9,AH10:AH206)</f>
        <v>0</v>
      </c>
      <c r="AI7" s="533">
        <f t="shared" ref="AI7:CT7" si="6">SUBTOTAL(9,AI10:AI205)</f>
        <v>0</v>
      </c>
      <c r="AJ7" s="533">
        <f t="shared" si="6"/>
        <v>0</v>
      </c>
      <c r="AK7" s="533">
        <f t="shared" si="6"/>
        <v>0</v>
      </c>
      <c r="AL7" s="533">
        <f t="shared" si="6"/>
        <v>0</v>
      </c>
      <c r="AM7" s="533">
        <f t="shared" si="6"/>
        <v>0</v>
      </c>
      <c r="AN7" s="533">
        <f t="shared" si="6"/>
        <v>0</v>
      </c>
      <c r="AO7" s="533">
        <f t="shared" si="6"/>
        <v>0</v>
      </c>
      <c r="AP7" s="533">
        <f t="shared" si="6"/>
        <v>0</v>
      </c>
      <c r="AQ7" s="533">
        <f t="shared" si="6"/>
        <v>0</v>
      </c>
      <c r="AR7" s="533">
        <f t="shared" si="6"/>
        <v>0</v>
      </c>
      <c r="AS7" s="533">
        <f t="shared" si="6"/>
        <v>0</v>
      </c>
      <c r="AT7" s="533">
        <f t="shared" si="6"/>
        <v>0</v>
      </c>
      <c r="AU7" s="533">
        <f t="shared" si="6"/>
        <v>0</v>
      </c>
      <c r="AV7" s="533">
        <f t="shared" si="6"/>
        <v>0</v>
      </c>
      <c r="AW7" s="533">
        <f t="shared" si="6"/>
        <v>0</v>
      </c>
      <c r="AX7" s="533">
        <f t="shared" si="6"/>
        <v>0</v>
      </c>
      <c r="AY7" s="533">
        <f t="shared" si="6"/>
        <v>0</v>
      </c>
      <c r="AZ7" s="533">
        <f t="shared" si="6"/>
        <v>0</v>
      </c>
      <c r="BA7" s="533">
        <f t="shared" si="6"/>
        <v>0</v>
      </c>
      <c r="BB7" s="533">
        <f t="shared" si="6"/>
        <v>0</v>
      </c>
      <c r="BC7" s="533">
        <f t="shared" si="6"/>
        <v>0</v>
      </c>
      <c r="BD7" s="533">
        <f t="shared" si="6"/>
        <v>0</v>
      </c>
      <c r="BE7" s="533">
        <f t="shared" si="6"/>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si="6"/>
        <v>0</v>
      </c>
      <c r="CL7" s="533">
        <f t="shared" si="6"/>
        <v>0</v>
      </c>
      <c r="CM7" s="533">
        <f t="shared" si="6"/>
        <v>-2.1684043449710089E-18</v>
      </c>
      <c r="CN7" s="533">
        <f t="shared" si="6"/>
        <v>0</v>
      </c>
      <c r="CO7" s="533">
        <f t="shared" si="6"/>
        <v>0</v>
      </c>
      <c r="CP7" s="533">
        <f t="shared" si="6"/>
        <v>0</v>
      </c>
      <c r="CQ7" s="533">
        <f t="shared" si="6"/>
        <v>0</v>
      </c>
      <c r="CR7" s="533">
        <f t="shared" si="6"/>
        <v>0</v>
      </c>
      <c r="CS7" s="533">
        <f t="shared" si="6"/>
        <v>0</v>
      </c>
      <c r="CT7" s="533">
        <f t="shared" si="6"/>
        <v>0</v>
      </c>
      <c r="CU7" s="533">
        <f t="shared" ref="CU7:FF7" si="7">SUBTOTAL(9,CU10:CU205)</f>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si="7"/>
        <v>0</v>
      </c>
      <c r="DR7" s="533">
        <f t="shared" si="7"/>
        <v>-6.591949208711867E-17</v>
      </c>
      <c r="DS7" s="533">
        <f t="shared" si="7"/>
        <v>0</v>
      </c>
      <c r="DT7" s="533">
        <f t="shared" si="7"/>
        <v>0</v>
      </c>
      <c r="DU7" s="533">
        <f t="shared" si="7"/>
        <v>0</v>
      </c>
      <c r="DV7" s="533">
        <f t="shared" si="7"/>
        <v>0</v>
      </c>
      <c r="DW7" s="533">
        <f t="shared" si="7"/>
        <v>0</v>
      </c>
      <c r="DX7" s="533">
        <f t="shared" si="7"/>
        <v>0</v>
      </c>
      <c r="DY7" s="533">
        <f t="shared" si="7"/>
        <v>0</v>
      </c>
      <c r="DZ7" s="533">
        <f t="shared" si="7"/>
        <v>0</v>
      </c>
      <c r="EA7" s="533">
        <f t="shared" si="7"/>
        <v>3.9898639947466563E-17</v>
      </c>
      <c r="EB7" s="533">
        <f t="shared" si="7"/>
        <v>0</v>
      </c>
      <c r="EC7" s="533">
        <f t="shared" si="7"/>
        <v>-5.8113236445223038E-16</v>
      </c>
      <c r="ED7" s="533">
        <f t="shared" si="7"/>
        <v>1.7347234759768071E-18</v>
      </c>
      <c r="EE7" s="533">
        <f t="shared" si="7"/>
        <v>0</v>
      </c>
      <c r="EF7" s="533">
        <f t="shared" si="7"/>
        <v>0</v>
      </c>
      <c r="EG7" s="533">
        <f t="shared" si="7"/>
        <v>0</v>
      </c>
      <c r="EH7" s="533">
        <f t="shared" si="7"/>
        <v>0</v>
      </c>
      <c r="EI7" s="533">
        <f t="shared" si="7"/>
        <v>0</v>
      </c>
      <c r="EJ7" s="533">
        <f t="shared" si="7"/>
        <v>0</v>
      </c>
      <c r="EK7" s="533">
        <f t="shared" si="7"/>
        <v>0</v>
      </c>
      <c r="EL7" s="533">
        <f t="shared" si="7"/>
        <v>0</v>
      </c>
      <c r="EM7" s="533">
        <f t="shared" si="7"/>
        <v>0</v>
      </c>
      <c r="EN7" s="533">
        <f t="shared" si="7"/>
        <v>0</v>
      </c>
      <c r="EO7" s="533">
        <f t="shared" si="7"/>
        <v>0</v>
      </c>
      <c r="EP7" s="533">
        <f t="shared" si="7"/>
        <v>0</v>
      </c>
      <c r="EQ7" s="533">
        <f t="shared" si="7"/>
        <v>3.9898639947466563E-17</v>
      </c>
      <c r="ER7" s="533">
        <f t="shared" si="7"/>
        <v>0</v>
      </c>
      <c r="ES7" s="533">
        <f t="shared" si="7"/>
        <v>0</v>
      </c>
      <c r="ET7" s="533">
        <f t="shared" si="7"/>
        <v>0</v>
      </c>
      <c r="EU7" s="533">
        <f t="shared" si="7"/>
        <v>0</v>
      </c>
      <c r="EV7" s="533">
        <f t="shared" si="7"/>
        <v>0</v>
      </c>
      <c r="EW7" s="533">
        <f t="shared" si="7"/>
        <v>0</v>
      </c>
      <c r="EX7" s="533">
        <f t="shared" si="7"/>
        <v>0</v>
      </c>
      <c r="EY7" s="533">
        <f t="shared" si="7"/>
        <v>0</v>
      </c>
      <c r="EZ7" s="533">
        <f t="shared" si="7"/>
        <v>0</v>
      </c>
      <c r="FA7" s="537">
        <f t="shared" si="7"/>
        <v>0</v>
      </c>
      <c r="FB7" s="537">
        <f t="shared" si="7"/>
        <v>0</v>
      </c>
      <c r="FC7" s="537">
        <f t="shared" si="7"/>
        <v>0</v>
      </c>
      <c r="FD7" s="537">
        <f t="shared" si="7"/>
        <v>0</v>
      </c>
      <c r="FE7" s="537">
        <f t="shared" si="7"/>
        <v>0</v>
      </c>
      <c r="FF7" s="537">
        <f t="shared" si="7"/>
        <v>0</v>
      </c>
      <c r="FG7" s="537">
        <f t="shared" ref="FG7:GA7" si="8">SUBTOTAL(9,FG10:FG205)</f>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4"/>
      <c r="H8" s="534"/>
      <c r="I8" s="534"/>
      <c r="J8" s="534"/>
      <c r="K8" s="534"/>
      <c r="L8" s="534"/>
      <c r="M8" s="534"/>
      <c r="N8" s="534"/>
      <c r="O8" s="572"/>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295"/>
      <c r="I9" s="296"/>
      <c r="J9" s="296"/>
      <c r="K9" s="296"/>
      <c r="L9" s="296"/>
      <c r="M9" s="296"/>
      <c r="N9" s="296"/>
      <c r="O9" s="296"/>
      <c r="P9" s="296"/>
      <c r="Q9" s="99"/>
      <c r="R9" s="296"/>
      <c r="S9" s="296"/>
      <c r="T9" s="296"/>
      <c r="U9" s="296"/>
      <c r="V9" s="296"/>
      <c r="W9" s="296"/>
      <c r="X9" s="296"/>
      <c r="Y9" s="296"/>
      <c r="Z9" s="99"/>
      <c r="AA9" s="99"/>
      <c r="AB9" s="99"/>
      <c r="AC9" s="99"/>
      <c r="AD9" s="99"/>
      <c r="AE9" s="99"/>
      <c r="AF9" s="99"/>
      <c r="AG9" s="296"/>
      <c r="AH9" s="99"/>
      <c r="AI9" s="296"/>
      <c r="AJ9" s="99"/>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296"/>
      <c r="CF9" s="296"/>
      <c r="CG9" s="296"/>
      <c r="CH9" s="296"/>
      <c r="CI9" s="296"/>
      <c r="CJ9" s="296"/>
      <c r="CK9" s="296"/>
      <c r="CL9" s="296"/>
      <c r="CM9" s="296"/>
      <c r="CN9" s="296"/>
      <c r="CO9" s="296"/>
      <c r="CP9" s="296"/>
      <c r="CQ9" s="296"/>
      <c r="CR9" s="296"/>
      <c r="CS9" s="296"/>
      <c r="CT9" s="296"/>
      <c r="CU9" s="296"/>
      <c r="CV9" s="296"/>
      <c r="CW9" s="296"/>
      <c r="CX9" s="296"/>
      <c r="CY9" s="296"/>
      <c r="CZ9" s="296"/>
      <c r="DA9" s="296"/>
      <c r="DB9" s="296"/>
      <c r="DC9" s="296"/>
      <c r="DD9" s="296"/>
      <c r="DE9" s="296"/>
      <c r="DF9" s="296"/>
      <c r="DG9" s="296"/>
      <c r="DH9" s="296"/>
      <c r="DI9" s="296"/>
      <c r="DJ9" s="296"/>
      <c r="DK9" s="296"/>
      <c r="DL9" s="296"/>
      <c r="DM9" s="296"/>
      <c r="DN9" s="296"/>
      <c r="DO9" s="296"/>
      <c r="DP9" s="296"/>
      <c r="DQ9" s="296"/>
      <c r="DR9" s="296"/>
      <c r="DS9" s="296"/>
      <c r="DT9" s="296"/>
      <c r="DU9" s="296"/>
      <c r="DV9" s="296"/>
      <c r="DW9" s="296"/>
      <c r="DX9" s="296"/>
      <c r="DY9" s="296"/>
      <c r="DZ9" s="296"/>
      <c r="EA9" s="296"/>
      <c r="EB9" s="296"/>
      <c r="EC9" s="296"/>
      <c r="ED9" s="296"/>
      <c r="EE9" s="296"/>
      <c r="EF9" s="296"/>
      <c r="EG9" s="296"/>
      <c r="EH9" s="296"/>
      <c r="EI9" s="296"/>
      <c r="EJ9" s="296"/>
      <c r="EK9" s="296"/>
      <c r="EL9" s="296"/>
      <c r="EM9" s="296"/>
      <c r="EN9" s="296"/>
      <c r="EO9" s="296"/>
      <c r="EP9" s="296"/>
      <c r="EQ9" s="296"/>
      <c r="ER9" s="296"/>
      <c r="ES9" s="296"/>
      <c r="ET9" s="296"/>
      <c r="EU9" s="296"/>
      <c r="EV9" s="296"/>
      <c r="EW9" s="296"/>
      <c r="EX9" s="296"/>
      <c r="EY9" s="296"/>
      <c r="EZ9" s="296"/>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25"/>
      <c r="B10" s="39"/>
      <c r="C10" s="36">
        <f t="shared" ref="C10:C118" si="9">E10*D$5</f>
        <v>0</v>
      </c>
      <c r="D10" s="103" t="s">
        <v>106</v>
      </c>
      <c r="E10" s="36">
        <f t="shared" ref="E10:E36" si="10">SUM(G10:HS10)</f>
        <v>0</v>
      </c>
      <c r="F10" s="126" t="s">
        <v>228</v>
      </c>
      <c r="G10" s="297">
        <v>1</v>
      </c>
      <c r="H10" s="298">
        <v>-1</v>
      </c>
      <c r="I10" s="297"/>
      <c r="J10" s="297"/>
      <c r="K10" s="297"/>
      <c r="L10" s="297"/>
      <c r="M10" s="297"/>
      <c r="N10" s="297"/>
      <c r="O10" s="297"/>
      <c r="P10" s="123"/>
      <c r="Q10" s="297"/>
      <c r="R10" s="297"/>
      <c r="S10" s="297"/>
      <c r="T10" s="297"/>
      <c r="U10" s="297"/>
      <c r="V10" s="297"/>
      <c r="W10" s="297"/>
      <c r="X10" s="297"/>
      <c r="Y10" s="123"/>
      <c r="Z10" s="123"/>
      <c r="AA10" s="123"/>
      <c r="AB10" s="123"/>
      <c r="AC10" s="123"/>
      <c r="AD10" s="123"/>
      <c r="AE10" s="123"/>
      <c r="AF10" s="297"/>
      <c r="AG10" s="123"/>
      <c r="AH10" s="297"/>
      <c r="AI10" s="123"/>
      <c r="AJ10" s="297"/>
      <c r="AK10" s="297"/>
      <c r="AL10" s="297"/>
      <c r="AM10" s="297"/>
      <c r="AN10" s="297"/>
      <c r="AO10" s="297"/>
      <c r="AP10" s="297"/>
      <c r="AQ10" s="297"/>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c r="DU10" s="299"/>
      <c r="DV10" s="299"/>
      <c r="DW10" s="299"/>
      <c r="DX10" s="299"/>
      <c r="DY10" s="299"/>
      <c r="DZ10" s="299"/>
      <c r="EA10" s="299"/>
      <c r="EB10" s="299"/>
      <c r="EC10" s="299"/>
      <c r="ED10" s="299"/>
      <c r="EE10" s="299"/>
      <c r="EF10" s="299"/>
      <c r="EG10" s="299"/>
      <c r="EH10" s="299"/>
      <c r="EI10" s="299"/>
      <c r="EJ10" s="299"/>
      <c r="EK10" s="299"/>
      <c r="EL10" s="299"/>
      <c r="EM10" s="299"/>
      <c r="EN10" s="299"/>
      <c r="EO10" s="299"/>
      <c r="EP10" s="299"/>
      <c r="EQ10" s="299"/>
      <c r="ER10" s="299"/>
      <c r="ES10" s="299"/>
      <c r="ET10" s="299"/>
      <c r="EU10" s="299"/>
      <c r="EV10" s="299"/>
      <c r="EW10" s="299"/>
      <c r="EX10" s="299"/>
      <c r="EY10" s="299"/>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66"/>
      <c r="B11" s="39"/>
      <c r="C11" s="86">
        <f t="shared" si="9"/>
        <v>0</v>
      </c>
      <c r="D11" s="103" t="s">
        <v>425</v>
      </c>
      <c r="E11" s="86">
        <f t="shared" si="10"/>
        <v>0</v>
      </c>
      <c r="F11" s="126" t="s">
        <v>228</v>
      </c>
      <c r="G11" s="297"/>
      <c r="H11" s="297">
        <v>1</v>
      </c>
      <c r="I11" s="297">
        <v>-1</v>
      </c>
      <c r="J11" s="297"/>
      <c r="K11" s="297"/>
      <c r="L11" s="297"/>
      <c r="M11" s="297"/>
      <c r="N11" s="297"/>
      <c r="O11" s="297"/>
      <c r="P11" s="123"/>
      <c r="Q11" s="297"/>
      <c r="R11" s="297"/>
      <c r="S11" s="297"/>
      <c r="T11" s="297"/>
      <c r="U11" s="297"/>
      <c r="V11" s="297"/>
      <c r="W11" s="297"/>
      <c r="X11" s="297"/>
      <c r="Y11" s="124"/>
      <c r="Z11" s="123"/>
      <c r="AA11" s="123"/>
      <c r="AB11" s="123"/>
      <c r="AC11" s="123"/>
      <c r="AD11" s="123"/>
      <c r="AE11" s="123"/>
      <c r="AF11" s="297"/>
      <c r="AG11" s="123"/>
      <c r="AH11" s="297"/>
      <c r="AI11" s="123"/>
      <c r="AJ11" s="297"/>
      <c r="AK11" s="297"/>
      <c r="AL11" s="297"/>
      <c r="AM11" s="297"/>
      <c r="AN11" s="297"/>
      <c r="AO11" s="297"/>
      <c r="AP11" s="297"/>
      <c r="AQ11" s="297"/>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66"/>
      <c r="B12" s="39"/>
      <c r="C12" s="86">
        <f t="shared" si="9"/>
        <v>0</v>
      </c>
      <c r="D12" s="103" t="s">
        <v>426</v>
      </c>
      <c r="E12" s="86">
        <f t="shared" si="10"/>
        <v>0</v>
      </c>
      <c r="F12" s="126" t="s">
        <v>228</v>
      </c>
      <c r="G12" s="297"/>
      <c r="H12" s="297"/>
      <c r="I12" s="297">
        <v>1</v>
      </c>
      <c r="J12" s="297">
        <v>-1</v>
      </c>
      <c r="K12" s="297"/>
      <c r="L12" s="297"/>
      <c r="M12" s="297"/>
      <c r="N12" s="297"/>
      <c r="O12" s="297"/>
      <c r="P12" s="123"/>
      <c r="Q12" s="297"/>
      <c r="R12" s="297"/>
      <c r="S12" s="297"/>
      <c r="T12" s="297"/>
      <c r="U12" s="297"/>
      <c r="V12" s="297"/>
      <c r="W12" s="297"/>
      <c r="X12" s="297"/>
      <c r="Y12" s="124"/>
      <c r="Z12" s="123"/>
      <c r="AA12" s="123"/>
      <c r="AB12" s="123"/>
      <c r="AC12" s="123"/>
      <c r="AD12" s="123"/>
      <c r="AE12" s="123"/>
      <c r="AF12" s="297"/>
      <c r="AG12" s="124"/>
      <c r="AH12" s="297"/>
      <c r="AI12" s="123"/>
      <c r="AJ12" s="297"/>
      <c r="AK12" s="297"/>
      <c r="AL12" s="297"/>
      <c r="AM12" s="297"/>
      <c r="AN12" s="297"/>
      <c r="AO12" s="297"/>
      <c r="AP12" s="297"/>
      <c r="AQ12" s="297"/>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99"/>
      <c r="CF12" s="299"/>
      <c r="CG12" s="299"/>
      <c r="CH12" s="299"/>
      <c r="CI12" s="299"/>
      <c r="CJ12" s="299"/>
      <c r="CK12" s="299"/>
      <c r="CL12" s="299"/>
      <c r="CM12" s="299"/>
      <c r="CN12" s="299"/>
      <c r="CO12" s="299"/>
      <c r="CP12" s="299"/>
      <c r="CQ12" s="299"/>
      <c r="CR12" s="299"/>
      <c r="CS12" s="299"/>
      <c r="CT12" s="299"/>
      <c r="CU12" s="299"/>
      <c r="CV12" s="299"/>
      <c r="CW12" s="299"/>
      <c r="CX12" s="299"/>
      <c r="CY12" s="299"/>
      <c r="CZ12" s="299"/>
      <c r="DA12" s="299"/>
      <c r="DB12" s="299"/>
      <c r="DC12" s="299"/>
      <c r="DD12" s="299"/>
      <c r="DE12" s="299"/>
      <c r="DF12" s="299"/>
      <c r="DG12" s="299"/>
      <c r="DH12" s="299"/>
      <c r="DI12" s="299"/>
      <c r="DJ12" s="299"/>
      <c r="DK12" s="299"/>
      <c r="DL12" s="299"/>
      <c r="DM12" s="299"/>
      <c r="DN12" s="299"/>
      <c r="DO12" s="299"/>
      <c r="DP12" s="299"/>
      <c r="DQ12" s="299"/>
      <c r="DR12" s="299"/>
      <c r="DS12" s="299"/>
      <c r="DT12" s="299"/>
      <c r="DU12" s="299"/>
      <c r="DV12" s="299"/>
      <c r="DW12" s="299"/>
      <c r="DX12" s="299"/>
      <c r="DY12" s="299"/>
      <c r="DZ12" s="299"/>
      <c r="EA12" s="299"/>
      <c r="EB12" s="299"/>
      <c r="EC12" s="299"/>
      <c r="ED12" s="299"/>
      <c r="EE12" s="299"/>
      <c r="EF12" s="299"/>
      <c r="EG12" s="299"/>
      <c r="EH12" s="299"/>
      <c r="EI12" s="299"/>
      <c r="EJ12" s="299"/>
      <c r="EK12" s="299"/>
      <c r="EL12" s="299"/>
      <c r="EM12" s="299"/>
      <c r="EN12" s="299"/>
      <c r="EO12" s="299"/>
      <c r="EP12" s="299"/>
      <c r="EQ12" s="299"/>
      <c r="ER12" s="299"/>
      <c r="ES12" s="299"/>
      <c r="ET12" s="299"/>
      <c r="EU12" s="299"/>
      <c r="EV12" s="299"/>
      <c r="EW12" s="299"/>
      <c r="EX12" s="299"/>
      <c r="EY12" s="299"/>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122"/>
      <c r="B13" s="127"/>
      <c r="C13" s="86">
        <f t="shared" si="9"/>
        <v>0</v>
      </c>
      <c r="D13" s="103" t="s">
        <v>451</v>
      </c>
      <c r="E13" s="86">
        <f t="shared" si="10"/>
        <v>0</v>
      </c>
      <c r="F13" s="126" t="s">
        <v>228</v>
      </c>
      <c r="G13" s="298"/>
      <c r="H13" s="297"/>
      <c r="I13" s="297"/>
      <c r="J13" s="297">
        <v>1</v>
      </c>
      <c r="K13" s="297">
        <v>-1</v>
      </c>
      <c r="L13" s="297"/>
      <c r="M13" s="297"/>
      <c r="N13" s="297"/>
      <c r="O13" s="297"/>
      <c r="P13" s="123"/>
      <c r="Q13" s="297"/>
      <c r="R13" s="297"/>
      <c r="S13" s="297"/>
      <c r="T13" s="297"/>
      <c r="U13" s="297"/>
      <c r="V13" s="297"/>
      <c r="W13" s="297"/>
      <c r="X13" s="297"/>
      <c r="Y13" s="123"/>
      <c r="Z13" s="123"/>
      <c r="AA13" s="124"/>
      <c r="AB13" s="123"/>
      <c r="AC13" s="123"/>
      <c r="AD13" s="123"/>
      <c r="AE13" s="123"/>
      <c r="AF13" s="297"/>
      <c r="AG13" s="123"/>
      <c r="AH13" s="297"/>
      <c r="AI13" s="123"/>
      <c r="AJ13" s="297"/>
      <c r="AK13" s="297"/>
      <c r="AL13" s="297"/>
      <c r="AM13" s="297"/>
      <c r="AN13" s="297"/>
      <c r="AO13" s="297"/>
      <c r="AP13" s="297"/>
      <c r="AQ13" s="297"/>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c r="DU13" s="299"/>
      <c r="DV13" s="299"/>
      <c r="DW13" s="299"/>
      <c r="DX13" s="299"/>
      <c r="DY13" s="299"/>
      <c r="DZ13" s="299"/>
      <c r="EA13" s="299"/>
      <c r="EB13" s="299"/>
      <c r="EC13" s="299"/>
      <c r="ED13" s="299"/>
      <c r="EE13" s="299"/>
      <c r="EF13" s="299"/>
      <c r="EG13" s="299"/>
      <c r="EH13" s="299"/>
      <c r="EI13" s="299"/>
      <c r="EJ13" s="299"/>
      <c r="EK13" s="299"/>
      <c r="EL13" s="299"/>
      <c r="EM13" s="299"/>
      <c r="EN13" s="299"/>
      <c r="EO13" s="299"/>
      <c r="EP13" s="299"/>
      <c r="EQ13" s="299"/>
      <c r="ER13" s="299"/>
      <c r="ES13" s="299"/>
      <c r="ET13" s="299"/>
      <c r="EU13" s="299"/>
      <c r="EV13" s="299"/>
      <c r="EW13" s="299"/>
      <c r="EX13" s="299"/>
      <c r="EY13" s="299"/>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A14" s="39"/>
      <c r="B14" s="39"/>
      <c r="C14" s="36">
        <f t="shared" si="9"/>
        <v>16.17243983979181</v>
      </c>
      <c r="D14" s="4" t="s">
        <v>484</v>
      </c>
      <c r="E14" s="36">
        <f t="shared" si="10"/>
        <v>0.10107774899869881</v>
      </c>
      <c r="F14" s="126" t="s">
        <v>228</v>
      </c>
      <c r="G14" s="297"/>
      <c r="H14" s="297"/>
      <c r="I14" s="297"/>
      <c r="J14" s="300"/>
      <c r="K14" s="123">
        <v>1</v>
      </c>
      <c r="L14" s="123"/>
      <c r="M14" s="301">
        <v>-5.0538870708934001E-2</v>
      </c>
      <c r="N14" s="297">
        <v>-5.0538870708934001E-2</v>
      </c>
      <c r="O14" s="297">
        <v>-5.0538870708934001E-2</v>
      </c>
      <c r="P14" s="123">
        <v>-5.0538870708934001E-2</v>
      </c>
      <c r="Q14" s="297">
        <v>-5.0538870708934001E-2</v>
      </c>
      <c r="R14" s="297">
        <v>-5.0538870708934001E-2</v>
      </c>
      <c r="S14" s="297">
        <v>-5.0538870708934001E-2</v>
      </c>
      <c r="T14" s="297">
        <v>-5.0538870708934001E-2</v>
      </c>
      <c r="U14" s="297"/>
      <c r="V14" s="297"/>
      <c r="W14" s="297"/>
      <c r="X14" s="297"/>
      <c r="Y14" s="123"/>
      <c r="Z14" s="123"/>
      <c r="AA14" s="124"/>
      <c r="AB14" s="298"/>
      <c r="AC14" s="298"/>
      <c r="AD14" s="298"/>
      <c r="AE14" s="298"/>
      <c r="AF14" s="297"/>
      <c r="AG14" s="123"/>
      <c r="AH14" s="297"/>
      <c r="AI14" s="123"/>
      <c r="AJ14" s="297"/>
      <c r="AK14" s="297"/>
      <c r="AL14" s="297"/>
      <c r="AM14" s="297"/>
      <c r="AN14" s="297"/>
      <c r="AO14" s="297"/>
      <c r="AP14" s="297"/>
      <c r="AQ14" s="297"/>
      <c r="AR14" s="299"/>
      <c r="AS14" s="299"/>
      <c r="AT14" s="299"/>
      <c r="AU14" s="299"/>
      <c r="AV14" s="299"/>
      <c r="AW14" s="299"/>
      <c r="AX14" s="299"/>
      <c r="AY14" s="299"/>
      <c r="AZ14" s="299"/>
      <c r="BA14" s="299"/>
      <c r="BB14" s="299"/>
      <c r="BC14" s="299">
        <v>-5.4956809481092099E-2</v>
      </c>
      <c r="BD14" s="299">
        <v>-5.4956809481092099E-2</v>
      </c>
      <c r="BE14" s="299">
        <v>-5.4956809481092099E-2</v>
      </c>
      <c r="BF14" s="299">
        <v>-5.4956809481092099E-2</v>
      </c>
      <c r="BG14" s="299">
        <v>-5.4956809481092099E-2</v>
      </c>
      <c r="BH14" s="299">
        <v>-5.4956809481092099E-2</v>
      </c>
      <c r="BI14" s="299">
        <v>-5.4956809481092099E-2</v>
      </c>
      <c r="BJ14" s="299">
        <v>-5.4956809481092099E-2</v>
      </c>
      <c r="BK14" s="299">
        <v>-5.4956809481092099E-2</v>
      </c>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c r="DU14" s="299"/>
      <c r="DV14" s="299"/>
      <c r="DW14" s="299"/>
      <c r="DX14" s="299"/>
      <c r="DY14" s="299"/>
      <c r="DZ14" s="299"/>
      <c r="EA14" s="299"/>
      <c r="EB14" s="299"/>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125"/>
      <c r="B15" s="39"/>
      <c r="C15" s="36">
        <f t="shared" si="9"/>
        <v>0</v>
      </c>
      <c r="D15" s="104" t="s">
        <v>599</v>
      </c>
      <c r="E15" s="36">
        <f t="shared" si="10"/>
        <v>0</v>
      </c>
      <c r="F15" s="126" t="s">
        <v>228</v>
      </c>
      <c r="G15" s="298"/>
      <c r="H15" s="297"/>
      <c r="I15" s="297"/>
      <c r="J15" s="300"/>
      <c r="K15" s="300"/>
      <c r="L15" s="123">
        <v>0</v>
      </c>
      <c r="M15" s="301"/>
      <c r="N15" s="297"/>
      <c r="O15" s="297"/>
      <c r="P15" s="297"/>
      <c r="Q15" s="297"/>
      <c r="R15" s="297"/>
      <c r="S15" s="297"/>
      <c r="T15" s="297"/>
      <c r="U15" s="297"/>
      <c r="V15" s="297"/>
      <c r="W15" s="297"/>
      <c r="X15" s="297"/>
      <c r="Y15" s="123"/>
      <c r="Z15" s="123"/>
      <c r="AA15" s="123"/>
      <c r="AB15" s="298"/>
      <c r="AC15" s="298"/>
      <c r="AD15" s="298"/>
      <c r="AE15" s="298"/>
      <c r="AF15" s="297"/>
      <c r="AG15" s="123"/>
      <c r="AH15" s="297"/>
      <c r="AI15" s="123"/>
      <c r="AJ15" s="297"/>
      <c r="AK15" s="297"/>
      <c r="AL15" s="297"/>
      <c r="AM15" s="297"/>
      <c r="AN15" s="297"/>
      <c r="AO15" s="297"/>
      <c r="AP15" s="297"/>
      <c r="AQ15" s="297"/>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299"/>
      <c r="CM15" s="299"/>
      <c r="CN15" s="299"/>
      <c r="CO15" s="299"/>
      <c r="CP15" s="299"/>
      <c r="CQ15" s="299"/>
      <c r="CR15" s="299"/>
      <c r="CS15" s="299"/>
      <c r="CT15" s="299"/>
      <c r="CU15" s="299"/>
      <c r="CV15" s="299"/>
      <c r="CW15" s="299"/>
      <c r="CX15" s="299"/>
      <c r="CY15" s="299"/>
      <c r="CZ15" s="299"/>
      <c r="DA15" s="299"/>
      <c r="DB15" s="299"/>
      <c r="DC15" s="299"/>
      <c r="DD15" s="299"/>
      <c r="DE15" s="299"/>
      <c r="DF15" s="299"/>
      <c r="DG15" s="299"/>
      <c r="DH15" s="299"/>
      <c r="DI15" s="299"/>
      <c r="DJ15" s="299"/>
      <c r="DK15" s="299"/>
      <c r="DL15" s="299"/>
      <c r="DM15" s="299"/>
      <c r="DN15" s="299"/>
      <c r="DO15" s="299"/>
      <c r="DP15" s="299"/>
      <c r="DQ15" s="299"/>
      <c r="DR15" s="299"/>
      <c r="DS15" s="299"/>
      <c r="DT15" s="299"/>
      <c r="DU15" s="299"/>
      <c r="DV15" s="299"/>
      <c r="DW15" s="299"/>
      <c r="DX15" s="299"/>
      <c r="DY15" s="299"/>
      <c r="DZ15" s="299"/>
      <c r="EA15" s="299"/>
      <c r="EB15" s="299"/>
      <c r="EC15" s="299"/>
      <c r="ED15" s="299"/>
      <c r="EE15" s="299"/>
      <c r="EF15" s="299"/>
      <c r="EG15" s="299"/>
      <c r="EH15" s="299"/>
      <c r="EI15" s="299"/>
      <c r="EJ15" s="299"/>
      <c r="EK15" s="299"/>
      <c r="EL15" s="299"/>
      <c r="EM15" s="299"/>
      <c r="EN15" s="299"/>
      <c r="EO15" s="299"/>
      <c r="EP15" s="299"/>
      <c r="EQ15" s="299"/>
      <c r="ER15" s="299"/>
      <c r="ES15" s="299"/>
      <c r="ET15" s="299"/>
      <c r="EU15" s="299"/>
      <c r="EV15" s="299"/>
      <c r="EW15" s="299"/>
      <c r="EX15" s="299"/>
      <c r="EY15" s="299"/>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125"/>
      <c r="B16" s="39"/>
      <c r="C16" s="36">
        <f t="shared" si="9"/>
        <v>0</v>
      </c>
      <c r="D16" s="331" t="s">
        <v>721</v>
      </c>
      <c r="E16" s="36">
        <f t="shared" si="10"/>
        <v>0</v>
      </c>
      <c r="F16" s="126" t="s">
        <v>228</v>
      </c>
      <c r="G16" s="298"/>
      <c r="H16" s="297"/>
      <c r="I16" s="297"/>
      <c r="J16" s="300"/>
      <c r="K16" s="300"/>
      <c r="L16" s="123"/>
      <c r="M16" s="301">
        <v>5.0538870708934008E-2</v>
      </c>
      <c r="N16" s="297"/>
      <c r="O16" s="301"/>
      <c r="P16" s="123"/>
      <c r="Q16" s="297"/>
      <c r="R16" s="297"/>
      <c r="S16" s="297"/>
      <c r="T16" s="297"/>
      <c r="U16" s="297"/>
      <c r="V16" s="298"/>
      <c r="W16" s="297"/>
      <c r="X16" s="297"/>
      <c r="Y16" s="123"/>
      <c r="Z16" s="123">
        <v>-5.0538870708934001E-2</v>
      </c>
      <c r="AA16" s="123"/>
      <c r="AB16" s="298"/>
      <c r="AC16" s="298"/>
      <c r="AD16" s="298"/>
      <c r="AE16" s="298"/>
      <c r="AF16" s="297"/>
      <c r="AG16" s="123"/>
      <c r="AH16" s="297"/>
      <c r="AI16" s="123"/>
      <c r="AJ16" s="297"/>
      <c r="AK16" s="297"/>
      <c r="AL16" s="297"/>
      <c r="AM16" s="297"/>
      <c r="AN16" s="297"/>
      <c r="AO16" s="297"/>
      <c r="AP16" s="297"/>
      <c r="AQ16" s="297"/>
      <c r="AR16" s="299"/>
      <c r="AS16" s="299"/>
      <c r="AT16" s="299"/>
      <c r="AU16" s="299"/>
      <c r="AV16" s="299"/>
      <c r="AW16" s="299"/>
      <c r="AX16" s="299"/>
      <c r="AY16" s="299"/>
      <c r="AZ16" s="299"/>
      <c r="BA16" s="299"/>
      <c r="BB16" s="299"/>
      <c r="BC16" s="299"/>
      <c r="BD16" s="299"/>
      <c r="BE16" s="299"/>
      <c r="BF16" s="299"/>
      <c r="BG16" s="299"/>
      <c r="BH16" s="299">
        <v>5.4956809481092099E-2</v>
      </c>
      <c r="BI16" s="299"/>
      <c r="BJ16" s="299"/>
      <c r="BK16" s="299"/>
      <c r="BL16" s="299"/>
      <c r="BM16" s="299"/>
      <c r="BN16" s="299"/>
      <c r="BO16" s="299"/>
      <c r="BP16" s="299"/>
      <c r="BQ16" s="299"/>
      <c r="BR16" s="299"/>
      <c r="BS16" s="299">
        <v>4.2115683475052752E-3</v>
      </c>
      <c r="BT16" s="299"/>
      <c r="BU16" s="299"/>
      <c r="BV16" s="299"/>
      <c r="BW16" s="299"/>
      <c r="BX16" s="299"/>
      <c r="BY16" s="299"/>
      <c r="BZ16" s="299"/>
      <c r="CA16" s="299">
        <v>-4.2115683475052804E-3</v>
      </c>
      <c r="CB16" s="299"/>
      <c r="CC16" s="299"/>
      <c r="CD16" s="299"/>
      <c r="CE16" s="299"/>
      <c r="CF16" s="299"/>
      <c r="CG16" s="299"/>
      <c r="CH16" s="299"/>
      <c r="CI16" s="299"/>
      <c r="CJ16" s="299"/>
      <c r="CK16" s="299"/>
      <c r="CL16" s="299"/>
      <c r="CM16" s="299"/>
      <c r="CN16" s="299"/>
      <c r="CO16" s="299"/>
      <c r="CP16" s="299"/>
      <c r="CQ16" s="299"/>
      <c r="CR16" s="299"/>
      <c r="CS16" s="299"/>
      <c r="CT16" s="299"/>
      <c r="CU16" s="299"/>
      <c r="CV16" s="299"/>
      <c r="CW16" s="299"/>
      <c r="CX16" s="299"/>
      <c r="CY16" s="299"/>
      <c r="CZ16" s="299"/>
      <c r="DA16" s="299"/>
      <c r="DB16" s="299"/>
      <c r="DC16" s="299"/>
      <c r="DD16" s="299"/>
      <c r="DE16" s="299"/>
      <c r="DF16" s="299"/>
      <c r="DG16" s="299"/>
      <c r="DH16" s="299">
        <f>-(43.496666/791.47)</f>
        <v>-5.4956809481092141E-2</v>
      </c>
      <c r="DI16" s="299"/>
      <c r="DJ16" s="299"/>
      <c r="DK16" s="299"/>
      <c r="DL16" s="299"/>
      <c r="DM16" s="299"/>
      <c r="DN16" s="299"/>
      <c r="DO16" s="299"/>
      <c r="DP16" s="299"/>
      <c r="DQ16" s="299"/>
      <c r="DR16" s="299"/>
      <c r="DS16" s="299"/>
      <c r="DT16" s="299"/>
      <c r="DU16" s="299"/>
      <c r="DV16" s="299"/>
      <c r="DW16" s="299"/>
      <c r="DX16" s="299"/>
      <c r="DY16" s="299"/>
      <c r="DZ16" s="299"/>
      <c r="EA16" s="299"/>
      <c r="EB16" s="299"/>
      <c r="EC16" s="299"/>
      <c r="ED16" s="299"/>
      <c r="EE16" s="299"/>
      <c r="EF16" s="299"/>
      <c r="EG16" s="299"/>
      <c r="EH16" s="299"/>
      <c r="EI16" s="299"/>
      <c r="EJ16" s="299"/>
      <c r="EK16" s="299"/>
      <c r="EL16" s="299"/>
      <c r="EM16" s="299"/>
      <c r="EN16" s="299"/>
      <c r="EO16" s="299"/>
      <c r="EP16" s="299"/>
      <c r="EQ16" s="299"/>
      <c r="ER16" s="299"/>
      <c r="ES16" s="299"/>
      <c r="ET16" s="299"/>
      <c r="EU16" s="299"/>
      <c r="EV16" s="299"/>
      <c r="EW16" s="299"/>
      <c r="EX16" s="299"/>
      <c r="EY16" s="299"/>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125"/>
      <c r="B17" s="39"/>
      <c r="C17" s="36">
        <f t="shared" si="9"/>
        <v>17.553159766005024</v>
      </c>
      <c r="D17" s="4" t="s">
        <v>726</v>
      </c>
      <c r="E17" s="36">
        <f t="shared" si="10"/>
        <v>0.10970724853753139</v>
      </c>
      <c r="F17" s="126" t="s">
        <v>228</v>
      </c>
      <c r="G17" s="298"/>
      <c r="H17" s="297"/>
      <c r="I17" s="297"/>
      <c r="J17" s="300"/>
      <c r="K17" s="300"/>
      <c r="L17" s="123"/>
      <c r="M17" s="301"/>
      <c r="N17" s="297">
        <v>5.0538870708934008E-2</v>
      </c>
      <c r="O17" s="297"/>
      <c r="P17" s="123"/>
      <c r="Q17" s="297"/>
      <c r="R17" s="297"/>
      <c r="S17" s="297"/>
      <c r="T17" s="297"/>
      <c r="U17" s="297"/>
      <c r="V17" s="297"/>
      <c r="W17" s="297"/>
      <c r="X17" s="297"/>
      <c r="Y17" s="123"/>
      <c r="Z17" s="123"/>
      <c r="AA17" s="123"/>
      <c r="AB17" s="298"/>
      <c r="AC17" s="298"/>
      <c r="AD17" s="298"/>
      <c r="AE17" s="298"/>
      <c r="AF17" s="297"/>
      <c r="AG17" s="123"/>
      <c r="AH17" s="297"/>
      <c r="AI17" s="123"/>
      <c r="AJ17" s="297"/>
      <c r="AK17" s="297"/>
      <c r="AL17" s="297"/>
      <c r="AM17" s="297"/>
      <c r="AN17" s="297"/>
      <c r="AO17" s="297"/>
      <c r="AP17" s="297"/>
      <c r="AQ17" s="297"/>
      <c r="AR17" s="299"/>
      <c r="AS17" s="299"/>
      <c r="AT17" s="299"/>
      <c r="AU17" s="299"/>
      <c r="AV17" s="299"/>
      <c r="AW17" s="299"/>
      <c r="AX17" s="299"/>
      <c r="AY17" s="299"/>
      <c r="AZ17" s="299"/>
      <c r="BA17" s="299"/>
      <c r="BB17" s="299"/>
      <c r="BC17" s="299"/>
      <c r="BD17" s="299"/>
      <c r="BE17" s="299"/>
      <c r="BF17" s="299"/>
      <c r="BG17" s="299"/>
      <c r="BH17" s="299"/>
      <c r="BI17" s="299">
        <v>5.4956809481092099E-2</v>
      </c>
      <c r="BJ17" s="299"/>
      <c r="BK17" s="299"/>
      <c r="BL17" s="299"/>
      <c r="BM17" s="299"/>
      <c r="BN17" s="299"/>
      <c r="BO17" s="299"/>
      <c r="BP17" s="299"/>
      <c r="BQ17" s="299">
        <v>4.2115683475052752E-3</v>
      </c>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125"/>
      <c r="B18" s="39"/>
      <c r="C18" s="36">
        <f t="shared" si="9"/>
        <v>8.0862193134294422</v>
      </c>
      <c r="D18" s="4" t="s">
        <v>355</v>
      </c>
      <c r="E18" s="36">
        <f t="shared" si="10"/>
        <v>5.0538870708934008E-2</v>
      </c>
      <c r="F18" s="126" t="s">
        <v>228</v>
      </c>
      <c r="G18" s="297"/>
      <c r="H18" s="297"/>
      <c r="I18" s="297"/>
      <c r="J18" s="300"/>
      <c r="K18" s="300"/>
      <c r="L18" s="123"/>
      <c r="M18" s="301"/>
      <c r="N18" s="301"/>
      <c r="O18" s="297">
        <v>5.0538870708934008E-2</v>
      </c>
      <c r="P18" s="123"/>
      <c r="Q18" s="297"/>
      <c r="R18" s="297"/>
      <c r="S18" s="297"/>
      <c r="T18" s="297"/>
      <c r="U18" s="297"/>
      <c r="V18" s="297"/>
      <c r="W18" s="297"/>
      <c r="X18" s="297"/>
      <c r="Y18" s="123"/>
      <c r="Z18" s="123"/>
      <c r="AA18" s="123"/>
      <c r="AB18" s="298"/>
      <c r="AC18" s="298"/>
      <c r="AD18" s="298"/>
      <c r="AE18" s="298"/>
      <c r="AF18" s="297"/>
      <c r="AG18" s="124"/>
      <c r="AH18" s="297"/>
      <c r="AI18" s="123"/>
      <c r="AJ18" s="297"/>
      <c r="AK18" s="297"/>
      <c r="AL18" s="297"/>
      <c r="AM18" s="297"/>
      <c r="AN18" s="297"/>
      <c r="AO18" s="297"/>
      <c r="AP18" s="297"/>
      <c r="AQ18" s="297"/>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99"/>
      <c r="CF18" s="299"/>
      <c r="CG18" s="299"/>
      <c r="CH18" s="299"/>
      <c r="CI18" s="299"/>
      <c r="CJ18" s="299"/>
      <c r="CK18" s="299"/>
      <c r="CL18" s="299"/>
      <c r="CM18" s="299"/>
      <c r="CN18" s="299"/>
      <c r="CO18" s="299"/>
      <c r="CP18" s="299"/>
      <c r="CQ18" s="299"/>
      <c r="CR18" s="299"/>
      <c r="CS18" s="299"/>
      <c r="CT18" s="299"/>
      <c r="CU18" s="299"/>
      <c r="CV18" s="299"/>
      <c r="CW18" s="299"/>
      <c r="CX18" s="299"/>
      <c r="CY18" s="299"/>
      <c r="CZ18" s="299"/>
      <c r="DA18" s="299"/>
      <c r="DB18" s="299"/>
      <c r="DC18" s="299"/>
      <c r="DD18" s="299"/>
      <c r="DE18" s="299"/>
      <c r="DF18" s="299"/>
      <c r="DG18" s="299"/>
      <c r="DH18" s="299"/>
      <c r="DI18" s="299"/>
      <c r="DJ18" s="299"/>
      <c r="DK18" s="299"/>
      <c r="DL18" s="299"/>
      <c r="DM18" s="299"/>
      <c r="DN18" s="299"/>
      <c r="DO18" s="299"/>
      <c r="DP18" s="299"/>
      <c r="DQ18" s="299"/>
      <c r="DR18" s="299"/>
      <c r="DS18" s="299"/>
      <c r="DT18" s="299"/>
      <c r="DU18" s="299"/>
      <c r="DV18" s="299"/>
      <c r="DW18" s="299"/>
      <c r="DX18" s="299"/>
      <c r="DY18" s="299"/>
      <c r="DZ18" s="299"/>
      <c r="EA18" s="299"/>
      <c r="EB18" s="299"/>
      <c r="EC18" s="299"/>
      <c r="ED18" s="299"/>
      <c r="EE18" s="299"/>
      <c r="EF18" s="299"/>
      <c r="EG18" s="299"/>
      <c r="EH18" s="299"/>
      <c r="EI18" s="299"/>
      <c r="EJ18" s="299"/>
      <c r="EK18" s="299"/>
      <c r="EL18" s="299"/>
      <c r="EM18" s="299"/>
      <c r="EN18" s="299"/>
      <c r="EO18" s="299"/>
      <c r="EP18" s="299"/>
      <c r="EQ18" s="299"/>
      <c r="ER18" s="299"/>
      <c r="ES18" s="299"/>
      <c r="ET18" s="299"/>
      <c r="EU18" s="299"/>
      <c r="EV18" s="299"/>
      <c r="EW18" s="299"/>
      <c r="EX18" s="299"/>
      <c r="EY18" s="299"/>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125"/>
      <c r="B19" s="39"/>
      <c r="C19" s="36">
        <f t="shared" si="9"/>
        <v>0</v>
      </c>
      <c r="D19" s="103" t="s">
        <v>731</v>
      </c>
      <c r="E19" s="36">
        <f t="shared" si="10"/>
        <v>0</v>
      </c>
      <c r="F19" s="126" t="s">
        <v>228</v>
      </c>
      <c r="G19" s="297"/>
      <c r="H19" s="297"/>
      <c r="I19" s="297"/>
      <c r="J19" s="297"/>
      <c r="K19" s="297"/>
      <c r="L19" s="297"/>
      <c r="M19" s="297"/>
      <c r="N19" s="301"/>
      <c r="O19" s="297"/>
      <c r="P19" s="297">
        <v>5.0538870708934008E-2</v>
      </c>
      <c r="Q19" s="301"/>
      <c r="R19" s="301"/>
      <c r="S19" s="297"/>
      <c r="T19" s="297"/>
      <c r="U19" s="297"/>
      <c r="V19" s="297"/>
      <c r="W19" s="297"/>
      <c r="X19" s="297"/>
      <c r="Y19" s="123"/>
      <c r="Z19" s="297"/>
      <c r="AA19" s="123"/>
      <c r="AB19" s="298"/>
      <c r="AC19" s="298"/>
      <c r="AD19" s="298"/>
      <c r="AE19" s="298"/>
      <c r="AF19" s="297"/>
      <c r="AG19" s="123"/>
      <c r="AH19" s="297"/>
      <c r="AI19" s="123"/>
      <c r="AJ19" s="123"/>
      <c r="AK19" s="297"/>
      <c r="AL19" s="298"/>
      <c r="AM19" s="297"/>
      <c r="AN19" s="297"/>
      <c r="AO19" s="297"/>
      <c r="AP19" s="297"/>
      <c r="AQ19" s="297"/>
      <c r="AR19" s="299"/>
      <c r="AS19" s="299"/>
      <c r="AT19" s="299"/>
      <c r="AU19" s="299"/>
      <c r="AV19" s="299"/>
      <c r="AW19" s="299"/>
      <c r="AX19" s="299">
        <v>-5.0538870708934001E-2</v>
      </c>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v>4.2115683475052752E-3</v>
      </c>
      <c r="BU19" s="299"/>
      <c r="BV19" s="299"/>
      <c r="BW19" s="299"/>
      <c r="BX19" s="299"/>
      <c r="BY19" s="299"/>
      <c r="BZ19" s="299"/>
      <c r="CA19" s="299"/>
      <c r="CB19" s="299"/>
      <c r="CC19" s="299"/>
      <c r="CD19" s="299"/>
      <c r="CE19" s="299"/>
      <c r="CF19" s="299"/>
      <c r="CG19" s="299"/>
      <c r="CH19" s="299"/>
      <c r="CI19" s="299"/>
      <c r="CJ19" s="299"/>
      <c r="CK19" s="299"/>
      <c r="CL19" s="299"/>
      <c r="CM19" s="299"/>
      <c r="CN19" s="299"/>
      <c r="CO19" s="299"/>
      <c r="CP19" s="299"/>
      <c r="CQ19" s="299"/>
      <c r="CR19" s="299"/>
      <c r="CS19" s="299"/>
      <c r="CT19" s="299"/>
      <c r="CU19" s="299"/>
      <c r="CV19" s="299"/>
      <c r="CW19" s="299"/>
      <c r="CX19" s="299"/>
      <c r="CY19" s="299"/>
      <c r="CZ19" s="299"/>
      <c r="DA19" s="299"/>
      <c r="DB19" s="299"/>
      <c r="DC19" s="299"/>
      <c r="DD19" s="299">
        <v>-4.2115683475052804E-3</v>
      </c>
      <c r="DE19" s="299"/>
      <c r="DF19" s="299"/>
      <c r="DG19" s="299"/>
      <c r="DH19" s="299"/>
      <c r="DI19" s="299"/>
      <c r="DJ19" s="299"/>
      <c r="DK19" s="299"/>
      <c r="DL19" s="299"/>
      <c r="DM19" s="299"/>
      <c r="DN19" s="299"/>
      <c r="DO19" s="299"/>
      <c r="DP19" s="299"/>
      <c r="DQ19" s="299"/>
      <c r="DR19" s="299"/>
      <c r="DS19" s="299"/>
      <c r="DT19" s="299"/>
      <c r="DU19" s="299"/>
      <c r="DV19" s="299"/>
      <c r="DW19" s="299"/>
      <c r="DX19" s="299"/>
      <c r="DY19" s="299"/>
      <c r="DZ19" s="299"/>
      <c r="EA19" s="299"/>
      <c r="EB19" s="299"/>
      <c r="EC19" s="299"/>
      <c r="ED19" s="299"/>
      <c r="EE19" s="299"/>
      <c r="EF19" s="299"/>
      <c r="EG19" s="299"/>
      <c r="EH19" s="299"/>
      <c r="EI19" s="299"/>
      <c r="EJ19" s="299"/>
      <c r="EK19" s="299"/>
      <c r="EL19" s="299"/>
      <c r="EM19" s="299"/>
      <c r="EN19" s="299"/>
      <c r="EO19" s="299"/>
      <c r="EP19" s="299"/>
      <c r="EQ19" s="299"/>
      <c r="ER19" s="299"/>
      <c r="ES19" s="299"/>
      <c r="ET19" s="299"/>
      <c r="EU19" s="299"/>
      <c r="EV19" s="299"/>
      <c r="EW19" s="299"/>
      <c r="EX19" s="299"/>
      <c r="EY19" s="299"/>
      <c r="EZ19" s="28"/>
      <c r="FA19" s="28"/>
      <c r="FB19" s="28"/>
      <c r="FC19" s="28"/>
      <c r="FD19" s="28"/>
      <c r="FE19" s="28"/>
      <c r="FF19" s="28"/>
      <c r="FG19" s="28"/>
      <c r="FH19" s="28"/>
      <c r="FI19" s="28"/>
      <c r="FJ19" s="28"/>
      <c r="FK19" s="28"/>
      <c r="FL19" s="28"/>
      <c r="FM19" s="28"/>
      <c r="FN19" s="28"/>
      <c r="FO19" s="28"/>
      <c r="FP19" s="28"/>
      <c r="FQ19" s="28"/>
      <c r="FR19" s="28"/>
      <c r="FS19" s="28"/>
      <c r="FT19" s="28"/>
      <c r="FU19" s="28"/>
      <c r="FV19" s="28"/>
    </row>
    <row r="20" spans="1:182" s="27" customFormat="1" x14ac:dyDescent="0.2">
      <c r="A20" s="125"/>
      <c r="B20" s="39"/>
      <c r="C20" s="86">
        <f t="shared" si="9"/>
        <v>0</v>
      </c>
      <c r="D20" s="103" t="s">
        <v>214</v>
      </c>
      <c r="E20" s="86">
        <f t="shared" si="10"/>
        <v>0</v>
      </c>
      <c r="F20" s="126" t="s">
        <v>228</v>
      </c>
      <c r="G20" s="297"/>
      <c r="H20" s="297"/>
      <c r="I20" s="297"/>
      <c r="J20" s="297"/>
      <c r="K20" s="297"/>
      <c r="L20" s="297"/>
      <c r="M20" s="297"/>
      <c r="N20" s="301"/>
      <c r="O20" s="297"/>
      <c r="P20" s="297"/>
      <c r="Q20" s="297">
        <v>5.0538870708934008E-2</v>
      </c>
      <c r="R20" s="301"/>
      <c r="S20" s="297"/>
      <c r="T20" s="297"/>
      <c r="U20" s="297"/>
      <c r="V20" s="297"/>
      <c r="W20" s="297"/>
      <c r="X20" s="297"/>
      <c r="Y20" s="123"/>
      <c r="Z20" s="297"/>
      <c r="AA20" s="123"/>
      <c r="AB20" s="123"/>
      <c r="AC20" s="123"/>
      <c r="AD20" s="123"/>
      <c r="AE20" s="123"/>
      <c r="AF20" s="297"/>
      <c r="AG20" s="123"/>
      <c r="AH20" s="297"/>
      <c r="AI20" s="123"/>
      <c r="AJ20" s="123"/>
      <c r="AK20" s="297"/>
      <c r="AL20" s="297"/>
      <c r="AM20" s="297"/>
      <c r="AN20" s="297"/>
      <c r="AO20" s="297"/>
      <c r="AP20" s="297"/>
      <c r="AQ20" s="297"/>
      <c r="AR20" s="299"/>
      <c r="AS20" s="299"/>
      <c r="AT20" s="299"/>
      <c r="AU20" s="299"/>
      <c r="AV20" s="299"/>
      <c r="AW20" s="299"/>
      <c r="AX20" s="299"/>
      <c r="AY20" s="299"/>
      <c r="AZ20" s="299"/>
      <c r="BA20" s="299"/>
      <c r="BB20" s="299"/>
      <c r="BC20" s="299"/>
      <c r="BD20" s="299"/>
      <c r="BE20" s="299"/>
      <c r="BF20" s="299"/>
      <c r="BG20" s="299"/>
      <c r="BH20" s="299"/>
      <c r="BI20" s="299"/>
      <c r="BJ20" s="299">
        <v>5.4956809481092099E-2</v>
      </c>
      <c r="BK20" s="299"/>
      <c r="BL20" s="299"/>
      <c r="BM20" s="299">
        <v>-1.2500000000000001E-2</v>
      </c>
      <c r="BN20" s="299">
        <v>-1.2500000000000001E-2</v>
      </c>
      <c r="BO20" s="299"/>
      <c r="BP20" s="299"/>
      <c r="BQ20" s="299"/>
      <c r="BR20" s="299">
        <v>4.2115683475052752E-3</v>
      </c>
      <c r="BS20" s="299"/>
      <c r="BT20" s="299"/>
      <c r="BU20" s="299"/>
      <c r="BV20" s="299"/>
      <c r="BW20" s="299"/>
      <c r="BX20" s="299"/>
      <c r="BY20" s="299">
        <v>-1.2500000000000001E-2</v>
      </c>
      <c r="BZ20" s="299">
        <v>-1.2500000000000001E-2</v>
      </c>
      <c r="CA20" s="299"/>
      <c r="CB20" s="299"/>
      <c r="CC20" s="299"/>
      <c r="CD20" s="299"/>
      <c r="CE20" s="299"/>
      <c r="CF20" s="299">
        <v>6.1063129366874299E-3</v>
      </c>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f>-(SUM(Q20,BJ20,BR20,CF20)+SUM(BM20:BN20)+SUM(BY20:BZ20))</f>
        <v>-6.5813561474218824E-2</v>
      </c>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8"/>
      <c r="FA20" s="28"/>
      <c r="FB20" s="28"/>
      <c r="FC20" s="28"/>
      <c r="FD20" s="28"/>
      <c r="FE20" s="28"/>
      <c r="FF20" s="28"/>
      <c r="FG20" s="28"/>
      <c r="FH20" s="28"/>
      <c r="FI20" s="28"/>
      <c r="FJ20" s="28"/>
      <c r="FK20" s="28"/>
      <c r="FL20" s="28"/>
      <c r="FM20" s="28"/>
      <c r="FN20" s="28"/>
      <c r="FO20" s="28"/>
      <c r="FP20" s="28"/>
      <c r="FQ20" s="28"/>
      <c r="FR20" s="28"/>
      <c r="FS20" s="28"/>
      <c r="FT20" s="28"/>
      <c r="FU20" s="28"/>
      <c r="FV20" s="28"/>
    </row>
    <row r="21" spans="1:182" s="27" customFormat="1" ht="24" x14ac:dyDescent="0.2">
      <c r="A21" s="125"/>
      <c r="B21" s="39"/>
      <c r="C21" s="36">
        <f t="shared" si="9"/>
        <v>3.9766005022201512E-5</v>
      </c>
      <c r="D21" s="4" t="s">
        <v>2715</v>
      </c>
      <c r="E21" s="36">
        <f t="shared" si="10"/>
        <v>2.4853753138875945E-7</v>
      </c>
      <c r="F21" s="126" t="s">
        <v>228</v>
      </c>
      <c r="G21" s="297"/>
      <c r="H21" s="297"/>
      <c r="I21" s="297"/>
      <c r="J21" s="297"/>
      <c r="K21" s="297"/>
      <c r="L21" s="297"/>
      <c r="M21" s="297"/>
      <c r="N21" s="297"/>
      <c r="O21" s="301"/>
      <c r="P21" s="123"/>
      <c r="Q21" s="297"/>
      <c r="R21" s="297">
        <v>5.0538870708934008E-2</v>
      </c>
      <c r="S21" s="297"/>
      <c r="T21" s="297"/>
      <c r="U21" s="297"/>
      <c r="V21" s="297"/>
      <c r="W21" s="297"/>
      <c r="X21" s="297"/>
      <c r="Y21" s="123"/>
      <c r="Z21" s="123"/>
      <c r="AA21" s="123"/>
      <c r="AB21" s="123"/>
      <c r="AC21" s="123"/>
      <c r="AD21" s="123"/>
      <c r="AE21" s="123"/>
      <c r="AF21" s="297"/>
      <c r="AG21" s="123"/>
      <c r="AH21" s="297"/>
      <c r="AI21" s="123"/>
      <c r="AJ21" s="297"/>
      <c r="AK21" s="297"/>
      <c r="AL21" s="297"/>
      <c r="AM21" s="297"/>
      <c r="AN21" s="297"/>
      <c r="AO21" s="297"/>
      <c r="AP21" s="297"/>
      <c r="AQ21" s="297"/>
      <c r="AR21" s="299"/>
      <c r="AS21" s="299"/>
      <c r="AT21" s="299"/>
      <c r="AU21" s="299"/>
      <c r="AV21" s="299"/>
      <c r="AW21" s="299"/>
      <c r="AX21" s="299"/>
      <c r="AY21" s="299"/>
      <c r="AZ21" s="299"/>
      <c r="BA21" s="299"/>
      <c r="BB21" s="299"/>
      <c r="BC21" s="299"/>
      <c r="BD21" s="299"/>
      <c r="BE21" s="299"/>
      <c r="BF21" s="299">
        <v>5.4956809481092099E-2</v>
      </c>
      <c r="BG21" s="299"/>
      <c r="BH21" s="299"/>
      <c r="BI21" s="299"/>
      <c r="BJ21" s="299"/>
      <c r="BK21" s="299">
        <v>0</v>
      </c>
      <c r="BL21" s="299"/>
      <c r="BM21" s="299"/>
      <c r="BN21" s="299"/>
      <c r="BO21" s="299"/>
      <c r="BP21" s="299">
        <v>4.2115683475052752E-3</v>
      </c>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v>-0.109707</v>
      </c>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125"/>
      <c r="B22" s="39"/>
      <c r="C22" s="86">
        <f t="shared" si="9"/>
        <v>0.60652107496177221</v>
      </c>
      <c r="D22" s="332" t="s">
        <v>2716</v>
      </c>
      <c r="E22" s="86">
        <f t="shared" si="10"/>
        <v>3.7907567185110763E-3</v>
      </c>
      <c r="F22" s="126" t="s">
        <v>228</v>
      </c>
      <c r="G22" s="298"/>
      <c r="H22" s="297"/>
      <c r="I22" s="297"/>
      <c r="J22" s="297"/>
      <c r="K22" s="297"/>
      <c r="L22" s="297"/>
      <c r="M22" s="297"/>
      <c r="N22" s="297"/>
      <c r="O22" s="301"/>
      <c r="P22" s="301"/>
      <c r="Q22" s="297"/>
      <c r="R22" s="297"/>
      <c r="S22" s="297">
        <v>5.0538870708934008E-2</v>
      </c>
      <c r="T22" s="297"/>
      <c r="U22" s="297"/>
      <c r="V22" s="297"/>
      <c r="W22" s="297">
        <v>-1.2634717677233501E-3</v>
      </c>
      <c r="X22" s="297">
        <v>-1.2634717677233501E-3</v>
      </c>
      <c r="Y22" s="123">
        <v>-1.2634717677233501E-3</v>
      </c>
      <c r="Z22" s="123"/>
      <c r="AA22" s="123"/>
      <c r="AB22" s="123">
        <v>-3.7904153031700504E-3</v>
      </c>
      <c r="AC22" s="123"/>
      <c r="AD22" s="123"/>
      <c r="AE22" s="123"/>
      <c r="AF22" s="297"/>
      <c r="AG22" s="123"/>
      <c r="AH22" s="298"/>
      <c r="AI22" s="123">
        <v>-1.2634717677233501E-3</v>
      </c>
      <c r="AJ22" s="297"/>
      <c r="AK22" s="297">
        <v>-1.2634717677233501E-3</v>
      </c>
      <c r="AL22" s="297">
        <v>-2.5269435354467002E-3</v>
      </c>
      <c r="AM22" s="297">
        <v>-3.7904153031700504E-3</v>
      </c>
      <c r="AN22" s="297">
        <v>-6.317358838616751E-3</v>
      </c>
      <c r="AO22" s="297">
        <v>-2.5269435354467002E-3</v>
      </c>
      <c r="AP22" s="297">
        <v>-1.2634717677233501E-3</v>
      </c>
      <c r="AQ22" s="297"/>
      <c r="AR22" s="299"/>
      <c r="AS22" s="299">
        <f>3/791.47</f>
        <v>3.7904153031700504E-3</v>
      </c>
      <c r="AT22" s="299"/>
      <c r="AU22" s="299"/>
      <c r="AV22" s="299"/>
      <c r="AW22" s="299"/>
      <c r="AX22" s="299"/>
      <c r="AY22" s="299"/>
      <c r="AZ22" s="299"/>
      <c r="BA22" s="299"/>
      <c r="BB22" s="299"/>
      <c r="BC22" s="299">
        <v>5.4956809481092099E-2</v>
      </c>
      <c r="BD22" s="299"/>
      <c r="BE22" s="299"/>
      <c r="BF22" s="299"/>
      <c r="BG22" s="299"/>
      <c r="BH22" s="299"/>
      <c r="BI22" s="299"/>
      <c r="BJ22" s="299"/>
      <c r="BK22" s="299"/>
      <c r="BL22" s="299"/>
      <c r="BM22" s="299"/>
      <c r="BN22" s="299"/>
      <c r="BO22" s="299"/>
      <c r="BP22" s="299"/>
      <c r="BQ22" s="299"/>
      <c r="BR22" s="299"/>
      <c r="BS22" s="299"/>
      <c r="BT22" s="299"/>
      <c r="BU22" s="299">
        <v>4.2115683475052752E-3</v>
      </c>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v>-8.3173999999999998E-2</v>
      </c>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9"/>
        <v>15.90214855901044</v>
      </c>
      <c r="D23" s="4" t="s">
        <v>353</v>
      </c>
      <c r="E23" s="86">
        <f t="shared" si="10"/>
        <v>9.9388428493815253E-2</v>
      </c>
      <c r="F23" s="126" t="s">
        <v>228</v>
      </c>
      <c r="G23" s="297"/>
      <c r="H23" s="297"/>
      <c r="I23" s="297"/>
      <c r="J23" s="297"/>
      <c r="K23" s="297"/>
      <c r="L23" s="297"/>
      <c r="M23" s="297"/>
      <c r="N23" s="301"/>
      <c r="O23" s="301"/>
      <c r="P23" s="301"/>
      <c r="Q23" s="297"/>
      <c r="R23" s="297"/>
      <c r="S23" s="297"/>
      <c r="T23" s="297">
        <v>5.0538870708934008E-2</v>
      </c>
      <c r="U23" s="297">
        <v>-1.26347176772335E-2</v>
      </c>
      <c r="V23" s="297"/>
      <c r="W23" s="297"/>
      <c r="X23" s="297"/>
      <c r="Y23" s="123"/>
      <c r="Z23" s="123"/>
      <c r="AA23" s="123"/>
      <c r="AB23" s="123"/>
      <c r="AC23" s="123"/>
      <c r="AD23" s="123"/>
      <c r="AE23" s="123"/>
      <c r="AF23" s="297"/>
      <c r="AG23" s="123"/>
      <c r="AH23" s="297">
        <v>-1.2634717677233501E-3</v>
      </c>
      <c r="AI23" s="123"/>
      <c r="AJ23" s="297">
        <v>-2.5269435354467002E-3</v>
      </c>
      <c r="AK23" s="297"/>
      <c r="AL23" s="297"/>
      <c r="AM23" s="298"/>
      <c r="AN23" s="297"/>
      <c r="AO23" s="297"/>
      <c r="AP23" s="297"/>
      <c r="AQ23" s="297"/>
      <c r="AR23" s="299"/>
      <c r="AS23" s="299"/>
      <c r="AT23" s="299"/>
      <c r="AU23" s="299"/>
      <c r="AV23" s="299"/>
      <c r="AW23" s="299"/>
      <c r="AX23" s="299"/>
      <c r="AY23" s="299"/>
      <c r="AZ23" s="299"/>
      <c r="BA23" s="299"/>
      <c r="BB23" s="299"/>
      <c r="BC23" s="299"/>
      <c r="BD23" s="299"/>
      <c r="BE23" s="299"/>
      <c r="BF23" s="299"/>
      <c r="BG23" s="299">
        <v>5.4956809481092099E-2</v>
      </c>
      <c r="BH23" s="299"/>
      <c r="BI23" s="299"/>
      <c r="BJ23" s="299"/>
      <c r="BK23" s="299"/>
      <c r="BL23" s="299"/>
      <c r="BM23" s="299"/>
      <c r="BN23" s="299"/>
      <c r="BO23" s="299">
        <v>4.2115683475052752E-3</v>
      </c>
      <c r="BP23" s="299"/>
      <c r="BQ23" s="299"/>
      <c r="BR23" s="299"/>
      <c r="BS23" s="299"/>
      <c r="BT23" s="299"/>
      <c r="BU23" s="299"/>
      <c r="BV23" s="299"/>
      <c r="BW23" s="299"/>
      <c r="BX23" s="299"/>
      <c r="BY23" s="299"/>
      <c r="BZ23" s="299"/>
      <c r="CA23" s="299"/>
      <c r="CB23" s="299"/>
      <c r="CC23" s="299"/>
      <c r="CD23" s="299"/>
      <c r="CE23" s="299"/>
      <c r="CF23" s="299"/>
      <c r="CG23" s="299"/>
      <c r="CH23" s="299"/>
      <c r="CI23" s="299"/>
      <c r="CJ23" s="299">
        <v>6.1063129366874299E-3</v>
      </c>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ht="36" x14ac:dyDescent="0.2">
      <c r="A24" s="125" t="s">
        <v>2717</v>
      </c>
      <c r="B24" s="39"/>
      <c r="C24" s="86">
        <f t="shared" si="9"/>
        <v>0</v>
      </c>
      <c r="D24" s="103" t="s">
        <v>763</v>
      </c>
      <c r="E24" s="86">
        <f t="shared" si="10"/>
        <v>0</v>
      </c>
      <c r="F24" s="126" t="s">
        <v>228</v>
      </c>
      <c r="G24" s="297"/>
      <c r="H24" s="297"/>
      <c r="I24" s="297"/>
      <c r="J24" s="297"/>
      <c r="K24" s="297"/>
      <c r="L24" s="297"/>
      <c r="M24" s="297"/>
      <c r="N24" s="301"/>
      <c r="O24" s="301"/>
      <c r="P24" s="301"/>
      <c r="Q24" s="297"/>
      <c r="R24" s="297"/>
      <c r="S24" s="297"/>
      <c r="T24" s="297"/>
      <c r="U24" s="297">
        <v>1.26347176772335E-2</v>
      </c>
      <c r="V24" s="297"/>
      <c r="W24" s="297"/>
      <c r="X24" s="297"/>
      <c r="Y24" s="123"/>
      <c r="Z24" s="123"/>
      <c r="AA24" s="123"/>
      <c r="AB24" s="123"/>
      <c r="AC24" s="123"/>
      <c r="AD24" s="123"/>
      <c r="AE24" s="123"/>
      <c r="AF24" s="297"/>
      <c r="AG24" s="123"/>
      <c r="AH24" s="298"/>
      <c r="AI24" s="123"/>
      <c r="AJ24" s="297"/>
      <c r="AK24" s="297"/>
      <c r="AL24" s="297"/>
      <c r="AM24" s="298"/>
      <c r="AN24" s="297"/>
      <c r="AO24" s="297"/>
      <c r="AP24" s="297"/>
      <c r="AQ24" s="297"/>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v>-1.26347176772335E-2</v>
      </c>
      <c r="CD24" s="299">
        <v>0</v>
      </c>
      <c r="CE24" s="299"/>
      <c r="CF24" s="299"/>
      <c r="CG24" s="299"/>
      <c r="CH24" s="299"/>
      <c r="CI24" s="299"/>
      <c r="CJ24" s="299"/>
      <c r="CK24" s="299"/>
      <c r="CL24" s="299">
        <v>0</v>
      </c>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9"/>
        <v>0</v>
      </c>
      <c r="D25" s="3" t="s">
        <v>357</v>
      </c>
      <c r="E25" s="86">
        <f t="shared" si="10"/>
        <v>0</v>
      </c>
      <c r="F25" s="126" t="s">
        <v>228</v>
      </c>
      <c r="G25" s="297"/>
      <c r="H25" s="297"/>
      <c r="I25" s="297"/>
      <c r="J25" s="297"/>
      <c r="K25" s="297"/>
      <c r="L25" s="297"/>
      <c r="M25" s="297"/>
      <c r="N25" s="297"/>
      <c r="O25" s="297"/>
      <c r="P25" s="123"/>
      <c r="Q25" s="301"/>
      <c r="R25" s="297"/>
      <c r="S25" s="297"/>
      <c r="T25" s="297"/>
      <c r="U25" s="297"/>
      <c r="V25" s="297"/>
      <c r="W25" s="297">
        <v>1.2634717677233501E-3</v>
      </c>
      <c r="X25" s="297"/>
      <c r="Y25" s="123"/>
      <c r="Z25" s="123"/>
      <c r="AA25" s="123"/>
      <c r="AB25" s="123"/>
      <c r="AC25" s="123"/>
      <c r="AD25" s="6"/>
      <c r="AE25" s="123"/>
      <c r="AF25" s="297"/>
      <c r="AG25" s="123"/>
      <c r="AH25" s="297"/>
      <c r="AI25" s="123"/>
      <c r="AJ25" s="297"/>
      <c r="AK25" s="297"/>
      <c r="AL25" s="297"/>
      <c r="AM25" s="298"/>
      <c r="AN25" s="297"/>
      <c r="AO25" s="297"/>
      <c r="AP25" s="297"/>
      <c r="AQ25" s="297">
        <v>-7.5808306063401007E-3</v>
      </c>
      <c r="AR25" s="299">
        <v>-1.2634717677233501E-3</v>
      </c>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v>7.5808306063400999E-3</v>
      </c>
      <c r="CS25" s="299">
        <v>1.2634717677233499E-3</v>
      </c>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f>-SUM(G25:EC25)</f>
        <v>-1.2634717677233482E-3</v>
      </c>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9"/>
        <v>7.5482835735982134E-5</v>
      </c>
      <c r="D26" s="334" t="s">
        <v>838</v>
      </c>
      <c r="E26" s="86">
        <f t="shared" si="10"/>
        <v>4.7176772334988834E-7</v>
      </c>
      <c r="F26" s="126" t="s">
        <v>228</v>
      </c>
      <c r="G26" s="297"/>
      <c r="H26" s="297"/>
      <c r="I26" s="297"/>
      <c r="J26" s="297"/>
      <c r="K26" s="297"/>
      <c r="L26" s="297"/>
      <c r="M26" s="297"/>
      <c r="N26" s="297"/>
      <c r="O26" s="297"/>
      <c r="P26" s="123"/>
      <c r="Q26" s="301"/>
      <c r="R26" s="297"/>
      <c r="S26" s="297"/>
      <c r="T26" s="297"/>
      <c r="U26" s="297"/>
      <c r="V26" s="297"/>
      <c r="W26" s="297"/>
      <c r="X26" s="297">
        <v>1.2634717677233501E-3</v>
      </c>
      <c r="Y26" s="123"/>
      <c r="Z26" s="123"/>
      <c r="AA26" s="123"/>
      <c r="AB26" s="123"/>
      <c r="AC26" s="123"/>
      <c r="AD26" s="5"/>
      <c r="AE26" s="123"/>
      <c r="AF26" s="297"/>
      <c r="AG26" s="123"/>
      <c r="AH26" s="297"/>
      <c r="AI26" s="123"/>
      <c r="AJ26" s="297"/>
      <c r="AK26" s="297"/>
      <c r="AL26" s="297"/>
      <c r="AM26" s="298"/>
      <c r="AN26" s="297"/>
      <c r="AO26" s="297"/>
      <c r="AP26" s="297"/>
      <c r="AQ26" s="297"/>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299"/>
      <c r="CM26" s="299"/>
      <c r="CN26" s="299"/>
      <c r="CO26" s="299"/>
      <c r="CP26" s="299"/>
      <c r="CQ26" s="299"/>
      <c r="CR26" s="299"/>
      <c r="CS26" s="299"/>
      <c r="CT26" s="299"/>
      <c r="CU26" s="299"/>
      <c r="CV26" s="299"/>
      <c r="CW26" s="299"/>
      <c r="CX26" s="299"/>
      <c r="CY26" s="299"/>
      <c r="CZ26" s="299"/>
      <c r="DA26" s="299"/>
      <c r="DB26" s="299"/>
      <c r="DC26" s="299"/>
      <c r="DD26" s="299"/>
      <c r="DE26" s="299"/>
      <c r="DF26" s="299"/>
      <c r="DG26" s="299"/>
      <c r="DH26" s="299"/>
      <c r="DI26" s="299"/>
      <c r="DJ26" s="299"/>
      <c r="DK26" s="299"/>
      <c r="DL26" s="299"/>
      <c r="DM26" s="299"/>
      <c r="DN26" s="299"/>
      <c r="DO26" s="299"/>
      <c r="DP26" s="299"/>
      <c r="DQ26" s="299"/>
      <c r="DR26" s="299"/>
      <c r="DS26" s="299"/>
      <c r="DT26" s="299"/>
      <c r="DU26" s="299"/>
      <c r="DV26" s="299"/>
      <c r="DW26" s="299"/>
      <c r="DX26" s="299"/>
      <c r="DY26" s="299"/>
      <c r="DZ26" s="299"/>
      <c r="EA26" s="299"/>
      <c r="EB26" s="299"/>
      <c r="EC26" s="299"/>
      <c r="ED26" s="299"/>
      <c r="EE26" s="299"/>
      <c r="EF26" s="299"/>
      <c r="EG26" s="299"/>
      <c r="EH26" s="299"/>
      <c r="EI26" s="299"/>
      <c r="EJ26" s="299"/>
      <c r="EK26" s="299"/>
      <c r="EL26" s="299"/>
      <c r="EM26" s="299"/>
      <c r="EN26" s="299">
        <v>1.263E-3</v>
      </c>
      <c r="EO26" s="299"/>
      <c r="EP26" s="299"/>
      <c r="EQ26" s="299"/>
      <c r="ER26" s="299"/>
      <c r="ES26" s="299">
        <v>-2.526E-3</v>
      </c>
      <c r="ET26" s="299"/>
      <c r="EU26" s="299"/>
      <c r="EV26" s="299"/>
      <c r="EW26" s="299"/>
      <c r="EX26" s="299"/>
      <c r="EY26" s="299"/>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9"/>
        <v>7.5482835736016829E-5</v>
      </c>
      <c r="D27" s="3" t="s">
        <v>329</v>
      </c>
      <c r="E27" s="36">
        <f t="shared" si="10"/>
        <v>4.7176772335010518E-7</v>
      </c>
      <c r="F27" s="126" t="s">
        <v>228</v>
      </c>
      <c r="G27" s="297"/>
      <c r="H27" s="297"/>
      <c r="I27" s="297"/>
      <c r="J27" s="297"/>
      <c r="K27" s="297"/>
      <c r="L27" s="297"/>
      <c r="M27" s="297"/>
      <c r="N27" s="297"/>
      <c r="O27" s="297"/>
      <c r="P27" s="123"/>
      <c r="Q27" s="301"/>
      <c r="R27" s="297"/>
      <c r="S27" s="297"/>
      <c r="T27" s="297"/>
      <c r="U27" s="297"/>
      <c r="V27" s="297"/>
      <c r="W27" s="297"/>
      <c r="X27" s="297"/>
      <c r="Y27" s="123">
        <v>1.2634717677233501E-3</v>
      </c>
      <c r="Z27" s="123"/>
      <c r="AA27" s="123"/>
      <c r="AB27" s="123"/>
      <c r="AC27" s="123"/>
      <c r="AD27" s="5"/>
      <c r="AE27" s="123"/>
      <c r="AF27" s="297"/>
      <c r="AG27" s="123"/>
      <c r="AH27" s="297"/>
      <c r="AI27" s="123"/>
      <c r="AJ27" s="297"/>
      <c r="AK27" s="297"/>
      <c r="AL27" s="297"/>
      <c r="AM27" s="298"/>
      <c r="AN27" s="297"/>
      <c r="AO27" s="297"/>
      <c r="AP27" s="297"/>
      <c r="AQ27" s="297"/>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v>-1.263E-3</v>
      </c>
      <c r="EK27" s="299"/>
      <c r="EL27" s="299"/>
      <c r="EM27" s="299"/>
      <c r="EN27" s="299"/>
      <c r="EO27" s="299"/>
      <c r="EP27" s="299"/>
      <c r="EQ27" s="299"/>
      <c r="ER27" s="299"/>
      <c r="ES27" s="299"/>
      <c r="ET27" s="299"/>
      <c r="EU27" s="299"/>
      <c r="EV27" s="299"/>
      <c r="EW27" s="299"/>
      <c r="EX27" s="299"/>
      <c r="EY27" s="299"/>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row>
    <row r="28" spans="1:182" s="27" customFormat="1" ht="72" x14ac:dyDescent="0.2">
      <c r="A28" s="125" t="s">
        <v>2718</v>
      </c>
      <c r="B28" s="39"/>
      <c r="C28" s="36">
        <f t="shared" si="9"/>
        <v>1.6176924457022981</v>
      </c>
      <c r="D28" s="3" t="s">
        <v>855</v>
      </c>
      <c r="E28" s="36">
        <f t="shared" si="10"/>
        <v>1.0110577785639363E-2</v>
      </c>
      <c r="F28" s="126" t="s">
        <v>228</v>
      </c>
      <c r="G28" s="297"/>
      <c r="H28" s="297"/>
      <c r="I28" s="297"/>
      <c r="J28" s="297"/>
      <c r="K28" s="297"/>
      <c r="L28" s="297"/>
      <c r="M28" s="297"/>
      <c r="N28" s="297"/>
      <c r="O28" s="297"/>
      <c r="P28" s="123"/>
      <c r="Q28" s="297"/>
      <c r="R28" s="301"/>
      <c r="S28" s="301"/>
      <c r="T28" s="301"/>
      <c r="U28" s="301"/>
      <c r="V28" s="301"/>
      <c r="W28" s="297"/>
      <c r="X28" s="297"/>
      <c r="Y28" s="123"/>
      <c r="Z28" s="123">
        <v>5.0538870708934001E-2</v>
      </c>
      <c r="AA28" s="123">
        <v>-3.7904153031700504E-3</v>
      </c>
      <c r="AB28" s="123"/>
      <c r="AC28" s="123"/>
      <c r="AD28" s="5"/>
      <c r="AE28" s="123"/>
      <c r="AF28" s="297"/>
      <c r="AG28" s="123"/>
      <c r="AH28" s="297"/>
      <c r="AI28" s="123"/>
      <c r="AJ28" s="297"/>
      <c r="AK28" s="297"/>
      <c r="AL28" s="297"/>
      <c r="AM28" s="298"/>
      <c r="AN28" s="297"/>
      <c r="AO28" s="297"/>
      <c r="AP28" s="297"/>
      <c r="AQ28" s="297"/>
      <c r="AR28" s="299"/>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299"/>
      <c r="CA28" s="299"/>
      <c r="CB28" s="299"/>
      <c r="CC28" s="299"/>
      <c r="CD28" s="299"/>
      <c r="CE28" s="299">
        <v>-6.1063129366874299E-3</v>
      </c>
      <c r="CF28" s="299">
        <v>-6.1063129366874299E-3</v>
      </c>
      <c r="CG28" s="299">
        <v>-6.1063129366874299E-3</v>
      </c>
      <c r="CH28" s="299">
        <v>-6.1063129366874299E-3</v>
      </c>
      <c r="CI28" s="299">
        <v>-6.1063129366874299E-3</v>
      </c>
      <c r="CJ28" s="299">
        <v>-6.1063129366874299E-3</v>
      </c>
      <c r="CK28" s="299"/>
      <c r="CL28" s="299"/>
      <c r="CM28" s="299"/>
      <c r="CN28" s="299"/>
      <c r="CO28" s="299"/>
      <c r="CP28" s="299"/>
      <c r="CQ28" s="299"/>
      <c r="CR28" s="299"/>
      <c r="CS28" s="299"/>
      <c r="CT28" s="299"/>
      <c r="CU28" s="299"/>
      <c r="CV28" s="299"/>
      <c r="CW28" s="299"/>
      <c r="CX28" s="299"/>
      <c r="CY28" s="299"/>
      <c r="CZ28" s="299"/>
      <c r="DA28" s="299"/>
      <c r="DB28" s="299"/>
      <c r="DC28" s="299"/>
      <c r="DD28" s="299"/>
      <c r="DE28" s="299"/>
      <c r="DF28" s="299"/>
      <c r="DG28" s="299"/>
      <c r="DH28" s="299"/>
      <c r="DI28" s="299"/>
      <c r="DJ28" s="299"/>
      <c r="DK28" s="299"/>
      <c r="DL28" s="299"/>
      <c r="DM28" s="299"/>
      <c r="DN28" s="299"/>
      <c r="DO28" s="299"/>
      <c r="DP28" s="299"/>
      <c r="DQ28" s="299"/>
      <c r="DR28" s="299"/>
      <c r="DS28" s="299"/>
      <c r="DT28" s="299"/>
      <c r="DU28" s="299"/>
      <c r="DV28" s="299"/>
      <c r="DW28" s="299"/>
      <c r="DX28" s="299"/>
      <c r="DY28" s="299"/>
      <c r="DZ28" s="299"/>
      <c r="EA28" s="299"/>
      <c r="EB28" s="299"/>
      <c r="EC28" s="299"/>
      <c r="ED28" s="299"/>
      <c r="EE28" s="299"/>
      <c r="EF28" s="299"/>
      <c r="EG28" s="299"/>
      <c r="EH28" s="299"/>
      <c r="EI28" s="299"/>
      <c r="EJ28" s="299"/>
      <c r="EK28" s="299"/>
      <c r="EL28" s="299"/>
      <c r="EM28" s="299"/>
      <c r="EN28" s="299"/>
      <c r="EO28" s="299"/>
      <c r="EP28" s="299"/>
      <c r="EQ28" s="299"/>
      <c r="ER28" s="299"/>
      <c r="ES28" s="299"/>
      <c r="ET28" s="299"/>
      <c r="EU28" s="299"/>
      <c r="EV28" s="299"/>
      <c r="EW28" s="299"/>
      <c r="EX28" s="299"/>
      <c r="EY28" s="299"/>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row>
    <row r="29" spans="1:182" s="27" customFormat="1" x14ac:dyDescent="0.2">
      <c r="A29" s="125"/>
      <c r="B29" s="39"/>
      <c r="C29" s="86">
        <f t="shared" si="9"/>
        <v>0</v>
      </c>
      <c r="D29" s="103" t="s">
        <v>850</v>
      </c>
      <c r="E29" s="86">
        <f t="shared" si="10"/>
        <v>0</v>
      </c>
      <c r="F29" s="126" t="s">
        <v>228</v>
      </c>
      <c r="G29" s="297"/>
      <c r="H29" s="297"/>
      <c r="I29" s="297"/>
      <c r="J29" s="297"/>
      <c r="K29" s="297"/>
      <c r="L29" s="297"/>
      <c r="M29" s="297"/>
      <c r="N29" s="123"/>
      <c r="O29" s="297"/>
      <c r="P29" s="123"/>
      <c r="Q29" s="301"/>
      <c r="R29" s="301"/>
      <c r="S29" s="301"/>
      <c r="T29" s="297"/>
      <c r="U29" s="297"/>
      <c r="V29" s="297"/>
      <c r="W29" s="297"/>
      <c r="X29" s="297"/>
      <c r="Y29" s="123"/>
      <c r="Z29" s="123"/>
      <c r="AA29" s="123">
        <v>3.7904153031700504E-3</v>
      </c>
      <c r="AB29" s="123">
        <v>3.7904153031700504E-3</v>
      </c>
      <c r="AC29" s="123">
        <v>-1.2634717677233501E-3</v>
      </c>
      <c r="AD29" s="5">
        <v>-1.2634717677233501E-3</v>
      </c>
      <c r="AE29" s="123">
        <v>-1.2634717677233501E-3</v>
      </c>
      <c r="AF29" s="297">
        <v>-1.2634717677233501E-3</v>
      </c>
      <c r="AG29" s="123">
        <v>-2.5269435354467002E-3</v>
      </c>
      <c r="AH29" s="297"/>
      <c r="AI29" s="123"/>
      <c r="AJ29" s="297"/>
      <c r="AK29" s="297"/>
      <c r="AL29" s="297"/>
      <c r="AM29" s="297"/>
      <c r="AN29" s="297"/>
      <c r="AO29" s="297"/>
      <c r="AP29" s="297"/>
      <c r="AQ29" s="297"/>
      <c r="AR29" s="299"/>
      <c r="AS29" s="299"/>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c r="CE29" s="302"/>
      <c r="CF29" s="302"/>
      <c r="CG29" s="302"/>
      <c r="CH29" s="302"/>
      <c r="CI29" s="302"/>
      <c r="CJ29" s="302"/>
      <c r="CK29" s="302"/>
      <c r="CL29" s="302"/>
      <c r="CM29" s="302"/>
      <c r="CN29" s="302"/>
      <c r="CO29" s="302"/>
      <c r="CP29" s="302"/>
      <c r="CQ29" s="302"/>
      <c r="CR29" s="302"/>
      <c r="CS29" s="302"/>
      <c r="CT29" s="302"/>
      <c r="CU29" s="302"/>
      <c r="CV29" s="302"/>
      <c r="CW29" s="302"/>
      <c r="CX29" s="302"/>
      <c r="CY29" s="302"/>
      <c r="CZ29" s="302"/>
      <c r="DA29" s="302"/>
      <c r="DB29" s="302"/>
      <c r="DC29" s="302"/>
      <c r="DD29" s="302"/>
      <c r="DE29" s="302"/>
      <c r="DF29" s="302"/>
      <c r="DG29" s="302"/>
      <c r="DH29" s="302"/>
      <c r="DI29" s="302"/>
      <c r="DJ29" s="302"/>
      <c r="DK29" s="302"/>
      <c r="DL29" s="302"/>
      <c r="DM29" s="302"/>
      <c r="DN29" s="302"/>
      <c r="DO29" s="302"/>
      <c r="DP29" s="302"/>
      <c r="DQ29" s="302"/>
      <c r="DR29" s="302"/>
      <c r="DS29" s="302"/>
      <c r="DT29" s="302"/>
      <c r="DU29" s="302"/>
      <c r="DV29" s="302"/>
      <c r="DW29" s="302"/>
      <c r="DX29" s="302"/>
      <c r="DY29" s="302"/>
      <c r="DZ29" s="302"/>
      <c r="EA29" s="302"/>
      <c r="EB29" s="302"/>
      <c r="EC29" s="302"/>
      <c r="ED29" s="302"/>
      <c r="EE29" s="302"/>
      <c r="EF29" s="302"/>
      <c r="EG29" s="302"/>
      <c r="EH29" s="302"/>
      <c r="EI29" s="302"/>
      <c r="EJ29" s="302"/>
      <c r="EK29" s="302"/>
      <c r="EL29" s="302"/>
      <c r="EM29" s="302"/>
      <c r="EN29" s="302"/>
      <c r="EO29" s="302"/>
      <c r="EP29" s="302"/>
      <c r="EQ29" s="302"/>
      <c r="ER29" s="302"/>
      <c r="ES29" s="302"/>
      <c r="ET29" s="302"/>
      <c r="EU29" s="302"/>
      <c r="EV29" s="302"/>
      <c r="EW29" s="302"/>
      <c r="EX29" s="302"/>
      <c r="EY29" s="302"/>
    </row>
    <row r="30" spans="1:182" s="27" customFormat="1" x14ac:dyDescent="0.2">
      <c r="A30" s="125"/>
      <c r="B30" s="39"/>
      <c r="C30" s="36">
        <f t="shared" si="9"/>
        <v>7.5482835736016829E-5</v>
      </c>
      <c r="D30" s="4" t="s">
        <v>863</v>
      </c>
      <c r="E30" s="36">
        <f t="shared" si="10"/>
        <v>4.7176772335010518E-7</v>
      </c>
      <c r="F30" s="126" t="s">
        <v>228</v>
      </c>
      <c r="G30" s="297"/>
      <c r="H30" s="297"/>
      <c r="I30" s="297"/>
      <c r="J30" s="297"/>
      <c r="K30" s="297"/>
      <c r="L30" s="297"/>
      <c r="M30" s="297"/>
      <c r="N30" s="123"/>
      <c r="O30" s="297"/>
      <c r="P30" s="123"/>
      <c r="Q30" s="301"/>
      <c r="R30" s="301"/>
      <c r="S30" s="297"/>
      <c r="T30" s="301"/>
      <c r="U30" s="297"/>
      <c r="V30" s="297"/>
      <c r="W30" s="297"/>
      <c r="X30" s="297"/>
      <c r="Y30" s="123"/>
      <c r="Z30" s="123"/>
      <c r="AA30" s="123"/>
      <c r="AB30" s="123"/>
      <c r="AC30" s="123">
        <v>1.2634717677233501E-3</v>
      </c>
      <c r="AD30" s="118"/>
      <c r="AE30" s="123"/>
      <c r="AF30" s="297"/>
      <c r="AG30" s="123"/>
      <c r="AH30" s="297"/>
      <c r="AI30" s="123"/>
      <c r="AJ30" s="297"/>
      <c r="AK30" s="297"/>
      <c r="AL30" s="297"/>
      <c r="AM30" s="297"/>
      <c r="AN30" s="297"/>
      <c r="AO30" s="297"/>
      <c r="AP30" s="297"/>
      <c r="AQ30" s="297"/>
      <c r="AR30" s="299"/>
      <c r="AS30" s="299"/>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c r="CE30" s="302"/>
      <c r="CF30" s="302"/>
      <c r="CG30" s="302"/>
      <c r="CH30" s="302"/>
      <c r="CI30" s="302"/>
      <c r="CJ30" s="302"/>
      <c r="CK30" s="302"/>
      <c r="CL30" s="302"/>
      <c r="CM30" s="302"/>
      <c r="CN30" s="302"/>
      <c r="CO30" s="302"/>
      <c r="CP30" s="302"/>
      <c r="CQ30" s="302"/>
      <c r="CR30" s="302"/>
      <c r="CS30" s="302"/>
      <c r="CT30" s="302"/>
      <c r="CU30" s="302"/>
      <c r="CV30" s="302"/>
      <c r="CW30" s="302"/>
      <c r="CX30" s="302"/>
      <c r="CY30" s="302"/>
      <c r="CZ30" s="302"/>
      <c r="DA30" s="302"/>
      <c r="DB30" s="302"/>
      <c r="DC30" s="302"/>
      <c r="DD30" s="302"/>
      <c r="DE30" s="302"/>
      <c r="DF30" s="302"/>
      <c r="DG30" s="302"/>
      <c r="DH30" s="302"/>
      <c r="DI30" s="302"/>
      <c r="DJ30" s="302"/>
      <c r="DK30" s="302"/>
      <c r="DL30" s="302"/>
      <c r="DM30" s="302"/>
      <c r="DN30" s="302"/>
      <c r="DO30" s="302"/>
      <c r="DP30" s="302"/>
      <c r="DQ30" s="302"/>
      <c r="DR30" s="302"/>
      <c r="DS30" s="302"/>
      <c r="DT30" s="302"/>
      <c r="DU30" s="302"/>
      <c r="DV30" s="302"/>
      <c r="DW30" s="302"/>
      <c r="DX30" s="302"/>
      <c r="DY30" s="302"/>
      <c r="DZ30" s="302"/>
      <c r="EA30" s="302"/>
      <c r="EB30" s="302"/>
      <c r="EC30" s="302"/>
      <c r="ED30" s="302"/>
      <c r="EE30" s="302"/>
      <c r="EF30" s="302"/>
      <c r="EG30" s="302"/>
      <c r="EH30" s="302"/>
      <c r="EI30" s="302"/>
      <c r="EJ30" s="302"/>
      <c r="EK30" s="302"/>
      <c r="EL30" s="302"/>
      <c r="EM30" s="302"/>
      <c r="EN30" s="302">
        <v>-1.263E-3</v>
      </c>
      <c r="EO30" s="302"/>
      <c r="EP30" s="302"/>
      <c r="EQ30" s="302"/>
      <c r="ER30" s="302"/>
      <c r="ES30" s="302"/>
      <c r="ET30" s="302"/>
      <c r="EU30" s="302"/>
      <c r="EV30" s="302"/>
      <c r="EW30" s="302"/>
      <c r="EX30" s="302"/>
      <c r="EY30" s="302"/>
    </row>
    <row r="31" spans="1:182" s="27" customFormat="1" x14ac:dyDescent="0.2">
      <c r="A31" s="125"/>
      <c r="B31" s="39"/>
      <c r="C31" s="86">
        <f t="shared" si="9"/>
        <v>0.20215548283573603</v>
      </c>
      <c r="D31" s="3" t="s">
        <v>866</v>
      </c>
      <c r="E31" s="86">
        <f t="shared" si="10"/>
        <v>1.2634717677233501E-3</v>
      </c>
      <c r="F31" s="126" t="s">
        <v>228</v>
      </c>
      <c r="G31" s="297"/>
      <c r="H31" s="297"/>
      <c r="I31" s="297"/>
      <c r="J31" s="297"/>
      <c r="K31" s="297"/>
      <c r="L31" s="297"/>
      <c r="M31" s="297"/>
      <c r="N31" s="123"/>
      <c r="O31" s="297"/>
      <c r="P31" s="123"/>
      <c r="Q31" s="301"/>
      <c r="R31" s="301"/>
      <c r="S31" s="297"/>
      <c r="T31" s="297"/>
      <c r="U31" s="301"/>
      <c r="V31" s="297"/>
      <c r="W31" s="297"/>
      <c r="X31" s="297"/>
      <c r="Y31" s="123"/>
      <c r="Z31" s="123"/>
      <c r="AA31" s="123"/>
      <c r="AB31" s="123"/>
      <c r="AC31" s="123"/>
      <c r="AD31" s="118">
        <v>1.2634717677233501E-3</v>
      </c>
      <c r="AE31" s="123"/>
      <c r="AF31" s="297"/>
      <c r="AG31" s="123"/>
      <c r="AH31" s="297"/>
      <c r="AI31" s="123"/>
      <c r="AJ31" s="297"/>
      <c r="AK31" s="297"/>
      <c r="AL31" s="297"/>
      <c r="AM31" s="297"/>
      <c r="AN31" s="297"/>
      <c r="AO31" s="297"/>
      <c r="AP31" s="297"/>
      <c r="AQ31" s="297"/>
      <c r="AR31" s="299"/>
      <c r="AS31" s="299"/>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c r="CE31" s="302"/>
      <c r="CF31" s="302"/>
      <c r="CG31" s="302"/>
      <c r="CH31" s="302"/>
      <c r="CI31" s="302"/>
      <c r="CJ31" s="302"/>
      <c r="CK31" s="302"/>
      <c r="CL31" s="302"/>
      <c r="CM31" s="302"/>
      <c r="CN31" s="302"/>
      <c r="CO31" s="302"/>
      <c r="CP31" s="302"/>
      <c r="CQ31" s="302"/>
      <c r="CR31" s="302"/>
      <c r="CS31" s="302"/>
      <c r="CT31" s="302"/>
      <c r="CU31" s="302"/>
      <c r="CV31" s="302"/>
      <c r="CW31" s="302"/>
      <c r="CX31" s="302"/>
      <c r="CY31" s="302"/>
      <c r="CZ31" s="302"/>
      <c r="DA31" s="302"/>
      <c r="DB31" s="302"/>
      <c r="DC31" s="302"/>
      <c r="DD31" s="302"/>
      <c r="DE31" s="302"/>
      <c r="DF31" s="302"/>
      <c r="DG31" s="302"/>
      <c r="DH31" s="302"/>
      <c r="DI31" s="302"/>
      <c r="DJ31" s="302"/>
      <c r="DK31" s="302"/>
      <c r="DL31" s="302"/>
      <c r="DM31" s="302"/>
      <c r="DN31" s="302"/>
      <c r="DO31" s="302"/>
      <c r="DP31" s="302"/>
      <c r="DQ31" s="302"/>
      <c r="DR31" s="302"/>
      <c r="DS31" s="302"/>
      <c r="DT31" s="302"/>
      <c r="DU31" s="302"/>
      <c r="DV31" s="302"/>
      <c r="DW31" s="302"/>
      <c r="DX31" s="302"/>
      <c r="DY31" s="302"/>
      <c r="DZ31" s="302"/>
      <c r="EA31" s="302"/>
      <c r="EB31" s="302"/>
      <c r="EC31" s="302"/>
      <c r="ED31" s="302"/>
      <c r="EE31" s="302"/>
      <c r="EF31" s="302"/>
      <c r="EG31" s="302"/>
      <c r="EH31" s="302"/>
      <c r="EI31" s="302"/>
      <c r="EJ31" s="302"/>
      <c r="EK31" s="302"/>
      <c r="EL31" s="302"/>
      <c r="EM31" s="302"/>
      <c r="EN31" s="302"/>
      <c r="EO31" s="302"/>
      <c r="EP31" s="302"/>
      <c r="EQ31" s="302"/>
      <c r="ER31" s="302"/>
      <c r="ES31" s="302"/>
      <c r="ET31" s="302"/>
      <c r="EU31" s="302"/>
      <c r="EV31" s="302"/>
      <c r="EW31" s="302"/>
      <c r="EX31" s="302"/>
      <c r="EY31" s="302"/>
    </row>
    <row r="32" spans="1:182" s="27" customFormat="1" x14ac:dyDescent="0.2">
      <c r="A32" s="125"/>
      <c r="B32" s="39"/>
      <c r="C32" s="86">
        <f t="shared" si="9"/>
        <v>0.20215548283573603</v>
      </c>
      <c r="D32" s="4" t="s">
        <v>869</v>
      </c>
      <c r="E32" s="86">
        <f t="shared" si="10"/>
        <v>1.2634717677233501E-3</v>
      </c>
      <c r="F32" s="126" t="s">
        <v>228</v>
      </c>
      <c r="G32" s="297"/>
      <c r="H32" s="297"/>
      <c r="I32" s="297"/>
      <c r="J32" s="297"/>
      <c r="K32" s="297"/>
      <c r="L32" s="297"/>
      <c r="M32" s="297"/>
      <c r="N32" s="297"/>
      <c r="O32" s="297"/>
      <c r="P32" s="123"/>
      <c r="Q32" s="297"/>
      <c r="R32" s="301"/>
      <c r="S32" s="297"/>
      <c r="T32" s="297"/>
      <c r="U32" s="297"/>
      <c r="V32" s="301"/>
      <c r="W32" s="297"/>
      <c r="X32" s="297"/>
      <c r="Y32" s="123"/>
      <c r="Z32" s="123"/>
      <c r="AA32" s="123"/>
      <c r="AB32" s="123"/>
      <c r="AC32" s="123"/>
      <c r="AD32" s="118"/>
      <c r="AE32" s="123">
        <v>1.2634717677233501E-3</v>
      </c>
      <c r="AF32" s="297"/>
      <c r="AG32" s="123"/>
      <c r="AH32" s="297"/>
      <c r="AI32" s="123"/>
      <c r="AJ32" s="297"/>
      <c r="AK32" s="297"/>
      <c r="AL32" s="297"/>
      <c r="AM32" s="297"/>
      <c r="AN32" s="297"/>
      <c r="AO32" s="297"/>
      <c r="AP32" s="297"/>
      <c r="AQ32" s="297"/>
      <c r="AR32" s="299"/>
      <c r="AS32" s="299"/>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c r="CE32" s="302"/>
      <c r="CF32" s="302"/>
      <c r="CG32" s="302"/>
      <c r="CH32" s="302"/>
      <c r="CI32" s="302"/>
      <c r="CJ32" s="302"/>
      <c r="CK32" s="302"/>
      <c r="CL32" s="302"/>
      <c r="CM32" s="302"/>
      <c r="CN32" s="302"/>
      <c r="CO32" s="302"/>
      <c r="CP32" s="302"/>
      <c r="CQ32" s="302"/>
      <c r="CR32" s="302"/>
      <c r="CS32" s="302"/>
      <c r="CT32" s="302"/>
      <c r="CU32" s="302"/>
      <c r="CV32" s="302"/>
      <c r="CW32" s="302"/>
      <c r="CX32" s="302"/>
      <c r="CY32" s="302"/>
      <c r="CZ32" s="302"/>
      <c r="DA32" s="302"/>
      <c r="DB32" s="302"/>
      <c r="DC32" s="302"/>
      <c r="DD32" s="302"/>
      <c r="DE32" s="302"/>
      <c r="DF32" s="302"/>
      <c r="DG32" s="302"/>
      <c r="DH32" s="302"/>
      <c r="DI32" s="302"/>
      <c r="DJ32" s="302"/>
      <c r="DK32" s="302"/>
      <c r="DL32" s="302"/>
      <c r="DM32" s="302"/>
      <c r="DN32" s="302"/>
      <c r="DO32" s="302"/>
      <c r="DP32" s="302"/>
      <c r="DQ32" s="302"/>
      <c r="DR32" s="302"/>
      <c r="DS32" s="302"/>
      <c r="DT32" s="302"/>
      <c r="DU32" s="302"/>
      <c r="DV32" s="302"/>
      <c r="DW32" s="302"/>
      <c r="DX32" s="302"/>
      <c r="DY32" s="302"/>
      <c r="DZ32" s="302"/>
      <c r="EA32" s="302"/>
      <c r="EB32" s="302"/>
      <c r="EC32" s="302"/>
      <c r="ED32" s="302"/>
      <c r="EE32" s="302"/>
      <c r="EF32" s="302"/>
      <c r="EG32" s="302"/>
      <c r="EH32" s="302"/>
      <c r="EI32" s="302"/>
      <c r="EJ32" s="302"/>
      <c r="EK32" s="302"/>
      <c r="EL32" s="302"/>
      <c r="EM32" s="302"/>
      <c r="EN32" s="302"/>
      <c r="EO32" s="302"/>
      <c r="EP32" s="302"/>
      <c r="EQ32" s="302"/>
      <c r="ER32" s="302"/>
      <c r="ES32" s="302"/>
      <c r="ET32" s="302"/>
      <c r="EU32" s="302"/>
      <c r="EV32" s="302"/>
      <c r="EW32" s="302"/>
      <c r="EX32" s="302"/>
      <c r="EY32" s="302"/>
    </row>
    <row r="33" spans="1:187" s="27" customFormat="1" x14ac:dyDescent="0.2">
      <c r="A33" s="125"/>
      <c r="B33" s="39"/>
      <c r="C33" s="36">
        <f t="shared" si="9"/>
        <v>0.20215548283573603</v>
      </c>
      <c r="D33" s="4" t="s">
        <v>872</v>
      </c>
      <c r="E33" s="36">
        <f t="shared" si="10"/>
        <v>1.2634717677233501E-3</v>
      </c>
      <c r="F33" s="126" t="s">
        <v>228</v>
      </c>
      <c r="G33" s="297"/>
      <c r="H33" s="297"/>
      <c r="I33" s="297"/>
      <c r="J33" s="297"/>
      <c r="K33" s="297"/>
      <c r="L33" s="297"/>
      <c r="M33" s="297"/>
      <c r="N33" s="297"/>
      <c r="O33" s="297"/>
      <c r="P33" s="123"/>
      <c r="Q33" s="297"/>
      <c r="R33" s="301"/>
      <c r="S33" s="297"/>
      <c r="T33" s="297"/>
      <c r="U33" s="297"/>
      <c r="V33" s="297"/>
      <c r="W33" s="297"/>
      <c r="X33" s="297"/>
      <c r="Y33" s="123"/>
      <c r="Z33" s="123"/>
      <c r="AA33" s="123"/>
      <c r="AB33" s="123"/>
      <c r="AC33" s="123"/>
      <c r="AD33" s="123"/>
      <c r="AE33" s="123"/>
      <c r="AF33" s="297">
        <v>1.2634717677233501E-3</v>
      </c>
      <c r="AG33" s="123"/>
      <c r="AH33" s="297"/>
      <c r="AI33" s="123"/>
      <c r="AJ33" s="297"/>
      <c r="AK33" s="297"/>
      <c r="AL33" s="297"/>
      <c r="AM33" s="297"/>
      <c r="AN33" s="297"/>
      <c r="AO33" s="297"/>
      <c r="AP33" s="297"/>
      <c r="AQ33" s="297"/>
      <c r="AR33" s="299"/>
      <c r="AS33" s="299"/>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c r="CE33" s="302"/>
      <c r="CF33" s="302"/>
      <c r="CG33" s="302"/>
      <c r="CH33" s="302"/>
      <c r="CI33" s="302"/>
      <c r="CJ33" s="302"/>
      <c r="CK33" s="302"/>
      <c r="CL33" s="302"/>
      <c r="CM33" s="302"/>
      <c r="CN33" s="302"/>
      <c r="CO33" s="302"/>
      <c r="CP33" s="302"/>
      <c r="CQ33" s="302"/>
      <c r="CR33" s="302"/>
      <c r="CS33" s="302"/>
      <c r="CT33" s="302"/>
      <c r="CU33" s="302"/>
      <c r="CV33" s="302"/>
      <c r="CW33" s="302"/>
      <c r="CX33" s="302"/>
      <c r="CY33" s="302"/>
      <c r="CZ33" s="302"/>
      <c r="DA33" s="302"/>
      <c r="DB33" s="302"/>
      <c r="DC33" s="302"/>
      <c r="DD33" s="302"/>
      <c r="DE33" s="302"/>
      <c r="DF33" s="302"/>
      <c r="DG33" s="302"/>
      <c r="DH33" s="302"/>
      <c r="DI33" s="302"/>
      <c r="DJ33" s="302"/>
      <c r="DK33" s="302"/>
      <c r="DL33" s="302"/>
      <c r="DM33" s="302"/>
      <c r="DN33" s="302"/>
      <c r="DO33" s="302"/>
      <c r="DP33" s="302"/>
      <c r="DQ33" s="302"/>
      <c r="DR33" s="302"/>
      <c r="DS33" s="302"/>
      <c r="DT33" s="302"/>
      <c r="DU33" s="302"/>
      <c r="DV33" s="302"/>
      <c r="DW33" s="302"/>
      <c r="DX33" s="302"/>
      <c r="DY33" s="302"/>
      <c r="DZ33" s="302"/>
      <c r="EA33" s="302"/>
      <c r="EB33" s="302"/>
      <c r="EC33" s="302"/>
      <c r="ED33" s="302"/>
      <c r="EE33" s="302"/>
      <c r="EF33" s="302"/>
      <c r="EG33" s="302"/>
      <c r="EH33" s="302"/>
      <c r="EI33" s="302"/>
      <c r="EJ33" s="302"/>
      <c r="EK33" s="302"/>
      <c r="EL33" s="302"/>
      <c r="EM33" s="302"/>
      <c r="EN33" s="302"/>
      <c r="EO33" s="302"/>
      <c r="EP33" s="302"/>
      <c r="EQ33" s="302"/>
      <c r="ER33" s="302"/>
      <c r="ES33" s="302"/>
      <c r="ET33" s="302"/>
      <c r="EU33" s="302"/>
      <c r="EV33" s="302"/>
      <c r="EW33" s="302"/>
      <c r="EX33" s="302"/>
      <c r="EY33" s="302"/>
    </row>
    <row r="34" spans="1:187" s="27" customFormat="1" x14ac:dyDescent="0.2">
      <c r="A34" s="125"/>
      <c r="B34" s="39"/>
      <c r="C34" s="36">
        <f t="shared" si="9"/>
        <v>0.40431096567147207</v>
      </c>
      <c r="D34" s="4" t="s">
        <v>875</v>
      </c>
      <c r="E34" s="36">
        <f t="shared" si="10"/>
        <v>2.5269435354467002E-3</v>
      </c>
      <c r="F34" s="126" t="s">
        <v>228</v>
      </c>
      <c r="G34" s="297"/>
      <c r="H34" s="297"/>
      <c r="I34" s="297"/>
      <c r="J34" s="297"/>
      <c r="K34" s="297"/>
      <c r="L34" s="297"/>
      <c r="M34" s="297"/>
      <c r="N34" s="297"/>
      <c r="O34" s="297"/>
      <c r="P34" s="123"/>
      <c r="Q34" s="297"/>
      <c r="R34" s="301"/>
      <c r="S34" s="297"/>
      <c r="T34" s="297"/>
      <c r="U34" s="297"/>
      <c r="V34" s="297"/>
      <c r="W34" s="297"/>
      <c r="X34" s="297"/>
      <c r="Y34" s="297"/>
      <c r="Z34" s="123"/>
      <c r="AA34" s="123"/>
      <c r="AB34" s="123"/>
      <c r="AC34" s="123"/>
      <c r="AD34" s="123"/>
      <c r="AE34" s="123"/>
      <c r="AF34" s="297"/>
      <c r="AG34" s="123">
        <v>2.5269435354467002E-3</v>
      </c>
      <c r="AH34" s="297"/>
      <c r="AI34" s="123"/>
      <c r="AJ34" s="297"/>
      <c r="AK34" s="297"/>
      <c r="AL34" s="297"/>
      <c r="AM34" s="297"/>
      <c r="AN34" s="297"/>
      <c r="AO34" s="297"/>
      <c r="AP34" s="297"/>
      <c r="AQ34" s="297"/>
      <c r="AR34" s="299"/>
      <c r="AS34" s="299"/>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c r="CE34" s="302"/>
      <c r="CF34" s="302"/>
      <c r="CG34" s="302"/>
      <c r="CH34" s="302"/>
      <c r="CI34" s="302"/>
      <c r="CJ34" s="302"/>
      <c r="CK34" s="302"/>
      <c r="CL34" s="302"/>
      <c r="CM34" s="302"/>
      <c r="CN34" s="302"/>
      <c r="CO34" s="302"/>
      <c r="CP34" s="302"/>
      <c r="CQ34" s="302"/>
      <c r="CR34" s="302"/>
      <c r="CS34" s="302"/>
      <c r="CT34" s="302"/>
      <c r="CU34" s="302"/>
      <c r="CV34" s="302"/>
      <c r="CW34" s="302"/>
      <c r="CX34" s="302"/>
      <c r="CY34" s="302"/>
      <c r="CZ34" s="302"/>
      <c r="DA34" s="302"/>
      <c r="DB34" s="302"/>
      <c r="DC34" s="302"/>
      <c r="DD34" s="302"/>
      <c r="DE34" s="302"/>
      <c r="DF34" s="302"/>
      <c r="DG34" s="302"/>
      <c r="DH34" s="302"/>
      <c r="DI34" s="302"/>
      <c r="DJ34" s="302"/>
      <c r="DK34" s="302"/>
      <c r="DL34" s="302"/>
      <c r="DM34" s="302"/>
      <c r="DN34" s="302"/>
      <c r="DO34" s="302"/>
      <c r="DP34" s="302"/>
      <c r="DQ34" s="302"/>
      <c r="DR34" s="302"/>
      <c r="DS34" s="302"/>
      <c r="DT34" s="302"/>
      <c r="DU34" s="302"/>
      <c r="DV34" s="302"/>
      <c r="DW34" s="302"/>
      <c r="DX34" s="302"/>
      <c r="DY34" s="302"/>
      <c r="DZ34" s="302"/>
      <c r="EA34" s="302"/>
      <c r="EB34" s="302"/>
      <c r="EC34" s="302"/>
      <c r="ED34" s="302"/>
      <c r="EE34" s="302"/>
      <c r="EF34" s="302"/>
      <c r="EG34" s="302"/>
      <c r="EH34" s="302"/>
      <c r="EI34" s="302"/>
      <c r="EJ34" s="302"/>
      <c r="EK34" s="302"/>
      <c r="EL34" s="302"/>
      <c r="EM34" s="302"/>
      <c r="EN34" s="302"/>
      <c r="EO34" s="302"/>
      <c r="EP34" s="302"/>
      <c r="EQ34" s="302"/>
      <c r="ER34" s="302"/>
      <c r="ES34" s="302"/>
      <c r="ET34" s="302"/>
      <c r="EU34" s="302"/>
      <c r="EV34" s="302"/>
      <c r="EW34" s="302"/>
      <c r="EX34" s="302"/>
      <c r="EY34" s="302"/>
    </row>
    <row r="35" spans="1:187" s="27" customFormat="1" x14ac:dyDescent="0.2">
      <c r="A35" s="125"/>
      <c r="B35" s="39"/>
      <c r="C35" s="36">
        <f t="shared" si="9"/>
        <v>0.40431096567147207</v>
      </c>
      <c r="D35" s="4" t="s">
        <v>892</v>
      </c>
      <c r="E35" s="36">
        <f t="shared" si="10"/>
        <v>2.5269435354467002E-3</v>
      </c>
      <c r="F35" s="126" t="s">
        <v>228</v>
      </c>
      <c r="G35" s="297"/>
      <c r="H35" s="298"/>
      <c r="I35" s="297"/>
      <c r="J35" s="298"/>
      <c r="K35" s="298"/>
      <c r="L35" s="123"/>
      <c r="M35" s="123"/>
      <c r="N35" s="123"/>
      <c r="O35" s="123"/>
      <c r="P35" s="123"/>
      <c r="Q35" s="123"/>
      <c r="R35" s="123"/>
      <c r="S35" s="123"/>
      <c r="T35" s="123"/>
      <c r="U35" s="123"/>
      <c r="V35" s="123"/>
      <c r="W35" s="123"/>
      <c r="X35" s="123"/>
      <c r="Y35" s="297"/>
      <c r="Z35" s="123"/>
      <c r="AA35" s="123"/>
      <c r="AB35" s="123"/>
      <c r="AC35" s="123"/>
      <c r="AD35" s="123"/>
      <c r="AE35" s="123"/>
      <c r="AF35" s="123"/>
      <c r="AG35" s="297"/>
      <c r="AH35" s="123">
        <v>1.2634717677233501E-3</v>
      </c>
      <c r="AI35" s="123">
        <v>1.2634717677233501E-3</v>
      </c>
      <c r="AJ35" s="123"/>
      <c r="AK35" s="123"/>
      <c r="AL35" s="123"/>
      <c r="AM35" s="123"/>
      <c r="AN35" s="123"/>
      <c r="AO35" s="123"/>
      <c r="AP35" s="123"/>
      <c r="AQ35" s="123"/>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row>
    <row r="36" spans="1:187" s="27" customFormat="1" x14ac:dyDescent="0.2">
      <c r="A36" s="125"/>
      <c r="B36" s="39"/>
      <c r="C36" s="36">
        <f t="shared" si="9"/>
        <v>0</v>
      </c>
      <c r="D36" s="103" t="s">
        <v>924</v>
      </c>
      <c r="E36" s="36">
        <f t="shared" si="10"/>
        <v>0</v>
      </c>
      <c r="F36" s="126" t="s">
        <v>228</v>
      </c>
      <c r="G36" s="297"/>
      <c r="H36" s="297"/>
      <c r="I36" s="297"/>
      <c r="J36" s="297"/>
      <c r="K36" s="297"/>
      <c r="L36" s="297"/>
      <c r="M36" s="297"/>
      <c r="N36" s="297"/>
      <c r="O36" s="297"/>
      <c r="P36" s="123"/>
      <c r="Q36" s="297"/>
      <c r="R36" s="301"/>
      <c r="S36" s="297"/>
      <c r="T36" s="297"/>
      <c r="U36" s="297"/>
      <c r="V36" s="297"/>
      <c r="W36" s="297"/>
      <c r="X36" s="297"/>
      <c r="Y36" s="123"/>
      <c r="Z36" s="123"/>
      <c r="AA36" s="124"/>
      <c r="AB36" s="123"/>
      <c r="AC36" s="123"/>
      <c r="AD36" s="123"/>
      <c r="AE36" s="123"/>
      <c r="AF36" s="297"/>
      <c r="AG36" s="123"/>
      <c r="AH36" s="297"/>
      <c r="AI36" s="124"/>
      <c r="AJ36" s="297">
        <v>2.5269435354467002E-3</v>
      </c>
      <c r="AK36" s="297"/>
      <c r="AL36" s="297"/>
      <c r="AM36" s="297"/>
      <c r="AN36" s="297"/>
      <c r="AO36" s="297"/>
      <c r="AP36" s="297"/>
      <c r="AQ36" s="297"/>
      <c r="AR36" s="299"/>
      <c r="AS36" s="299"/>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c r="CE36" s="302"/>
      <c r="CF36" s="302"/>
      <c r="CG36" s="302"/>
      <c r="CH36" s="302"/>
      <c r="CI36" s="302"/>
      <c r="CJ36" s="302"/>
      <c r="CK36" s="302"/>
      <c r="CL36" s="302"/>
      <c r="CM36" s="302"/>
      <c r="CN36" s="302"/>
      <c r="CO36" s="302"/>
      <c r="CP36" s="302"/>
      <c r="CQ36" s="302"/>
      <c r="CR36" s="302"/>
      <c r="CS36" s="302"/>
      <c r="CT36" s="302"/>
      <c r="CU36" s="302"/>
      <c r="CV36" s="302"/>
      <c r="CW36" s="302"/>
      <c r="CX36" s="302"/>
      <c r="CY36" s="302"/>
      <c r="CZ36" s="302"/>
      <c r="DA36" s="302"/>
      <c r="DB36" s="302"/>
      <c r="DC36" s="302"/>
      <c r="DD36" s="302"/>
      <c r="DE36" s="302"/>
      <c r="DF36" s="302"/>
      <c r="DG36" s="302"/>
      <c r="DH36" s="302"/>
      <c r="DI36" s="302"/>
      <c r="DJ36" s="302"/>
      <c r="DK36" s="302">
        <v>-2.5269435354466998E-3</v>
      </c>
      <c r="DL36" s="302"/>
      <c r="DM36" s="302"/>
      <c r="DN36" s="302"/>
      <c r="DO36" s="302"/>
      <c r="DP36" s="302"/>
      <c r="DQ36" s="302"/>
      <c r="DR36" s="302"/>
      <c r="DS36" s="302"/>
      <c r="DT36" s="302"/>
      <c r="DU36" s="302"/>
      <c r="DV36" s="302"/>
      <c r="DW36" s="302"/>
      <c r="DX36" s="302"/>
      <c r="DY36" s="302"/>
      <c r="DZ36" s="302"/>
      <c r="EA36" s="302"/>
      <c r="EB36" s="302"/>
      <c r="EC36" s="302"/>
      <c r="ED36" s="302"/>
      <c r="EE36" s="302"/>
      <c r="EF36" s="302"/>
      <c r="EG36" s="302"/>
      <c r="EH36" s="302"/>
      <c r="EI36" s="302"/>
      <c r="EJ36" s="302"/>
      <c r="EK36" s="302"/>
      <c r="EL36" s="302"/>
      <c r="EM36" s="302"/>
      <c r="EN36" s="302"/>
      <c r="EO36" s="302"/>
      <c r="EP36" s="302"/>
      <c r="EQ36" s="302"/>
      <c r="ER36" s="302"/>
      <c r="ES36" s="302"/>
      <c r="ET36" s="302"/>
      <c r="EU36" s="302"/>
      <c r="EV36" s="302"/>
      <c r="EW36" s="302"/>
      <c r="EX36" s="302"/>
      <c r="EY36" s="302"/>
    </row>
    <row r="37" spans="1:187" s="27" customFormat="1" x14ac:dyDescent="0.2">
      <c r="A37" s="125"/>
      <c r="B37" s="39">
        <v>42</v>
      </c>
      <c r="C37" s="86">
        <f>E37*D$5</f>
        <v>0.6064664485072081</v>
      </c>
      <c r="D37" s="4" t="s">
        <v>921</v>
      </c>
      <c r="E37" s="86">
        <f>SUM(G37:HX37)</f>
        <v>3.7904153031700504E-3</v>
      </c>
      <c r="F37" s="126" t="s">
        <v>228</v>
      </c>
      <c r="G37" s="298"/>
      <c r="H37" s="298"/>
      <c r="I37" s="298"/>
      <c r="J37" s="298"/>
      <c r="K37" s="298"/>
      <c r="L37" s="123"/>
      <c r="M37" s="123"/>
      <c r="N37" s="123"/>
      <c r="O37" s="123"/>
      <c r="P37" s="123"/>
      <c r="Q37" s="123"/>
      <c r="R37" s="123"/>
      <c r="S37" s="123"/>
      <c r="T37" s="123"/>
      <c r="U37" s="123"/>
      <c r="V37" s="123"/>
      <c r="W37" s="123"/>
      <c r="X37" s="123"/>
      <c r="Y37" s="123"/>
      <c r="Z37" s="123"/>
      <c r="AA37" s="124"/>
      <c r="AB37" s="124"/>
      <c r="AC37" s="124"/>
      <c r="AD37" s="123"/>
      <c r="AE37" s="123"/>
      <c r="AF37" s="123"/>
      <c r="AG37" s="123"/>
      <c r="AH37" s="123"/>
      <c r="AI37" s="123"/>
      <c r="AJ37" s="123"/>
      <c r="AK37" s="123">
        <v>1.2634717677233501E-3</v>
      </c>
      <c r="AL37" s="123">
        <v>2.5269435354467002E-3</v>
      </c>
      <c r="AM37" s="123"/>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row>
    <row r="38" spans="1:187" s="27" customFormat="1" x14ac:dyDescent="0.2">
      <c r="A38" s="125"/>
      <c r="B38" s="39"/>
      <c r="C38" s="36">
        <f t="shared" ref="C38:C41" si="11">E38*D$5</f>
        <v>0.8292979614631657</v>
      </c>
      <c r="D38" s="332" t="s">
        <v>234</v>
      </c>
      <c r="E38" s="36">
        <f>SUM(G38:HS38)</f>
        <v>5.1831122591447856E-3</v>
      </c>
      <c r="F38" s="126" t="s">
        <v>228</v>
      </c>
      <c r="G38" s="298"/>
      <c r="H38" s="298"/>
      <c r="I38" s="298"/>
      <c r="J38" s="298"/>
      <c r="K38" s="298"/>
      <c r="L38" s="123"/>
      <c r="M38" s="123"/>
      <c r="N38" s="123"/>
      <c r="O38" s="123"/>
      <c r="P38" s="123"/>
      <c r="Q38" s="123"/>
      <c r="R38" s="123"/>
      <c r="S38" s="123"/>
      <c r="T38" s="123"/>
      <c r="U38" s="123"/>
      <c r="V38" s="123"/>
      <c r="W38" s="123"/>
      <c r="X38" s="123"/>
      <c r="Y38" s="123"/>
      <c r="Z38" s="123"/>
      <c r="AA38" s="123"/>
      <c r="AB38" s="124"/>
      <c r="AC38" s="123"/>
      <c r="AD38" s="123"/>
      <c r="AE38" s="124"/>
      <c r="AF38" s="123"/>
      <c r="AG38" s="123"/>
      <c r="AH38" s="123"/>
      <c r="AI38" s="123"/>
      <c r="AJ38" s="123"/>
      <c r="AK38" s="123"/>
      <c r="AL38" s="123"/>
      <c r="AM38" s="123">
        <v>3.7904153031700504E-3</v>
      </c>
      <c r="AN38" s="123"/>
      <c r="AO38" s="123"/>
      <c r="AP38" s="123"/>
      <c r="AQ38" s="123"/>
      <c r="AR38" s="100"/>
      <c r="AS38" s="100">
        <v>-3.7904153031700504E-3</v>
      </c>
      <c r="AT38" s="100">
        <v>-2.5269435354467002E-3</v>
      </c>
      <c r="AU38" s="100">
        <v>-2.5269435354467002E-3</v>
      </c>
      <c r="AV38" s="100">
        <v>-2.5269435354467002E-3</v>
      </c>
      <c r="AW38" s="100">
        <v>-2.5269435354467002E-3</v>
      </c>
      <c r="AX38" s="100"/>
      <c r="AY38" s="100">
        <v>-3.7904153031700499E-3</v>
      </c>
      <c r="AZ38" s="100">
        <v>-3.7904153031700499E-3</v>
      </c>
      <c r="BA38" s="100">
        <v>-3.7904153031700499E-3</v>
      </c>
      <c r="BB38" s="100">
        <v>-3.7904153031700499E-3</v>
      </c>
      <c r="BC38" s="100"/>
      <c r="BD38" s="100">
        <f>43.496666/791.47</f>
        <v>5.4956809481092141E-2</v>
      </c>
      <c r="BE38" s="100"/>
      <c r="BF38" s="100"/>
      <c r="BG38" s="100"/>
      <c r="BH38" s="100"/>
      <c r="BI38" s="100"/>
      <c r="BJ38" s="100"/>
      <c r="BK38" s="100"/>
      <c r="BL38" s="100"/>
      <c r="BM38" s="100"/>
      <c r="BN38" s="100"/>
      <c r="BO38" s="100"/>
      <c r="BP38" s="100"/>
      <c r="BQ38" s="100"/>
      <c r="BR38" s="100"/>
      <c r="BS38" s="100"/>
      <c r="BT38" s="100"/>
      <c r="BU38" s="100"/>
      <c r="BV38" s="100">
        <v>4.2115683475052752E-3</v>
      </c>
      <c r="BW38" s="100"/>
      <c r="BX38" s="100"/>
      <c r="BY38" s="100"/>
      <c r="BZ38" s="100"/>
      <c r="CA38" s="100"/>
      <c r="CB38" s="100"/>
      <c r="CC38" s="100"/>
      <c r="CD38" s="100"/>
      <c r="CE38" s="100"/>
      <c r="CF38" s="100"/>
      <c r="CG38" s="100">
        <f>4.8329635/791.47</f>
        <v>6.1063129366874299E-3</v>
      </c>
      <c r="CH38" s="100"/>
      <c r="CI38" s="100"/>
      <c r="CJ38" s="100"/>
      <c r="CK38" s="100">
        <v>6.317358838616751E-3</v>
      </c>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f>-(EC119+EC120+EC121+EC122+EC123)*(0.0463226142494346/0.130549381530569)</f>
        <v>-4.113950199028981E-2</v>
      </c>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row>
    <row r="39" spans="1:187" s="27" customFormat="1" x14ac:dyDescent="0.2">
      <c r="A39" s="125"/>
      <c r="B39" s="39"/>
      <c r="C39" s="36">
        <f t="shared" si="11"/>
        <v>1.0107774141786803</v>
      </c>
      <c r="D39" s="4" t="s">
        <v>941</v>
      </c>
      <c r="E39" s="36">
        <f>SUM(G39:HG39)</f>
        <v>6.317358838616751E-3</v>
      </c>
      <c r="F39" s="126" t="s">
        <v>228</v>
      </c>
      <c r="G39" s="298"/>
      <c r="H39" s="298"/>
      <c r="I39" s="298"/>
      <c r="J39" s="298"/>
      <c r="K39" s="298"/>
      <c r="L39" s="123"/>
      <c r="M39" s="123"/>
      <c r="N39" s="123"/>
      <c r="O39" s="123"/>
      <c r="P39" s="123"/>
      <c r="Q39" s="123"/>
      <c r="R39" s="123"/>
      <c r="S39" s="123"/>
      <c r="T39" s="123"/>
      <c r="U39" s="123"/>
      <c r="V39" s="123"/>
      <c r="W39" s="123"/>
      <c r="X39" s="123"/>
      <c r="Y39" s="123"/>
      <c r="Z39" s="123"/>
      <c r="AA39" s="123"/>
      <c r="AB39" s="123"/>
      <c r="AC39" s="124"/>
      <c r="AD39" s="124"/>
      <c r="AE39" s="123"/>
      <c r="AF39" s="123"/>
      <c r="AG39" s="123"/>
      <c r="AH39" s="123"/>
      <c r="AI39" s="123"/>
      <c r="AJ39" s="123"/>
      <c r="AK39" s="123"/>
      <c r="AL39" s="123"/>
      <c r="AM39" s="123"/>
      <c r="AN39" s="123">
        <v>6.317358838616751E-3</v>
      </c>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1"/>
        <v>0.40431096567147207</v>
      </c>
      <c r="D40" s="3" t="s">
        <v>952</v>
      </c>
      <c r="E40" s="86">
        <f>SUM(G40:HG40)</f>
        <v>2.5269435354467002E-3</v>
      </c>
      <c r="F40" s="126" t="s">
        <v>228</v>
      </c>
      <c r="G40" s="298"/>
      <c r="H40" s="298"/>
      <c r="I40" s="298"/>
      <c r="J40" s="298"/>
      <c r="K40" s="298"/>
      <c r="L40" s="123"/>
      <c r="M40" s="123"/>
      <c r="N40" s="123"/>
      <c r="O40" s="123"/>
      <c r="P40" s="123"/>
      <c r="Q40" s="123"/>
      <c r="R40" s="123"/>
      <c r="S40" s="124"/>
      <c r="T40" s="124"/>
      <c r="U40" s="123"/>
      <c r="V40" s="123"/>
      <c r="W40" s="123"/>
      <c r="X40" s="123"/>
      <c r="Y40" s="123"/>
      <c r="Z40" s="123"/>
      <c r="AA40" s="123"/>
      <c r="AB40" s="123"/>
      <c r="AC40" s="123"/>
      <c r="AD40" s="123"/>
      <c r="AE40" s="124"/>
      <c r="AF40" s="123"/>
      <c r="AG40" s="123"/>
      <c r="AH40" s="123"/>
      <c r="AI40" s="123"/>
      <c r="AJ40" s="123"/>
      <c r="AK40" s="123"/>
      <c r="AL40" s="123"/>
      <c r="AM40" s="123"/>
      <c r="AN40" s="123"/>
      <c r="AO40" s="123">
        <v>2.5269435354467002E-3</v>
      </c>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1"/>
        <v>0.20215548283573603</v>
      </c>
      <c r="D41" s="334" t="s">
        <v>956</v>
      </c>
      <c r="E41" s="36">
        <f>SUM(G41:HG41)</f>
        <v>1.2634717677233501E-3</v>
      </c>
      <c r="F41" s="126" t="s">
        <v>228</v>
      </c>
      <c r="G41" s="298"/>
      <c r="H41" s="298"/>
      <c r="I41" s="298"/>
      <c r="J41" s="298"/>
      <c r="K41" s="298"/>
      <c r="L41" s="123"/>
      <c r="M41" s="123"/>
      <c r="N41" s="123"/>
      <c r="O41" s="124"/>
      <c r="P41" s="123"/>
      <c r="Q41" s="123"/>
      <c r="R41" s="123"/>
      <c r="S41" s="123"/>
      <c r="T41" s="123"/>
      <c r="U41" s="123"/>
      <c r="V41" s="123"/>
      <c r="W41" s="123"/>
      <c r="X41" s="123"/>
      <c r="Y41" s="123"/>
      <c r="Z41" s="123"/>
      <c r="AA41" s="123"/>
      <c r="AB41" s="123"/>
      <c r="AC41" s="123"/>
      <c r="AD41" s="123"/>
      <c r="AE41" s="124"/>
      <c r="AF41" s="123"/>
      <c r="AG41" s="123"/>
      <c r="AH41" s="123"/>
      <c r="AI41" s="123"/>
      <c r="AJ41" s="123"/>
      <c r="AK41" s="123"/>
      <c r="AL41" s="123"/>
      <c r="AM41" s="123"/>
      <c r="AN41" s="123"/>
      <c r="AO41" s="123"/>
      <c r="AP41" s="123">
        <v>1.2634717677233501E-3</v>
      </c>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0</v>
      </c>
      <c r="D42" s="103" t="s">
        <v>959</v>
      </c>
      <c r="E42" s="86">
        <f>SUM(G42:HG42)</f>
        <v>0</v>
      </c>
      <c r="F42" s="126" t="s">
        <v>228</v>
      </c>
      <c r="G42" s="297"/>
      <c r="H42" s="297"/>
      <c r="I42" s="297"/>
      <c r="J42" s="297"/>
      <c r="K42" s="297"/>
      <c r="L42" s="297"/>
      <c r="M42" s="297"/>
      <c r="N42" s="297"/>
      <c r="O42" s="297"/>
      <c r="P42" s="123"/>
      <c r="Q42" s="297"/>
      <c r="R42" s="301"/>
      <c r="S42" s="298"/>
      <c r="T42" s="298"/>
      <c r="U42" s="298"/>
      <c r="V42" s="298"/>
      <c r="W42" s="298"/>
      <c r="X42" s="298"/>
      <c r="Y42" s="123"/>
      <c r="Z42" s="123"/>
      <c r="AA42" s="123"/>
      <c r="AB42" s="123"/>
      <c r="AC42" s="123"/>
      <c r="AD42" s="123"/>
      <c r="AE42" s="123"/>
      <c r="AF42" s="297"/>
      <c r="AG42" s="123"/>
      <c r="AH42" s="297"/>
      <c r="AI42" s="123"/>
      <c r="AJ42" s="297"/>
      <c r="AK42" s="297"/>
      <c r="AL42" s="297"/>
      <c r="AM42" s="297"/>
      <c r="AN42" s="297"/>
      <c r="AO42" s="297"/>
      <c r="AP42" s="297"/>
      <c r="AQ42" s="297">
        <v>7.5808306063401007E-3</v>
      </c>
      <c r="AR42" s="299">
        <v>1.2634717677233501E-3</v>
      </c>
      <c r="AS42" s="299"/>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c r="CE42" s="302"/>
      <c r="CF42" s="302"/>
      <c r="CG42" s="302"/>
      <c r="CH42" s="302"/>
      <c r="CI42" s="302"/>
      <c r="CJ42" s="302"/>
      <c r="CK42" s="302"/>
      <c r="CL42" s="302"/>
      <c r="CM42" s="302"/>
      <c r="CN42" s="302"/>
      <c r="CO42" s="302"/>
      <c r="CP42" s="302"/>
      <c r="CQ42" s="302"/>
      <c r="CR42" s="302">
        <v>-7.5808306063400999E-3</v>
      </c>
      <c r="CS42" s="302">
        <v>-1.2634717677233499E-3</v>
      </c>
      <c r="CT42" s="302"/>
      <c r="CU42" s="302"/>
      <c r="CV42" s="302"/>
      <c r="CW42" s="302"/>
      <c r="CX42" s="302"/>
      <c r="CY42" s="302"/>
      <c r="CZ42" s="302"/>
      <c r="DA42" s="302"/>
      <c r="DB42" s="302"/>
      <c r="DC42" s="302"/>
      <c r="DD42" s="302"/>
      <c r="DE42" s="302"/>
      <c r="DF42" s="302"/>
      <c r="DG42" s="302"/>
      <c r="DH42" s="302"/>
      <c r="DI42" s="302"/>
      <c r="DJ42" s="302"/>
      <c r="DK42" s="302"/>
      <c r="DL42" s="302"/>
      <c r="DM42" s="302"/>
      <c r="DN42" s="302"/>
      <c r="DO42" s="302"/>
      <c r="DP42" s="302"/>
      <c r="DQ42" s="302"/>
      <c r="DR42" s="302"/>
      <c r="DS42" s="302"/>
      <c r="DT42" s="302"/>
      <c r="DU42" s="302"/>
      <c r="DV42" s="302"/>
      <c r="DW42" s="302"/>
      <c r="DX42" s="302"/>
      <c r="DY42" s="302"/>
      <c r="DZ42" s="302"/>
      <c r="EA42" s="302"/>
      <c r="EB42" s="302"/>
      <c r="EC42" s="302"/>
      <c r="ED42" s="302"/>
      <c r="EE42" s="302"/>
      <c r="EF42" s="302"/>
      <c r="EG42" s="302"/>
      <c r="EH42" s="302"/>
      <c r="EI42" s="302"/>
      <c r="EJ42" s="302"/>
      <c r="EK42" s="302"/>
      <c r="EL42" s="302"/>
      <c r="EM42" s="302"/>
      <c r="EN42" s="302"/>
      <c r="EO42" s="302"/>
      <c r="EP42" s="302"/>
      <c r="EQ42" s="302"/>
      <c r="ER42" s="302"/>
      <c r="ES42" s="302"/>
      <c r="ET42" s="302"/>
      <c r="EU42" s="302"/>
      <c r="EV42" s="302"/>
      <c r="EW42" s="302"/>
      <c r="EX42" s="302"/>
      <c r="EY42" s="302"/>
    </row>
    <row r="43" spans="1:187" s="27" customFormat="1" x14ac:dyDescent="0.2">
      <c r="A43" s="125"/>
      <c r="B43" s="39"/>
      <c r="C43" s="86">
        <f>E43*D$5</f>
        <v>0.11309752032745299</v>
      </c>
      <c r="D43" s="3" t="s">
        <v>980</v>
      </c>
      <c r="E43" s="86">
        <f>SUM(G43:HG43)</f>
        <v>7.0685950204658118E-4</v>
      </c>
      <c r="F43" s="126" t="s">
        <v>228</v>
      </c>
      <c r="G43" s="123"/>
      <c r="H43" s="123"/>
      <c r="I43" s="123"/>
      <c r="J43" s="123"/>
      <c r="K43" s="123"/>
      <c r="L43" s="123"/>
      <c r="M43" s="124"/>
      <c r="N43" s="124"/>
      <c r="O43" s="123"/>
      <c r="P43" s="123"/>
      <c r="Q43" s="123"/>
      <c r="R43" s="123"/>
      <c r="S43" s="123"/>
      <c r="T43" s="123"/>
      <c r="U43" s="123"/>
      <c r="V43" s="123"/>
      <c r="W43" s="123"/>
      <c r="X43" s="123"/>
      <c r="Y43" s="123"/>
      <c r="Z43" s="123"/>
      <c r="AA43" s="123"/>
      <c r="AB43" s="123"/>
      <c r="AC43" s="123"/>
      <c r="AD43" s="123"/>
      <c r="AE43" s="123"/>
      <c r="AF43" s="123"/>
      <c r="AG43" s="297"/>
      <c r="AH43" s="123"/>
      <c r="AI43" s="123"/>
      <c r="AJ43" s="123"/>
      <c r="AK43" s="123"/>
      <c r="AL43" s="123"/>
      <c r="AM43" s="123"/>
      <c r="AN43" s="123"/>
      <c r="AO43" s="123"/>
      <c r="AP43" s="123"/>
      <c r="AQ43" s="123"/>
      <c r="AR43" s="100"/>
      <c r="AS43" s="100"/>
      <c r="AT43" s="100">
        <v>2.5269435354467002E-3</v>
      </c>
      <c r="AU43" s="100"/>
      <c r="AV43" s="100"/>
      <c r="AW43" s="100"/>
      <c r="AX43" s="100"/>
      <c r="AY43" s="100">
        <v>3.7904153031700499E-3</v>
      </c>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f>-(EC119+EC120+EC121+EC122+EC123)*(0.00631735883861675/0.130549381530569)</f>
        <v>-5.610499336570169E-3</v>
      </c>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row>
    <row r="44" spans="1:187" s="27" customFormat="1" x14ac:dyDescent="0.2">
      <c r="A44" s="125"/>
      <c r="B44" s="39"/>
      <c r="C44" s="86">
        <f t="shared" si="9"/>
        <v>0.11309752032745285</v>
      </c>
      <c r="D44" s="4" t="s">
        <v>983</v>
      </c>
      <c r="E44" s="86">
        <f>SUM(G44:HS44)</f>
        <v>7.0685950204658031E-4</v>
      </c>
      <c r="F44" s="126" t="s">
        <v>228</v>
      </c>
      <c r="G44" s="297"/>
      <c r="H44" s="297"/>
      <c r="I44" s="297"/>
      <c r="J44" s="297"/>
      <c r="K44" s="297"/>
      <c r="L44" s="297"/>
      <c r="M44" s="297"/>
      <c r="N44" s="297"/>
      <c r="O44" s="297"/>
      <c r="P44" s="123"/>
      <c r="Q44" s="297"/>
      <c r="R44" s="301"/>
      <c r="S44" s="298"/>
      <c r="T44" s="298"/>
      <c r="U44" s="298"/>
      <c r="V44" s="298"/>
      <c r="W44" s="298"/>
      <c r="X44" s="298"/>
      <c r="Y44" s="123"/>
      <c r="Z44" s="123"/>
      <c r="AA44" s="123"/>
      <c r="AB44" s="123"/>
      <c r="AC44" s="123"/>
      <c r="AD44" s="123"/>
      <c r="AE44" s="123"/>
      <c r="AF44" s="297"/>
      <c r="AG44" s="123"/>
      <c r="AH44" s="301"/>
      <c r="AI44" s="123"/>
      <c r="AJ44" s="297"/>
      <c r="AK44" s="297"/>
      <c r="AL44" s="297"/>
      <c r="AM44" s="297"/>
      <c r="AN44" s="297"/>
      <c r="AO44" s="297"/>
      <c r="AP44" s="297"/>
      <c r="AQ44" s="297"/>
      <c r="AR44" s="299"/>
      <c r="AS44" s="299"/>
      <c r="AT44" s="302"/>
      <c r="AU44" s="302">
        <v>2.5269435354466998E-3</v>
      </c>
      <c r="AV44" s="302"/>
      <c r="AW44" s="302"/>
      <c r="AX44" s="302"/>
      <c r="AY44" s="302"/>
      <c r="AZ44" s="302"/>
      <c r="BA44" s="302">
        <v>3.7904153031700499E-3</v>
      </c>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c r="CE44" s="302"/>
      <c r="CF44" s="302"/>
      <c r="CG44" s="302"/>
      <c r="CH44" s="302"/>
      <c r="CI44" s="302"/>
      <c r="CJ44" s="302"/>
      <c r="CK44" s="302"/>
      <c r="CL44" s="302"/>
      <c r="CM44" s="302"/>
      <c r="CN44" s="302"/>
      <c r="CO44" s="302"/>
      <c r="CP44" s="302"/>
      <c r="CQ44" s="302"/>
      <c r="CR44" s="302"/>
      <c r="CS44" s="302"/>
      <c r="CT44" s="302"/>
      <c r="CU44" s="302"/>
      <c r="CV44" s="302"/>
      <c r="CW44" s="302"/>
      <c r="CX44" s="302"/>
      <c r="CY44" s="302"/>
      <c r="CZ44" s="302"/>
      <c r="DA44" s="302"/>
      <c r="DB44" s="302"/>
      <c r="DC44" s="302"/>
      <c r="DD44" s="302"/>
      <c r="DE44" s="302"/>
      <c r="DF44" s="302"/>
      <c r="DG44" s="302"/>
      <c r="DH44" s="302"/>
      <c r="DI44" s="302"/>
      <c r="DJ44" s="302"/>
      <c r="DK44" s="302"/>
      <c r="DL44" s="302"/>
      <c r="DM44" s="302"/>
      <c r="DN44" s="302"/>
      <c r="DO44" s="302"/>
      <c r="DP44" s="302"/>
      <c r="DQ44" s="302"/>
      <c r="DR44" s="302"/>
      <c r="DS44" s="302"/>
      <c r="DT44" s="302"/>
      <c r="DU44" s="302"/>
      <c r="DV44" s="302"/>
      <c r="DW44" s="302"/>
      <c r="DX44" s="302"/>
      <c r="DY44" s="302"/>
      <c r="DZ44" s="302"/>
      <c r="EA44" s="302"/>
      <c r="EB44" s="302"/>
      <c r="EC44" s="302">
        <f>-(EC119+EC120+EC121+EC122+EC123)*(0.00631735883861675/0.130549381530569)</f>
        <v>-5.610499336570169E-3</v>
      </c>
      <c r="ED44" s="302"/>
      <c r="EE44" s="302"/>
      <c r="EF44" s="302"/>
      <c r="EG44" s="302"/>
      <c r="EH44" s="302"/>
      <c r="EI44" s="302"/>
      <c r="EJ44" s="302"/>
      <c r="EK44" s="302"/>
      <c r="EL44" s="302"/>
      <c r="EM44" s="302"/>
      <c r="EN44" s="302"/>
      <c r="EO44" s="302"/>
      <c r="EP44" s="302"/>
      <c r="EQ44" s="302"/>
      <c r="ER44" s="302"/>
      <c r="ES44" s="302"/>
      <c r="ET44" s="302"/>
      <c r="EU44" s="302"/>
      <c r="EV44" s="302"/>
      <c r="EW44" s="302"/>
      <c r="EX44" s="302"/>
      <c r="EY44" s="302"/>
    </row>
    <row r="45" spans="1:187" s="27" customFormat="1" x14ac:dyDescent="0.2">
      <c r="A45" s="125"/>
      <c r="B45" s="39"/>
      <c r="C45" s="86">
        <f>E45*D$5</f>
        <v>0.11309752032745285</v>
      </c>
      <c r="D45" s="3" t="s">
        <v>986</v>
      </c>
      <c r="E45" s="86">
        <f>SUM(G45:HO45)</f>
        <v>7.0685950204658031E-4</v>
      </c>
      <c r="F45" s="126" t="s">
        <v>228</v>
      </c>
      <c r="G45" s="297"/>
      <c r="H45" s="297"/>
      <c r="I45" s="297"/>
      <c r="J45" s="297"/>
      <c r="K45" s="297"/>
      <c r="L45" s="297"/>
      <c r="M45" s="297"/>
      <c r="N45" s="297"/>
      <c r="O45" s="297"/>
      <c r="P45" s="123"/>
      <c r="Q45" s="297"/>
      <c r="R45" s="301"/>
      <c r="S45" s="298"/>
      <c r="T45" s="298"/>
      <c r="U45" s="298"/>
      <c r="V45" s="298"/>
      <c r="W45" s="298"/>
      <c r="X45" s="298"/>
      <c r="Y45" s="123"/>
      <c r="Z45" s="123"/>
      <c r="AA45" s="123"/>
      <c r="AB45" s="123"/>
      <c r="AC45" s="123"/>
      <c r="AD45" s="123"/>
      <c r="AE45" s="123"/>
      <c r="AF45" s="297"/>
      <c r="AG45" s="123"/>
      <c r="AH45" s="301"/>
      <c r="AI45" s="123"/>
      <c r="AJ45" s="297"/>
      <c r="AK45" s="297"/>
      <c r="AL45" s="297"/>
      <c r="AM45" s="297"/>
      <c r="AN45" s="297"/>
      <c r="AO45" s="297"/>
      <c r="AP45" s="297"/>
      <c r="AQ45" s="297"/>
      <c r="AR45" s="299"/>
      <c r="AS45" s="299"/>
      <c r="AT45" s="302"/>
      <c r="AU45" s="302"/>
      <c r="AV45" s="302">
        <v>2.5269435354466998E-3</v>
      </c>
      <c r="AW45" s="302"/>
      <c r="AX45" s="302"/>
      <c r="AY45" s="302"/>
      <c r="AZ45" s="302">
        <v>3.7904153031700499E-3</v>
      </c>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c r="CE45" s="302"/>
      <c r="CF45" s="302"/>
      <c r="CG45" s="302"/>
      <c r="CH45" s="302"/>
      <c r="CI45" s="302"/>
      <c r="CJ45" s="302"/>
      <c r="CK45" s="302"/>
      <c r="CL45" s="302"/>
      <c r="CM45" s="302"/>
      <c r="CN45" s="302"/>
      <c r="CO45" s="302"/>
      <c r="CP45" s="302"/>
      <c r="CQ45" s="302"/>
      <c r="CR45" s="302"/>
      <c r="CS45" s="302"/>
      <c r="CT45" s="302"/>
      <c r="CU45" s="302"/>
      <c r="CV45" s="302"/>
      <c r="CW45" s="302"/>
      <c r="CX45" s="302"/>
      <c r="CY45" s="302"/>
      <c r="CZ45" s="302"/>
      <c r="DA45" s="302"/>
      <c r="DB45" s="302"/>
      <c r="DC45" s="302"/>
      <c r="DD45" s="302"/>
      <c r="DE45" s="302"/>
      <c r="DF45" s="302"/>
      <c r="DG45" s="302"/>
      <c r="DH45" s="302"/>
      <c r="DI45" s="302"/>
      <c r="DJ45" s="302"/>
      <c r="DK45" s="302"/>
      <c r="DL45" s="302"/>
      <c r="DM45" s="302"/>
      <c r="DN45" s="302"/>
      <c r="DO45" s="302"/>
      <c r="DP45" s="302"/>
      <c r="DQ45" s="302"/>
      <c r="DR45" s="302"/>
      <c r="DS45" s="302"/>
      <c r="DT45" s="302"/>
      <c r="DU45" s="302"/>
      <c r="DV45" s="302"/>
      <c r="DW45" s="302"/>
      <c r="DX45" s="302"/>
      <c r="DY45" s="302"/>
      <c r="DZ45" s="302"/>
      <c r="EA45" s="302"/>
      <c r="EB45" s="302"/>
      <c r="EC45" s="302">
        <f>-(EC119+EC120+EC121+EC122+EC123)*(0.00631735883861675/0.130549381530569)</f>
        <v>-5.610499336570169E-3</v>
      </c>
      <c r="ED45" s="302"/>
      <c r="EE45" s="302"/>
      <c r="EF45" s="302"/>
      <c r="EG45" s="302"/>
      <c r="EH45" s="302"/>
      <c r="EI45" s="302"/>
      <c r="EJ45" s="302"/>
      <c r="EK45" s="302"/>
      <c r="EL45" s="302"/>
      <c r="EM45" s="302"/>
      <c r="EN45" s="302"/>
      <c r="EO45" s="302"/>
      <c r="EP45" s="302"/>
      <c r="EQ45" s="302"/>
      <c r="ER45" s="302"/>
      <c r="ES45" s="302"/>
      <c r="ET45" s="302"/>
      <c r="EU45" s="302"/>
      <c r="EV45" s="302"/>
      <c r="EW45" s="302"/>
      <c r="EX45" s="302"/>
      <c r="EY45" s="302"/>
    </row>
    <row r="46" spans="1:187" s="27" customFormat="1" x14ac:dyDescent="0.2">
      <c r="A46" s="125"/>
      <c r="B46" s="39"/>
      <c r="C46" s="86">
        <f t="shared" si="9"/>
        <v>0</v>
      </c>
      <c r="D46" s="103" t="s">
        <v>989</v>
      </c>
      <c r="E46" s="86">
        <f t="shared" ref="E46:E109" si="12">SUM(G46:HS46)</f>
        <v>0</v>
      </c>
      <c r="F46" s="126" t="s">
        <v>228</v>
      </c>
      <c r="G46" s="297"/>
      <c r="H46" s="297"/>
      <c r="I46" s="297"/>
      <c r="J46" s="297"/>
      <c r="K46" s="297"/>
      <c r="L46" s="297"/>
      <c r="M46" s="297"/>
      <c r="N46" s="297"/>
      <c r="O46" s="297"/>
      <c r="P46" s="123"/>
      <c r="Q46" s="297"/>
      <c r="R46" s="297"/>
      <c r="S46" s="298"/>
      <c r="T46" s="298"/>
      <c r="U46" s="298"/>
      <c r="V46" s="298"/>
      <c r="W46" s="298"/>
      <c r="X46" s="298"/>
      <c r="Y46" s="123"/>
      <c r="Z46" s="123"/>
      <c r="AA46" s="123"/>
      <c r="AB46" s="123"/>
      <c r="AC46" s="123"/>
      <c r="AD46" s="123"/>
      <c r="AE46" s="123"/>
      <c r="AF46" s="297"/>
      <c r="AG46" s="123"/>
      <c r="AH46" s="301"/>
      <c r="AI46" s="123"/>
      <c r="AJ46" s="297"/>
      <c r="AK46" s="297"/>
      <c r="AL46" s="297"/>
      <c r="AM46" s="297"/>
      <c r="AN46" s="297"/>
      <c r="AO46" s="297"/>
      <c r="AP46" s="297"/>
      <c r="AQ46" s="297"/>
      <c r="AR46" s="299"/>
      <c r="AS46" s="299"/>
      <c r="AT46" s="302"/>
      <c r="AU46" s="302"/>
      <c r="AV46" s="302"/>
      <c r="AW46" s="302">
        <v>2.5269435354466998E-3</v>
      </c>
      <c r="AX46" s="302"/>
      <c r="AY46" s="302"/>
      <c r="AZ46" s="302"/>
      <c r="BA46" s="302"/>
      <c r="BB46" s="302">
        <v>3.7904153031700499E-3</v>
      </c>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c r="CE46" s="302"/>
      <c r="CF46" s="302"/>
      <c r="CG46" s="302"/>
      <c r="CH46" s="302"/>
      <c r="CI46" s="302"/>
      <c r="CJ46" s="302"/>
      <c r="CK46" s="302">
        <v>-6.317358838616751E-3</v>
      </c>
      <c r="CL46" s="302"/>
      <c r="CM46" s="302"/>
      <c r="CN46" s="302"/>
      <c r="CO46" s="302"/>
      <c r="CP46" s="302"/>
      <c r="CQ46" s="302"/>
      <c r="CR46" s="302"/>
      <c r="CS46" s="302"/>
      <c r="CT46" s="302"/>
      <c r="CU46" s="302"/>
      <c r="CV46" s="302"/>
      <c r="CW46" s="302"/>
      <c r="CX46" s="302"/>
      <c r="CY46" s="302"/>
      <c r="CZ46" s="302"/>
      <c r="DA46" s="302"/>
      <c r="DB46" s="302"/>
      <c r="DC46" s="302"/>
      <c r="DD46" s="302"/>
      <c r="DE46" s="302"/>
      <c r="DF46" s="302"/>
      <c r="DG46" s="302"/>
      <c r="DH46" s="302"/>
      <c r="DI46" s="302"/>
      <c r="DJ46" s="302"/>
      <c r="DK46" s="302"/>
      <c r="DL46" s="302"/>
      <c r="DM46" s="302"/>
      <c r="DN46" s="302"/>
      <c r="DO46" s="302"/>
      <c r="DP46" s="302"/>
      <c r="DQ46" s="302"/>
      <c r="DR46" s="302"/>
      <c r="DS46" s="302"/>
      <c r="DT46" s="302"/>
      <c r="DU46" s="302"/>
      <c r="DV46" s="302"/>
      <c r="DW46" s="302"/>
      <c r="DX46" s="302"/>
      <c r="DY46" s="302"/>
      <c r="DZ46" s="302"/>
      <c r="EA46" s="302"/>
      <c r="EB46" s="302"/>
      <c r="EC46" s="302"/>
      <c r="ED46" s="302"/>
      <c r="EE46" s="302"/>
      <c r="EF46" s="302"/>
      <c r="EG46" s="302"/>
      <c r="EH46" s="302"/>
      <c r="EI46" s="302"/>
      <c r="EJ46" s="302"/>
      <c r="EK46" s="302"/>
      <c r="EL46" s="302"/>
      <c r="EM46" s="302"/>
      <c r="EN46" s="302"/>
      <c r="EO46" s="302"/>
      <c r="EP46" s="302"/>
      <c r="EQ46" s="302"/>
      <c r="ER46" s="302"/>
      <c r="ES46" s="302"/>
      <c r="ET46" s="302"/>
      <c r="EU46" s="302"/>
      <c r="EV46" s="302"/>
      <c r="EW46" s="302"/>
      <c r="EX46" s="302"/>
      <c r="EY46" s="302"/>
    </row>
    <row r="47" spans="1:187" s="27" customFormat="1" x14ac:dyDescent="0.2">
      <c r="A47" s="125"/>
      <c r="B47" s="39"/>
      <c r="C47" s="86">
        <f t="shared" si="9"/>
        <v>0</v>
      </c>
      <c r="D47" s="104" t="s">
        <v>1001</v>
      </c>
      <c r="E47" s="86">
        <f t="shared" si="12"/>
        <v>0</v>
      </c>
      <c r="F47" s="126" t="s">
        <v>228</v>
      </c>
      <c r="G47" s="297"/>
      <c r="H47" s="297"/>
      <c r="I47" s="297"/>
      <c r="J47" s="297"/>
      <c r="K47" s="297"/>
      <c r="L47" s="297"/>
      <c r="M47" s="297"/>
      <c r="N47" s="297"/>
      <c r="O47" s="297"/>
      <c r="P47" s="123"/>
      <c r="Q47" s="297"/>
      <c r="R47" s="297"/>
      <c r="S47" s="297"/>
      <c r="T47" s="297"/>
      <c r="U47" s="297"/>
      <c r="V47" s="297"/>
      <c r="W47" s="297"/>
      <c r="X47" s="297"/>
      <c r="Y47" s="123"/>
      <c r="Z47" s="123"/>
      <c r="AA47" s="123"/>
      <c r="AB47" s="123"/>
      <c r="AC47" s="123"/>
      <c r="AD47" s="123"/>
      <c r="AE47" s="123"/>
      <c r="AF47" s="297"/>
      <c r="AG47" s="123"/>
      <c r="AH47" s="297"/>
      <c r="AI47" s="124"/>
      <c r="AJ47" s="297"/>
      <c r="AK47" s="297"/>
      <c r="AL47" s="297"/>
      <c r="AM47" s="297"/>
      <c r="AN47" s="297"/>
      <c r="AO47" s="297"/>
      <c r="AP47" s="297"/>
      <c r="AQ47" s="297"/>
      <c r="AR47" s="299"/>
      <c r="AS47" s="299"/>
      <c r="AT47" s="302"/>
      <c r="AU47" s="302"/>
      <c r="AV47" s="302"/>
      <c r="AW47" s="302"/>
      <c r="AX47" s="302">
        <v>5.0538870708934001E-2</v>
      </c>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c r="CL47" s="302"/>
      <c r="CM47" s="302"/>
      <c r="CN47" s="302"/>
      <c r="CO47" s="302"/>
      <c r="CP47" s="302"/>
      <c r="CQ47" s="302"/>
      <c r="CR47" s="302"/>
      <c r="CS47" s="302"/>
      <c r="CT47" s="302"/>
      <c r="CU47" s="302"/>
      <c r="CV47" s="302"/>
      <c r="CW47" s="302"/>
      <c r="CX47" s="302"/>
      <c r="CY47" s="302"/>
      <c r="CZ47" s="302"/>
      <c r="DA47" s="302"/>
      <c r="DB47" s="302"/>
      <c r="DC47" s="302"/>
      <c r="DD47" s="302"/>
      <c r="DE47" s="302">
        <f>-(40/791.47)</f>
        <v>-5.0538870708934008E-2</v>
      </c>
      <c r="DF47" s="302"/>
      <c r="DG47" s="302"/>
      <c r="DH47" s="302"/>
      <c r="DI47" s="302"/>
      <c r="DJ47" s="302"/>
      <c r="DK47" s="302"/>
      <c r="DL47" s="302"/>
      <c r="DM47" s="302"/>
      <c r="DN47" s="302"/>
      <c r="DO47" s="302"/>
      <c r="DP47" s="302"/>
      <c r="DQ47" s="302"/>
      <c r="DR47" s="302"/>
      <c r="DS47" s="302"/>
      <c r="DT47" s="302"/>
      <c r="DU47" s="302"/>
      <c r="DV47" s="302"/>
      <c r="DW47" s="302"/>
      <c r="DX47" s="302"/>
      <c r="DY47" s="302"/>
      <c r="DZ47" s="302"/>
      <c r="EA47" s="302"/>
      <c r="EB47" s="302"/>
      <c r="EC47" s="302"/>
      <c r="ED47" s="302"/>
      <c r="EE47" s="302"/>
      <c r="EF47" s="302"/>
      <c r="EG47" s="302"/>
      <c r="EH47" s="302"/>
      <c r="EI47" s="302"/>
      <c r="EJ47" s="302"/>
      <c r="EK47" s="302"/>
      <c r="EL47" s="302"/>
      <c r="EM47" s="302"/>
      <c r="EN47" s="302"/>
      <c r="EO47" s="302"/>
      <c r="EP47" s="302"/>
      <c r="EQ47" s="302"/>
      <c r="ER47" s="302"/>
      <c r="ES47" s="302"/>
      <c r="ET47" s="302"/>
      <c r="EU47" s="302"/>
      <c r="EV47" s="302"/>
      <c r="EW47" s="302"/>
      <c r="EX47" s="302"/>
      <c r="EY47" s="302"/>
    </row>
    <row r="48" spans="1:187" s="27" customFormat="1" x14ac:dyDescent="0.2">
      <c r="A48" s="125"/>
      <c r="B48" s="39"/>
      <c r="C48" s="36">
        <f t="shared" si="9"/>
        <v>0</v>
      </c>
      <c r="D48" s="103" t="s">
        <v>1036</v>
      </c>
      <c r="E48" s="36">
        <f t="shared" si="12"/>
        <v>0</v>
      </c>
      <c r="F48" s="126" t="s">
        <v>228</v>
      </c>
      <c r="G48" s="297"/>
      <c r="H48" s="297"/>
      <c r="I48" s="297"/>
      <c r="J48" s="297"/>
      <c r="K48" s="297"/>
      <c r="L48" s="297"/>
      <c r="M48" s="297"/>
      <c r="N48" s="297"/>
      <c r="O48" s="297"/>
      <c r="P48" s="124"/>
      <c r="Q48" s="297"/>
      <c r="R48" s="297"/>
      <c r="S48" s="297"/>
      <c r="T48" s="297"/>
      <c r="U48" s="297"/>
      <c r="V48" s="297"/>
      <c r="W48" s="297"/>
      <c r="X48" s="297"/>
      <c r="Y48" s="123"/>
      <c r="Z48" s="123"/>
      <c r="AA48" s="123"/>
      <c r="AB48" s="123"/>
      <c r="AC48" s="123"/>
      <c r="AD48" s="123"/>
      <c r="AE48" s="123"/>
      <c r="AF48" s="297"/>
      <c r="AG48" s="123"/>
      <c r="AH48" s="301"/>
      <c r="AI48" s="124"/>
      <c r="AJ48" s="297"/>
      <c r="AK48" s="297"/>
      <c r="AL48" s="297"/>
      <c r="AM48" s="297"/>
      <c r="AN48" s="297"/>
      <c r="AO48" s="297"/>
      <c r="AP48" s="297"/>
      <c r="AQ48" s="297"/>
      <c r="AR48" s="299"/>
      <c r="AS48" s="299"/>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c r="CE48" s="302"/>
      <c r="CF48" s="302"/>
      <c r="CG48" s="302"/>
      <c r="CH48" s="302"/>
      <c r="CI48" s="302"/>
      <c r="CJ48" s="302"/>
      <c r="CK48" s="302"/>
      <c r="CL48" s="302"/>
      <c r="CM48" s="302"/>
      <c r="CN48" s="302"/>
      <c r="CO48" s="302"/>
      <c r="CP48" s="302"/>
      <c r="CQ48" s="302"/>
      <c r="CR48" s="302"/>
      <c r="CS48" s="302"/>
      <c r="CT48" s="302"/>
      <c r="CU48" s="302"/>
      <c r="CV48" s="302"/>
      <c r="CW48" s="302"/>
      <c r="CX48" s="302"/>
      <c r="CY48" s="302"/>
      <c r="CZ48" s="302"/>
      <c r="DA48" s="302"/>
      <c r="DB48" s="302"/>
      <c r="DC48" s="302"/>
      <c r="DD48" s="302"/>
      <c r="DE48" s="302"/>
      <c r="DF48" s="302"/>
      <c r="DG48" s="302"/>
      <c r="DH48" s="302"/>
      <c r="DI48" s="302"/>
      <c r="DJ48" s="302"/>
      <c r="DK48" s="302"/>
      <c r="DL48" s="302"/>
      <c r="DM48" s="302"/>
      <c r="DN48" s="302"/>
      <c r="DO48" s="302"/>
      <c r="DP48" s="302"/>
      <c r="DQ48" s="302"/>
      <c r="DR48" s="302"/>
      <c r="DS48" s="302"/>
      <c r="DT48" s="302"/>
      <c r="DU48" s="302"/>
      <c r="DV48" s="302"/>
      <c r="DW48" s="302"/>
      <c r="DX48" s="302"/>
      <c r="DY48" s="302"/>
      <c r="DZ48" s="302"/>
      <c r="EA48" s="302"/>
      <c r="EB48" s="302"/>
      <c r="EC48" s="302"/>
      <c r="ED48" s="302"/>
      <c r="EE48" s="302"/>
      <c r="EF48" s="302"/>
      <c r="EG48" s="302"/>
      <c r="EH48" s="302"/>
      <c r="EI48" s="302"/>
      <c r="EJ48" s="302"/>
      <c r="EK48" s="302"/>
      <c r="EL48" s="302"/>
      <c r="EM48" s="302"/>
      <c r="EN48" s="302"/>
      <c r="EO48" s="302"/>
      <c r="EP48" s="302"/>
      <c r="EQ48" s="302"/>
      <c r="ER48" s="302"/>
      <c r="ES48" s="302"/>
      <c r="ET48" s="302"/>
      <c r="EU48" s="302"/>
      <c r="EV48" s="302"/>
      <c r="EW48" s="302"/>
      <c r="EX48" s="302"/>
      <c r="EY48" s="302"/>
    </row>
    <row r="49" spans="1:155" s="27" customFormat="1" x14ac:dyDescent="0.2">
      <c r="A49" s="125"/>
      <c r="B49" s="39"/>
      <c r="C49" s="86">
        <f t="shared" si="9"/>
        <v>1.1685905224455251</v>
      </c>
      <c r="D49" s="3" t="s">
        <v>1039</v>
      </c>
      <c r="E49" s="36">
        <f t="shared" si="12"/>
        <v>7.3036907652845318E-3</v>
      </c>
      <c r="F49" s="126" t="s">
        <v>228</v>
      </c>
      <c r="G49" s="297"/>
      <c r="H49" s="297"/>
      <c r="I49" s="297"/>
      <c r="J49" s="297"/>
      <c r="K49" s="297"/>
      <c r="L49" s="297"/>
      <c r="M49" s="297"/>
      <c r="N49" s="297"/>
      <c r="O49" s="297"/>
      <c r="P49" s="124"/>
      <c r="Q49" s="297"/>
      <c r="R49" s="297"/>
      <c r="S49" s="297"/>
      <c r="T49" s="297"/>
      <c r="U49" s="297"/>
      <c r="V49" s="297"/>
      <c r="W49" s="297"/>
      <c r="X49" s="297"/>
      <c r="Y49" s="123"/>
      <c r="Z49" s="123"/>
      <c r="AA49" s="123"/>
      <c r="AB49" s="123"/>
      <c r="AC49" s="123"/>
      <c r="AD49" s="123"/>
      <c r="AE49" s="123"/>
      <c r="AF49" s="297"/>
      <c r="AG49" s="123"/>
      <c r="AH49" s="301"/>
      <c r="AI49" s="123"/>
      <c r="AJ49" s="297"/>
      <c r="AK49" s="297"/>
      <c r="AL49" s="297"/>
      <c r="AM49" s="297"/>
      <c r="AN49" s="297"/>
      <c r="AO49" s="297"/>
      <c r="AP49" s="297"/>
      <c r="AQ49" s="297"/>
      <c r="AR49" s="299"/>
      <c r="AS49" s="299"/>
      <c r="AT49" s="302"/>
      <c r="AU49" s="302"/>
      <c r="AV49" s="302"/>
      <c r="AW49" s="302"/>
      <c r="AX49" s="302"/>
      <c r="AY49" s="302"/>
      <c r="AZ49" s="302"/>
      <c r="BA49" s="302"/>
      <c r="BB49" s="302"/>
      <c r="BC49" s="302"/>
      <c r="BD49" s="302"/>
      <c r="BE49" s="302">
        <v>5.4956809481092099E-2</v>
      </c>
      <c r="BF49" s="302"/>
      <c r="BG49" s="302"/>
      <c r="BH49" s="302"/>
      <c r="BI49" s="302"/>
      <c r="BJ49" s="302"/>
      <c r="BK49" s="302"/>
      <c r="BL49" s="302"/>
      <c r="BM49" s="302"/>
      <c r="BN49" s="302"/>
      <c r="BO49" s="302"/>
      <c r="BP49" s="302"/>
      <c r="BQ49" s="302"/>
      <c r="BR49" s="302"/>
      <c r="BS49" s="302"/>
      <c r="BT49" s="302"/>
      <c r="BU49" s="302"/>
      <c r="BV49" s="302"/>
      <c r="BW49" s="302">
        <v>4.2115683475052752E-3</v>
      </c>
      <c r="BX49" s="302"/>
      <c r="BY49" s="302"/>
      <c r="BZ49" s="302"/>
      <c r="CA49" s="302"/>
      <c r="CB49" s="302"/>
      <c r="CC49" s="302"/>
      <c r="CD49" s="302"/>
      <c r="CE49" s="302"/>
      <c r="CF49" s="302"/>
      <c r="CG49" s="302"/>
      <c r="CH49" s="302">
        <v>6.1063129366874299E-3</v>
      </c>
      <c r="CI49" s="302"/>
      <c r="CJ49" s="302"/>
      <c r="CK49" s="302"/>
      <c r="CL49" s="302"/>
      <c r="CM49" s="302"/>
      <c r="CN49" s="302"/>
      <c r="CO49" s="302"/>
      <c r="CP49" s="302"/>
      <c r="CQ49" s="302"/>
      <c r="CR49" s="302"/>
      <c r="CS49" s="302"/>
      <c r="CT49" s="302"/>
      <c r="CU49" s="302"/>
      <c r="CV49" s="302"/>
      <c r="CW49" s="302"/>
      <c r="CX49" s="302"/>
      <c r="CY49" s="302"/>
      <c r="CZ49" s="302"/>
      <c r="DA49" s="302"/>
      <c r="DB49" s="302"/>
      <c r="DC49" s="302"/>
      <c r="DD49" s="302"/>
      <c r="DE49" s="302"/>
      <c r="DF49" s="302"/>
      <c r="DG49" s="302"/>
      <c r="DH49" s="302"/>
      <c r="DI49" s="302"/>
      <c r="DJ49" s="302"/>
      <c r="DK49" s="302"/>
      <c r="DL49" s="302"/>
      <c r="DM49" s="302"/>
      <c r="DN49" s="302"/>
      <c r="DO49" s="302"/>
      <c r="DP49" s="302"/>
      <c r="DQ49" s="302"/>
      <c r="DR49" s="302"/>
      <c r="DS49" s="302"/>
      <c r="DT49" s="302"/>
      <c r="DU49" s="302"/>
      <c r="DV49" s="302"/>
      <c r="DW49" s="302"/>
      <c r="DX49" s="302"/>
      <c r="DY49" s="302"/>
      <c r="DZ49" s="302"/>
      <c r="EA49" s="302"/>
      <c r="EB49" s="302"/>
      <c r="EC49" s="302">
        <f>-(EC119+EC120+EC121+EC122+EC123)*(0.0652746907652848/0.130549381530569)</f>
        <v>-5.7971000000000272E-2</v>
      </c>
      <c r="ED49" s="302"/>
      <c r="EE49" s="302"/>
      <c r="EF49" s="302"/>
      <c r="EG49" s="302"/>
      <c r="EH49" s="302"/>
      <c r="EI49" s="302"/>
      <c r="EJ49" s="302"/>
      <c r="EK49" s="302"/>
      <c r="EL49" s="302"/>
      <c r="EM49" s="302"/>
      <c r="EN49" s="302"/>
      <c r="EO49" s="302"/>
      <c r="EP49" s="302"/>
      <c r="EQ49" s="302"/>
      <c r="ER49" s="302"/>
      <c r="ES49" s="302"/>
      <c r="ET49" s="302"/>
      <c r="EU49" s="302"/>
      <c r="EV49" s="302"/>
      <c r="EW49" s="302"/>
      <c r="EX49" s="302"/>
      <c r="EY49" s="302"/>
    </row>
    <row r="50" spans="1:155" s="27" customFormat="1" x14ac:dyDescent="0.2">
      <c r="A50" s="125"/>
      <c r="B50" s="39"/>
      <c r="C50" s="36">
        <f t="shared" si="9"/>
        <v>0.70687020354529451</v>
      </c>
      <c r="D50" s="4" t="s">
        <v>1057</v>
      </c>
      <c r="E50" s="36">
        <f t="shared" si="12"/>
        <v>4.4179387721580907E-3</v>
      </c>
      <c r="F50" s="126" t="s">
        <v>228</v>
      </c>
      <c r="G50" s="297"/>
      <c r="H50" s="297"/>
      <c r="I50" s="297"/>
      <c r="J50" s="297"/>
      <c r="K50" s="297"/>
      <c r="L50" s="297"/>
      <c r="M50" s="297"/>
      <c r="N50" s="297"/>
      <c r="O50" s="297"/>
      <c r="P50" s="123"/>
      <c r="Q50" s="297"/>
      <c r="R50" s="297"/>
      <c r="S50" s="297"/>
      <c r="T50" s="297"/>
      <c r="U50" s="297"/>
      <c r="V50" s="297">
        <f>-40/791.47</f>
        <v>-5.0538870708934008E-2</v>
      </c>
      <c r="W50" s="297"/>
      <c r="X50" s="297"/>
      <c r="Y50" s="123"/>
      <c r="Z50" s="123"/>
      <c r="AA50" s="123"/>
      <c r="AB50" s="123"/>
      <c r="AC50" s="123"/>
      <c r="AD50" s="123"/>
      <c r="AE50" s="123"/>
      <c r="AF50" s="297"/>
      <c r="AG50" s="123"/>
      <c r="AH50" s="301"/>
      <c r="AI50" s="123"/>
      <c r="AJ50" s="297"/>
      <c r="AK50" s="297"/>
      <c r="AL50" s="297"/>
      <c r="AM50" s="297"/>
      <c r="AN50" s="297"/>
      <c r="AO50" s="297"/>
      <c r="AP50" s="297"/>
      <c r="AQ50" s="297"/>
      <c r="AR50" s="299"/>
      <c r="AS50" s="299"/>
      <c r="AT50" s="302"/>
      <c r="AU50" s="302"/>
      <c r="AV50" s="302"/>
      <c r="AW50" s="302"/>
      <c r="AX50" s="302"/>
      <c r="AY50" s="302"/>
      <c r="AZ50" s="302"/>
      <c r="BA50" s="302"/>
      <c r="BB50" s="302"/>
      <c r="BC50" s="302"/>
      <c r="BD50" s="302"/>
      <c r="BE50" s="302"/>
      <c r="BF50" s="302"/>
      <c r="BG50" s="302"/>
      <c r="BH50" s="302"/>
      <c r="BI50" s="302"/>
      <c r="BJ50" s="302"/>
      <c r="BK50" s="302">
        <v>5.4956809481092099E-2</v>
      </c>
      <c r="BL50" s="302"/>
      <c r="BM50" s="302"/>
      <c r="BN50" s="302"/>
      <c r="BO50" s="302"/>
      <c r="BP50" s="302"/>
      <c r="BQ50" s="302"/>
      <c r="BR50" s="302"/>
      <c r="BS50" s="302"/>
      <c r="BT50" s="302"/>
      <c r="BU50" s="302"/>
      <c r="BV50" s="302"/>
      <c r="BW50" s="302"/>
      <c r="BX50" s="302"/>
      <c r="BY50" s="302"/>
      <c r="BZ50" s="302"/>
      <c r="CA50" s="302"/>
      <c r="CB50" s="302"/>
      <c r="CC50" s="302"/>
      <c r="CD50" s="302"/>
      <c r="CE50" s="302"/>
      <c r="CF50" s="302"/>
      <c r="CG50" s="302"/>
      <c r="CH50" s="302"/>
      <c r="CI50" s="302"/>
      <c r="CJ50" s="302"/>
      <c r="CK50" s="302"/>
      <c r="CL50" s="302"/>
      <c r="CM50" s="302"/>
      <c r="CN50" s="302"/>
      <c r="CO50" s="302"/>
      <c r="CP50" s="302"/>
      <c r="CQ50" s="302"/>
      <c r="CR50" s="302"/>
      <c r="CS50" s="302"/>
      <c r="CT50" s="302"/>
      <c r="CU50" s="302"/>
      <c r="CV50" s="302"/>
      <c r="CW50" s="302"/>
      <c r="CX50" s="302"/>
      <c r="CY50" s="302"/>
      <c r="CZ50" s="302"/>
      <c r="DA50" s="302"/>
      <c r="DB50" s="302"/>
      <c r="DC50" s="302"/>
      <c r="DD50" s="302"/>
      <c r="DE50" s="302"/>
      <c r="DF50" s="302"/>
      <c r="DG50" s="302"/>
      <c r="DH50" s="302"/>
      <c r="DI50" s="302"/>
      <c r="DJ50" s="302"/>
      <c r="DK50" s="302"/>
      <c r="DL50" s="302"/>
      <c r="DM50" s="302"/>
      <c r="DN50" s="302"/>
      <c r="DO50" s="302"/>
      <c r="DP50" s="302"/>
      <c r="DQ50" s="302"/>
      <c r="DR50" s="302"/>
      <c r="DS50" s="302"/>
      <c r="DT50" s="302"/>
      <c r="DU50" s="302"/>
      <c r="DV50" s="302"/>
      <c r="DW50" s="302"/>
      <c r="DX50" s="302"/>
      <c r="DY50" s="302"/>
      <c r="DZ50" s="302"/>
      <c r="EA50" s="302"/>
      <c r="EB50" s="302"/>
      <c r="EC50" s="302"/>
      <c r="ED50" s="302"/>
      <c r="EE50" s="302"/>
      <c r="EF50" s="302"/>
      <c r="EG50" s="302"/>
      <c r="EH50" s="302"/>
      <c r="EI50" s="302"/>
      <c r="EJ50" s="302"/>
      <c r="EK50" s="302"/>
      <c r="EL50" s="302"/>
      <c r="EM50" s="302"/>
      <c r="EN50" s="302"/>
      <c r="EO50" s="302"/>
      <c r="EP50" s="302"/>
      <c r="EQ50" s="302"/>
      <c r="ER50" s="302"/>
      <c r="ES50" s="302"/>
      <c r="ET50" s="302"/>
      <c r="EU50" s="302"/>
      <c r="EV50" s="302"/>
      <c r="EW50" s="302"/>
      <c r="EX50" s="302"/>
      <c r="EY50" s="302"/>
    </row>
    <row r="51" spans="1:155" s="27" customFormat="1" x14ac:dyDescent="0.2">
      <c r="A51" s="125"/>
      <c r="B51" s="39"/>
      <c r="C51" s="36">
        <f t="shared" si="9"/>
        <v>0</v>
      </c>
      <c r="D51" s="103" t="s">
        <v>2719</v>
      </c>
      <c r="E51" s="36">
        <f t="shared" si="12"/>
        <v>0</v>
      </c>
      <c r="F51" s="126" t="s">
        <v>228</v>
      </c>
      <c r="G51" s="297"/>
      <c r="H51" s="297"/>
      <c r="I51" s="297"/>
      <c r="J51" s="297"/>
      <c r="K51" s="297"/>
      <c r="L51" s="297"/>
      <c r="M51" s="297"/>
      <c r="N51" s="297"/>
      <c r="O51" s="297"/>
      <c r="P51" s="123"/>
      <c r="Q51" s="297"/>
      <c r="R51" s="297"/>
      <c r="S51" s="297"/>
      <c r="T51" s="297"/>
      <c r="U51" s="297"/>
      <c r="V51" s="297"/>
      <c r="W51" s="297"/>
      <c r="X51" s="297"/>
      <c r="Y51" s="123"/>
      <c r="Z51" s="123"/>
      <c r="AA51" s="123"/>
      <c r="AB51" s="123"/>
      <c r="AC51" s="123"/>
      <c r="AD51" s="123"/>
      <c r="AE51" s="123"/>
      <c r="AF51" s="297"/>
      <c r="AG51" s="123"/>
      <c r="AH51" s="297"/>
      <c r="AI51" s="123"/>
      <c r="AJ51" s="297"/>
      <c r="AK51" s="297"/>
      <c r="AL51" s="297"/>
      <c r="AM51" s="297"/>
      <c r="AN51" s="297"/>
      <c r="AO51" s="297"/>
      <c r="AP51" s="297"/>
      <c r="AQ51" s="297"/>
      <c r="AR51" s="299"/>
      <c r="AS51" s="299"/>
      <c r="AT51" s="302"/>
      <c r="AU51" s="302"/>
      <c r="AV51" s="302"/>
      <c r="AW51" s="302"/>
      <c r="AX51" s="302"/>
      <c r="AY51" s="302"/>
      <c r="AZ51" s="302"/>
      <c r="BA51" s="302"/>
      <c r="BB51" s="302"/>
      <c r="BC51" s="302"/>
      <c r="BD51" s="302"/>
      <c r="BE51" s="302"/>
      <c r="BF51" s="302"/>
      <c r="BG51" s="302"/>
      <c r="BH51" s="302"/>
      <c r="BI51" s="302"/>
      <c r="BJ51" s="302"/>
      <c r="BK51" s="302"/>
      <c r="BL51" s="302">
        <v>0</v>
      </c>
      <c r="BM51" s="302"/>
      <c r="BN51" s="302"/>
      <c r="BO51" s="302"/>
      <c r="BP51" s="302"/>
      <c r="BQ51" s="302"/>
      <c r="BR51" s="302"/>
      <c r="BS51" s="302"/>
      <c r="BT51" s="302"/>
      <c r="BU51" s="302"/>
      <c r="BV51" s="302"/>
      <c r="BW51" s="302"/>
      <c r="BX51" s="302"/>
      <c r="BY51" s="302"/>
      <c r="BZ51" s="302"/>
      <c r="CA51" s="302"/>
      <c r="CB51" s="302"/>
      <c r="CC51" s="302"/>
      <c r="CD51" s="302"/>
      <c r="CE51" s="302"/>
      <c r="CF51" s="302"/>
      <c r="CG51" s="302"/>
      <c r="CH51" s="302"/>
      <c r="CI51" s="302"/>
      <c r="CJ51" s="302"/>
      <c r="CK51" s="302"/>
      <c r="CL51" s="302"/>
      <c r="CM51" s="302"/>
      <c r="CN51" s="302"/>
      <c r="CO51" s="302"/>
      <c r="CP51" s="302"/>
      <c r="CQ51" s="302"/>
      <c r="CR51" s="302"/>
      <c r="CS51" s="302"/>
      <c r="CT51" s="302"/>
      <c r="CU51" s="302"/>
      <c r="CV51" s="302"/>
      <c r="CW51" s="302"/>
      <c r="CX51" s="302"/>
      <c r="CY51" s="302"/>
      <c r="CZ51" s="302"/>
      <c r="DA51" s="302"/>
      <c r="DB51" s="302"/>
      <c r="DC51" s="302"/>
      <c r="DD51" s="302"/>
      <c r="DE51" s="302"/>
      <c r="DF51" s="302"/>
      <c r="DG51" s="302"/>
      <c r="DH51" s="302"/>
      <c r="DI51" s="302"/>
      <c r="DJ51" s="302"/>
      <c r="DK51" s="302"/>
      <c r="DL51" s="302"/>
      <c r="DM51" s="302"/>
      <c r="DN51" s="302"/>
      <c r="DO51" s="302"/>
      <c r="DP51" s="302"/>
      <c r="DQ51" s="302"/>
      <c r="DR51" s="302"/>
      <c r="DS51" s="302"/>
      <c r="DT51" s="302"/>
      <c r="DU51" s="302"/>
      <c r="DV51" s="302"/>
      <c r="DW51" s="302"/>
      <c r="DX51" s="302"/>
      <c r="DY51" s="302"/>
      <c r="DZ51" s="302"/>
      <c r="EA51" s="302"/>
      <c r="EB51" s="302"/>
      <c r="EC51" s="302"/>
      <c r="ED51" s="302"/>
      <c r="EE51" s="302"/>
      <c r="EF51" s="302"/>
      <c r="EG51" s="302"/>
      <c r="EH51" s="302"/>
      <c r="EI51" s="302"/>
      <c r="EJ51" s="302"/>
      <c r="EK51" s="302"/>
      <c r="EL51" s="302"/>
      <c r="EM51" s="302"/>
      <c r="EN51" s="302"/>
      <c r="EO51" s="302"/>
      <c r="EP51" s="302"/>
      <c r="EQ51" s="302"/>
      <c r="ER51" s="302"/>
      <c r="ES51" s="302"/>
      <c r="ET51" s="302"/>
      <c r="EU51" s="302"/>
      <c r="EV51" s="302"/>
      <c r="EW51" s="302"/>
      <c r="EX51" s="302"/>
      <c r="EY51" s="302"/>
    </row>
    <row r="52" spans="1:155" s="27" customFormat="1" x14ac:dyDescent="0.2">
      <c r="A52" s="38"/>
      <c r="B52" s="37"/>
      <c r="C52" s="86">
        <f t="shared" si="9"/>
        <v>9.2650849179375054</v>
      </c>
      <c r="D52" s="4" t="s">
        <v>348</v>
      </c>
      <c r="E52" s="86">
        <f t="shared" si="12"/>
        <v>5.7906780737109413E-2</v>
      </c>
      <c r="F52" s="126" t="s">
        <v>228</v>
      </c>
      <c r="G52" s="299"/>
      <c r="H52" s="299"/>
      <c r="I52" s="299"/>
      <c r="J52" s="299"/>
      <c r="K52" s="299"/>
      <c r="L52" s="299"/>
      <c r="M52" s="299"/>
      <c r="N52" s="299"/>
      <c r="O52" s="299"/>
      <c r="P52" s="100"/>
      <c r="Q52" s="299"/>
      <c r="R52" s="299"/>
      <c r="S52" s="299"/>
      <c r="T52" s="299"/>
      <c r="U52" s="299"/>
      <c r="V52" s="299"/>
      <c r="W52" s="302"/>
      <c r="X52" s="299"/>
      <c r="Y52" s="100"/>
      <c r="Z52" s="100"/>
      <c r="AA52" s="100"/>
      <c r="AB52" s="100"/>
      <c r="AC52" s="100"/>
      <c r="AD52" s="100"/>
      <c r="AE52" s="100"/>
      <c r="AF52" s="299"/>
      <c r="AG52" s="100"/>
      <c r="AH52" s="299"/>
      <c r="AI52" s="123"/>
      <c r="AJ52" s="302"/>
      <c r="AK52" s="299"/>
      <c r="AL52" s="299"/>
      <c r="AM52" s="299"/>
      <c r="AN52" s="299"/>
      <c r="AO52" s="299"/>
      <c r="AP52" s="299"/>
      <c r="AQ52" s="299"/>
      <c r="AR52" s="299"/>
      <c r="AS52" s="299"/>
      <c r="AT52" s="302"/>
      <c r="AU52" s="302"/>
      <c r="AV52" s="302"/>
      <c r="AW52" s="302"/>
      <c r="AX52" s="302"/>
      <c r="AY52" s="302"/>
      <c r="AZ52" s="302"/>
      <c r="BA52" s="302"/>
      <c r="BB52" s="302"/>
      <c r="BC52" s="302"/>
      <c r="BD52" s="302"/>
      <c r="BE52" s="302"/>
      <c r="BF52" s="302"/>
      <c r="BG52" s="302"/>
      <c r="BH52" s="302"/>
      <c r="BI52" s="302"/>
      <c r="BJ52" s="302"/>
      <c r="BK52" s="302"/>
      <c r="BL52" s="302"/>
      <c r="BM52" s="302">
        <v>1.2500000000000001E-2</v>
      </c>
      <c r="BN52" s="302"/>
      <c r="BO52" s="302"/>
      <c r="BP52" s="302"/>
      <c r="BQ52" s="302"/>
      <c r="BR52" s="302"/>
      <c r="BS52" s="302"/>
      <c r="BT52" s="302"/>
      <c r="BU52" s="302"/>
      <c r="BV52" s="302"/>
      <c r="BW52" s="302"/>
      <c r="BX52" s="302"/>
      <c r="BY52" s="302"/>
      <c r="BZ52" s="302">
        <v>1.2500000000000001E-2</v>
      </c>
      <c r="CA52" s="302"/>
      <c r="CB52" s="302"/>
      <c r="CC52" s="302"/>
      <c r="CD52" s="302"/>
      <c r="CE52" s="302"/>
      <c r="CF52" s="302"/>
      <c r="CG52" s="302"/>
      <c r="CH52" s="302"/>
      <c r="CI52" s="302"/>
      <c r="CJ52" s="302"/>
      <c r="CK52" s="302"/>
      <c r="CL52" s="302"/>
      <c r="CM52" s="302"/>
      <c r="CN52" s="302"/>
      <c r="CO52" s="302"/>
      <c r="CP52" s="302"/>
      <c r="CQ52" s="302"/>
      <c r="CR52" s="302"/>
      <c r="CS52" s="302"/>
      <c r="CT52" s="302"/>
      <c r="CU52" s="302"/>
      <c r="CV52" s="302"/>
      <c r="CW52" s="302"/>
      <c r="CX52" s="302"/>
      <c r="CY52" s="302"/>
      <c r="CZ52" s="302"/>
      <c r="DA52" s="302"/>
      <c r="DB52" s="302"/>
      <c r="DC52" s="302"/>
      <c r="DD52" s="302"/>
      <c r="DE52" s="302"/>
      <c r="DF52" s="302"/>
      <c r="DG52" s="302"/>
      <c r="DH52" s="302"/>
      <c r="DI52" s="302"/>
      <c r="DJ52" s="302"/>
      <c r="DK52" s="302"/>
      <c r="DL52" s="302"/>
      <c r="DM52" s="302"/>
      <c r="DN52" s="302"/>
      <c r="DO52" s="302"/>
      <c r="DP52" s="302"/>
      <c r="DQ52" s="302"/>
      <c r="DR52" s="302"/>
      <c r="DS52" s="302"/>
      <c r="DT52" s="302"/>
      <c r="DU52" s="302"/>
      <c r="DV52" s="302"/>
      <c r="DW52" s="302"/>
      <c r="DX52" s="302">
        <f>-DX20/2</f>
        <v>3.2906780737109412E-2</v>
      </c>
      <c r="DY52" s="302"/>
      <c r="DZ52" s="302"/>
      <c r="EA52" s="302"/>
      <c r="EB52" s="302"/>
      <c r="EC52" s="302"/>
      <c r="ED52" s="302"/>
      <c r="EE52" s="302"/>
      <c r="EF52" s="302"/>
      <c r="EG52" s="302"/>
      <c r="EH52" s="302"/>
      <c r="EI52" s="302"/>
      <c r="EJ52" s="302"/>
      <c r="EK52" s="302"/>
      <c r="EL52" s="302"/>
      <c r="EM52" s="302"/>
      <c r="EN52" s="302"/>
      <c r="EO52" s="302"/>
      <c r="EP52" s="302"/>
      <c r="EQ52" s="302"/>
      <c r="ER52" s="302"/>
      <c r="ES52" s="302"/>
      <c r="ET52" s="302"/>
      <c r="EU52" s="302"/>
      <c r="EV52" s="302"/>
      <c r="EW52" s="302"/>
      <c r="EX52" s="302"/>
      <c r="EY52" s="302"/>
    </row>
    <row r="53" spans="1:155" s="27" customFormat="1" x14ac:dyDescent="0.2">
      <c r="A53" s="38"/>
      <c r="B53" s="37"/>
      <c r="C53" s="86">
        <f t="shared" si="9"/>
        <v>7.2650849179375054</v>
      </c>
      <c r="D53" s="4" t="s">
        <v>351</v>
      </c>
      <c r="E53" s="86">
        <f t="shared" si="12"/>
        <v>4.5406780737109409E-2</v>
      </c>
      <c r="F53" s="126" t="s">
        <v>228</v>
      </c>
      <c r="G53" s="299"/>
      <c r="H53" s="299"/>
      <c r="I53" s="299"/>
      <c r="J53" s="299"/>
      <c r="K53" s="299"/>
      <c r="L53" s="299"/>
      <c r="M53" s="299"/>
      <c r="N53" s="299"/>
      <c r="O53" s="299"/>
      <c r="P53" s="100"/>
      <c r="Q53" s="299"/>
      <c r="R53" s="299"/>
      <c r="S53" s="299"/>
      <c r="T53" s="299"/>
      <c r="U53" s="299"/>
      <c r="V53" s="299"/>
      <c r="W53" s="299"/>
      <c r="X53" s="299"/>
      <c r="Y53" s="100"/>
      <c r="Z53" s="100"/>
      <c r="AA53" s="100"/>
      <c r="AB53" s="100"/>
      <c r="AC53" s="100"/>
      <c r="AD53" s="100"/>
      <c r="AE53" s="100"/>
      <c r="AF53" s="299"/>
      <c r="AG53" s="100"/>
      <c r="AH53" s="299"/>
      <c r="AI53" s="123"/>
      <c r="AJ53" s="299"/>
      <c r="AK53" s="299"/>
      <c r="AL53" s="299"/>
      <c r="AM53" s="299"/>
      <c r="AN53" s="299"/>
      <c r="AO53" s="299"/>
      <c r="AP53" s="299"/>
      <c r="AQ53" s="299"/>
      <c r="AR53" s="299"/>
      <c r="AS53" s="299"/>
      <c r="AT53" s="302"/>
      <c r="AU53" s="302"/>
      <c r="AV53" s="302"/>
      <c r="AW53" s="302"/>
      <c r="AX53" s="302"/>
      <c r="AY53" s="302"/>
      <c r="AZ53" s="302"/>
      <c r="BA53" s="302"/>
      <c r="BB53" s="302"/>
      <c r="BC53" s="302"/>
      <c r="BD53" s="302"/>
      <c r="BE53" s="302"/>
      <c r="BF53" s="302"/>
      <c r="BG53" s="302"/>
      <c r="BH53" s="302"/>
      <c r="BI53" s="302"/>
      <c r="BJ53" s="302"/>
      <c r="BK53" s="302"/>
      <c r="BL53" s="302"/>
      <c r="BM53" s="302"/>
      <c r="BN53" s="302">
        <v>1.2500000000000001E-2</v>
      </c>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2"/>
      <c r="CN53" s="302"/>
      <c r="CO53" s="302"/>
      <c r="CP53" s="302"/>
      <c r="CQ53" s="302"/>
      <c r="CR53" s="302"/>
      <c r="CS53" s="302"/>
      <c r="CT53" s="302"/>
      <c r="CU53" s="302"/>
      <c r="CV53" s="302"/>
      <c r="CW53" s="302"/>
      <c r="CX53" s="302"/>
      <c r="CY53" s="302"/>
      <c r="CZ53" s="302"/>
      <c r="DA53" s="302"/>
      <c r="DB53" s="302"/>
      <c r="DC53" s="302"/>
      <c r="DD53" s="302"/>
      <c r="DE53" s="302"/>
      <c r="DF53" s="302"/>
      <c r="DG53" s="302"/>
      <c r="DH53" s="302"/>
      <c r="DI53" s="302"/>
      <c r="DJ53" s="302"/>
      <c r="DK53" s="302"/>
      <c r="DL53" s="302"/>
      <c r="DM53" s="302"/>
      <c r="DN53" s="302"/>
      <c r="DO53" s="302"/>
      <c r="DP53" s="302"/>
      <c r="DQ53" s="302"/>
      <c r="DR53" s="302"/>
      <c r="DS53" s="302"/>
      <c r="DT53" s="302"/>
      <c r="DU53" s="302"/>
      <c r="DV53" s="302"/>
      <c r="DW53" s="302"/>
      <c r="DX53" s="302">
        <f>-DX20/2</f>
        <v>3.2906780737109412E-2</v>
      </c>
      <c r="DY53" s="302"/>
      <c r="DZ53" s="302"/>
      <c r="EA53" s="302"/>
      <c r="EB53" s="302"/>
      <c r="EC53" s="302"/>
      <c r="ED53" s="302"/>
      <c r="EE53" s="302"/>
      <c r="EF53" s="302"/>
      <c r="EG53" s="302"/>
      <c r="EH53" s="302"/>
      <c r="EI53" s="302"/>
      <c r="EJ53" s="302"/>
      <c r="EK53" s="302"/>
      <c r="EL53" s="302"/>
      <c r="EM53" s="302"/>
      <c r="EN53" s="302"/>
      <c r="EO53" s="302"/>
      <c r="EP53" s="302"/>
      <c r="EQ53" s="302"/>
      <c r="ER53" s="302"/>
      <c r="ES53" s="302"/>
      <c r="ET53" s="302"/>
      <c r="EU53" s="302"/>
      <c r="EV53" s="302"/>
      <c r="EW53" s="302"/>
      <c r="EX53" s="302"/>
      <c r="EY53" s="302"/>
    </row>
    <row r="54" spans="1:155" s="27" customFormat="1" x14ac:dyDescent="0.2">
      <c r="A54" s="38"/>
      <c r="B54" s="37"/>
      <c r="C54" s="36">
        <f t="shared" si="9"/>
        <v>2.0215608930218472</v>
      </c>
      <c r="D54" s="4" t="s">
        <v>782</v>
      </c>
      <c r="E54" s="36">
        <f t="shared" si="12"/>
        <v>1.2634755581386546E-2</v>
      </c>
      <c r="F54" s="126" t="s">
        <v>228</v>
      </c>
      <c r="G54" s="299"/>
      <c r="H54" s="299"/>
      <c r="I54" s="299"/>
      <c r="J54" s="299"/>
      <c r="K54" s="299"/>
      <c r="L54" s="299"/>
      <c r="M54" s="299"/>
      <c r="N54" s="299"/>
      <c r="O54" s="299"/>
      <c r="P54" s="100"/>
      <c r="Q54" s="299"/>
      <c r="R54" s="299"/>
      <c r="S54" s="299"/>
      <c r="T54" s="299"/>
      <c r="U54" s="299"/>
      <c r="V54" s="299">
        <f>40/791.47</f>
        <v>5.0538870708934008E-2</v>
      </c>
      <c r="W54" s="299"/>
      <c r="X54" s="299"/>
      <c r="Y54" s="100"/>
      <c r="Z54" s="100"/>
      <c r="AA54" s="100"/>
      <c r="AB54" s="100"/>
      <c r="AC54" s="100"/>
      <c r="AD54" s="100"/>
      <c r="AE54" s="100"/>
      <c r="AF54" s="299"/>
      <c r="AG54" s="100"/>
      <c r="AH54" s="299"/>
      <c r="AI54" s="123"/>
      <c r="AJ54" s="299"/>
      <c r="AK54" s="299"/>
      <c r="AL54" s="299"/>
      <c r="AM54" s="299"/>
      <c r="AN54" s="299"/>
      <c r="AO54" s="299"/>
      <c r="AP54" s="299"/>
      <c r="AQ54" s="299"/>
      <c r="AR54" s="299"/>
      <c r="AS54" s="299"/>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v>-4.2115683475052752E-3</v>
      </c>
      <c r="BP54" s="302">
        <v>-4.2115683475052752E-3</v>
      </c>
      <c r="BQ54" s="302">
        <v>-4.2115683475052752E-3</v>
      </c>
      <c r="BR54" s="302">
        <v>-4.2115683475052752E-3</v>
      </c>
      <c r="BS54" s="302">
        <v>-4.2115683475052752E-3</v>
      </c>
      <c r="BT54" s="302">
        <v>-4.2115683475052752E-3</v>
      </c>
      <c r="BU54" s="302">
        <v>-4.2115683475052752E-3</v>
      </c>
      <c r="BV54" s="302">
        <v>-4.2115683475052752E-3</v>
      </c>
      <c r="BW54" s="302">
        <v>-4.2115683475052752E-3</v>
      </c>
      <c r="BX54" s="302"/>
      <c r="BY54" s="302"/>
      <c r="BZ54" s="302"/>
      <c r="CA54" s="302"/>
      <c r="CB54" s="302"/>
      <c r="CC54" s="302"/>
      <c r="CD54" s="302"/>
      <c r="CE54" s="302"/>
      <c r="CF54" s="302"/>
      <c r="CG54" s="302"/>
      <c r="CH54" s="302"/>
      <c r="CI54" s="302"/>
      <c r="CJ54" s="302"/>
      <c r="CK54" s="302"/>
      <c r="CL54" s="302"/>
      <c r="CM54" s="302"/>
      <c r="CN54" s="302"/>
      <c r="CO54" s="302"/>
      <c r="CP54" s="302"/>
      <c r="CQ54" s="302"/>
      <c r="CR54" s="302"/>
      <c r="CS54" s="302"/>
      <c r="CT54" s="302"/>
      <c r="CU54" s="302"/>
      <c r="CV54" s="302"/>
      <c r="CW54" s="302"/>
      <c r="CX54" s="302"/>
      <c r="CY54" s="302"/>
      <c r="CZ54" s="302"/>
      <c r="DA54" s="302"/>
      <c r="DB54" s="302"/>
      <c r="DC54" s="302"/>
      <c r="DD54" s="302"/>
      <c r="DE54" s="302"/>
      <c r="DF54" s="302"/>
      <c r="DG54" s="302"/>
      <c r="DH54" s="302"/>
      <c r="DI54" s="302"/>
      <c r="DJ54" s="302"/>
      <c r="DK54" s="302"/>
      <c r="DL54" s="302"/>
      <c r="DM54" s="302"/>
      <c r="DN54" s="302"/>
      <c r="DO54" s="302"/>
      <c r="DP54" s="302"/>
      <c r="DQ54" s="302"/>
      <c r="DR54" s="302"/>
      <c r="DS54" s="302"/>
      <c r="DT54" s="302"/>
      <c r="DU54" s="302"/>
      <c r="DV54" s="302"/>
      <c r="DW54" s="302"/>
      <c r="DX54" s="302"/>
      <c r="DY54" s="302"/>
      <c r="DZ54" s="302"/>
      <c r="EA54" s="302"/>
      <c r="EB54" s="302"/>
      <c r="EC54" s="302"/>
      <c r="ED54" s="302"/>
      <c r="EE54" s="302"/>
      <c r="EF54" s="302"/>
      <c r="EG54" s="302"/>
      <c r="EH54" s="302"/>
      <c r="EI54" s="302"/>
      <c r="EJ54" s="302"/>
      <c r="EK54" s="302"/>
      <c r="EL54" s="302"/>
      <c r="EM54" s="302"/>
      <c r="EN54" s="302"/>
      <c r="EO54" s="302"/>
      <c r="EP54" s="302"/>
      <c r="EQ54" s="302"/>
      <c r="ER54" s="302"/>
      <c r="ES54" s="302"/>
      <c r="ET54" s="302"/>
      <c r="EU54" s="302"/>
      <c r="EV54" s="302"/>
      <c r="EW54" s="302"/>
      <c r="EX54" s="302"/>
      <c r="EY54" s="302"/>
    </row>
    <row r="55" spans="1:155" s="27" customFormat="1" x14ac:dyDescent="0.2">
      <c r="A55" s="38"/>
      <c r="B55" s="37"/>
      <c r="C55" s="36">
        <f t="shared" si="9"/>
        <v>0</v>
      </c>
      <c r="D55" s="103" t="s">
        <v>2720</v>
      </c>
      <c r="E55" s="36">
        <f t="shared" si="12"/>
        <v>0</v>
      </c>
      <c r="F55" s="126" t="s">
        <v>228</v>
      </c>
      <c r="G55" s="299"/>
      <c r="H55" s="299"/>
      <c r="I55" s="299"/>
      <c r="J55" s="299"/>
      <c r="K55" s="299"/>
      <c r="L55" s="299"/>
      <c r="M55" s="299"/>
      <c r="N55" s="299"/>
      <c r="O55" s="299"/>
      <c r="P55" s="100"/>
      <c r="Q55" s="299"/>
      <c r="R55" s="299"/>
      <c r="S55" s="299"/>
      <c r="T55" s="299"/>
      <c r="U55" s="299"/>
      <c r="V55" s="299"/>
      <c r="W55" s="299"/>
      <c r="X55" s="299"/>
      <c r="Y55" s="100"/>
      <c r="Z55" s="100"/>
      <c r="AA55" s="100"/>
      <c r="AB55" s="100"/>
      <c r="AC55" s="100"/>
      <c r="AD55" s="100"/>
      <c r="AE55" s="100"/>
      <c r="AF55" s="299"/>
      <c r="AG55" s="100"/>
      <c r="AH55" s="299"/>
      <c r="AI55" s="124"/>
      <c r="AJ55" s="299"/>
      <c r="AK55" s="299"/>
      <c r="AL55" s="299"/>
      <c r="AM55" s="299"/>
      <c r="AN55" s="299"/>
      <c r="AO55" s="299"/>
      <c r="AP55" s="299"/>
      <c r="AQ55" s="299"/>
      <c r="AR55" s="299"/>
      <c r="AS55" s="299"/>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v>0</v>
      </c>
      <c r="BY55" s="302"/>
      <c r="BZ55" s="302"/>
      <c r="CA55" s="302"/>
      <c r="CB55" s="302"/>
      <c r="CC55" s="302"/>
      <c r="CD55" s="302"/>
      <c r="CE55" s="302"/>
      <c r="CF55" s="302"/>
      <c r="CG55" s="302"/>
      <c r="CH55" s="302"/>
      <c r="CI55" s="302"/>
      <c r="CJ55" s="302"/>
      <c r="CK55" s="302"/>
      <c r="CL55" s="302"/>
      <c r="CM55" s="302"/>
      <c r="CN55" s="302"/>
      <c r="CO55" s="302"/>
      <c r="CP55" s="302"/>
      <c r="CQ55" s="302"/>
      <c r="CR55" s="302"/>
      <c r="CS55" s="302"/>
      <c r="CT55" s="302"/>
      <c r="CU55" s="302"/>
      <c r="CV55" s="302"/>
      <c r="CW55" s="302"/>
      <c r="CX55" s="302"/>
      <c r="CY55" s="302"/>
      <c r="CZ55" s="302"/>
      <c r="DA55" s="302"/>
      <c r="DB55" s="302"/>
      <c r="DC55" s="302"/>
      <c r="DD55" s="302"/>
      <c r="DE55" s="302"/>
      <c r="DF55" s="302"/>
      <c r="DG55" s="302"/>
      <c r="DH55" s="302"/>
      <c r="DI55" s="302"/>
      <c r="DJ55" s="302"/>
      <c r="DK55" s="302"/>
      <c r="DL55" s="302"/>
      <c r="DM55" s="302"/>
      <c r="DN55" s="302"/>
      <c r="DO55" s="302"/>
      <c r="DP55" s="302"/>
      <c r="DQ55" s="302"/>
      <c r="DR55" s="302"/>
      <c r="DS55" s="302"/>
      <c r="DT55" s="302"/>
      <c r="DU55" s="302"/>
      <c r="DV55" s="302"/>
      <c r="DW55" s="302"/>
      <c r="DX55" s="302"/>
      <c r="DY55" s="302"/>
      <c r="DZ55" s="302"/>
      <c r="EA55" s="302"/>
      <c r="EB55" s="302"/>
      <c r="EC55" s="302"/>
      <c r="ED55" s="302"/>
      <c r="EE55" s="302"/>
      <c r="EF55" s="302"/>
      <c r="EG55" s="302"/>
      <c r="EH55" s="302"/>
      <c r="EI55" s="302"/>
      <c r="EJ55" s="302"/>
      <c r="EK55" s="302"/>
      <c r="EL55" s="302"/>
      <c r="EM55" s="302"/>
      <c r="EN55" s="302"/>
      <c r="EO55" s="302"/>
      <c r="EP55" s="302"/>
      <c r="EQ55" s="302"/>
      <c r="ER55" s="302"/>
      <c r="ES55" s="302"/>
      <c r="ET55" s="302"/>
      <c r="EU55" s="302"/>
      <c r="EV55" s="302"/>
      <c r="EW55" s="302"/>
      <c r="EX55" s="302"/>
      <c r="EY55" s="302"/>
    </row>
    <row r="56" spans="1:155" s="27" customFormat="1" ht="12.95" customHeight="1" x14ac:dyDescent="0.2">
      <c r="A56" s="38"/>
      <c r="B56" s="37"/>
      <c r="C56" s="36">
        <f t="shared" si="9"/>
        <v>0</v>
      </c>
      <c r="D56" s="103" t="s">
        <v>2721</v>
      </c>
      <c r="E56" s="36">
        <f t="shared" si="12"/>
        <v>0</v>
      </c>
      <c r="F56" s="126" t="s">
        <v>228</v>
      </c>
      <c r="G56" s="299"/>
      <c r="H56" s="299"/>
      <c r="I56" s="299"/>
      <c r="J56" s="299"/>
      <c r="K56" s="299"/>
      <c r="L56" s="299"/>
      <c r="M56" s="299"/>
      <c r="N56" s="299"/>
      <c r="O56" s="299"/>
      <c r="P56" s="100"/>
      <c r="Q56" s="299"/>
      <c r="R56" s="299"/>
      <c r="S56" s="299"/>
      <c r="T56" s="299"/>
      <c r="U56" s="299"/>
      <c r="V56" s="299"/>
      <c r="W56" s="299"/>
      <c r="X56" s="299"/>
      <c r="Y56" s="100"/>
      <c r="Z56" s="100"/>
      <c r="AA56" s="100"/>
      <c r="AB56" s="100"/>
      <c r="AC56" s="100"/>
      <c r="AD56" s="100"/>
      <c r="AE56" s="100"/>
      <c r="AF56" s="299"/>
      <c r="AG56" s="100"/>
      <c r="AH56" s="299"/>
      <c r="AI56" s="123"/>
      <c r="AJ56" s="299"/>
      <c r="AK56" s="299"/>
      <c r="AL56" s="299"/>
      <c r="AM56" s="299"/>
      <c r="AN56" s="299"/>
      <c r="AO56" s="299"/>
      <c r="AP56" s="299"/>
      <c r="AQ56" s="299"/>
      <c r="AR56" s="299"/>
      <c r="AS56" s="299"/>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v>0</v>
      </c>
      <c r="BY56" s="302"/>
      <c r="BZ56" s="302"/>
      <c r="CA56" s="302"/>
      <c r="CB56" s="302"/>
      <c r="CC56" s="302"/>
      <c r="CD56" s="302"/>
      <c r="CE56" s="302"/>
      <c r="CF56" s="302"/>
      <c r="CG56" s="302"/>
      <c r="CH56" s="302"/>
      <c r="CI56" s="302"/>
      <c r="CJ56" s="302"/>
      <c r="CK56" s="302"/>
      <c r="CL56" s="302"/>
      <c r="CM56" s="302"/>
      <c r="CN56" s="302"/>
      <c r="CO56" s="302"/>
      <c r="CP56" s="302"/>
      <c r="CQ56" s="302"/>
      <c r="CR56" s="302"/>
      <c r="CS56" s="302"/>
      <c r="CT56" s="302"/>
      <c r="CU56" s="302"/>
      <c r="CV56" s="302"/>
      <c r="CW56" s="302"/>
      <c r="CX56" s="302"/>
      <c r="CY56" s="302"/>
      <c r="CZ56" s="302"/>
      <c r="DA56" s="302"/>
      <c r="DB56" s="302"/>
      <c r="DC56" s="302"/>
      <c r="DD56" s="302"/>
      <c r="DE56" s="302"/>
      <c r="DF56" s="302"/>
      <c r="DG56" s="302"/>
      <c r="DH56" s="302"/>
      <c r="DI56" s="302"/>
      <c r="DJ56" s="302"/>
      <c r="DK56" s="302"/>
      <c r="DL56" s="302"/>
      <c r="DM56" s="302"/>
      <c r="DN56" s="302"/>
      <c r="DO56" s="302"/>
      <c r="DP56" s="302"/>
      <c r="DQ56" s="302"/>
      <c r="DR56" s="302"/>
      <c r="DS56" s="302"/>
      <c r="DT56" s="302"/>
      <c r="DU56" s="302"/>
      <c r="DV56" s="302"/>
      <c r="DW56" s="302"/>
      <c r="DX56" s="302"/>
      <c r="DY56" s="302"/>
      <c r="DZ56" s="302"/>
      <c r="EA56" s="302"/>
      <c r="EB56" s="302"/>
      <c r="EC56" s="302"/>
      <c r="ED56" s="302"/>
      <c r="EE56" s="302"/>
      <c r="EF56" s="302"/>
      <c r="EG56" s="302"/>
      <c r="EH56" s="302"/>
      <c r="EI56" s="302"/>
      <c r="EJ56" s="302"/>
      <c r="EK56" s="302"/>
      <c r="EL56" s="302"/>
      <c r="EM56" s="302"/>
      <c r="EN56" s="302"/>
      <c r="EO56" s="302"/>
      <c r="EP56" s="302"/>
      <c r="EQ56" s="302"/>
      <c r="ER56" s="302"/>
      <c r="ES56" s="302"/>
      <c r="ET56" s="302"/>
      <c r="EU56" s="302"/>
      <c r="EV56" s="302"/>
      <c r="EW56" s="302"/>
      <c r="EX56" s="302"/>
      <c r="EY56" s="302"/>
    </row>
    <row r="57" spans="1:155" s="27" customFormat="1" ht="14.1" customHeight="1" x14ac:dyDescent="0.2">
      <c r="A57" s="38"/>
      <c r="B57" s="37"/>
      <c r="C57" s="36">
        <f t="shared" si="9"/>
        <v>0</v>
      </c>
      <c r="D57" s="103" t="s">
        <v>2722</v>
      </c>
      <c r="E57" s="36">
        <f t="shared" si="12"/>
        <v>0</v>
      </c>
      <c r="F57" s="126" t="s">
        <v>228</v>
      </c>
      <c r="G57" s="299"/>
      <c r="H57" s="299"/>
      <c r="I57" s="299"/>
      <c r="J57" s="299"/>
      <c r="K57" s="299"/>
      <c r="L57" s="299"/>
      <c r="M57" s="299"/>
      <c r="N57" s="299"/>
      <c r="O57" s="299"/>
      <c r="P57" s="100"/>
      <c r="Q57" s="299"/>
      <c r="R57" s="299"/>
      <c r="S57" s="299"/>
      <c r="T57" s="299"/>
      <c r="U57" s="299"/>
      <c r="V57" s="299"/>
      <c r="W57" s="299"/>
      <c r="X57" s="299"/>
      <c r="Y57" s="100"/>
      <c r="Z57" s="100"/>
      <c r="AA57" s="100"/>
      <c r="AB57" s="100"/>
      <c r="AC57" s="100"/>
      <c r="AD57" s="100"/>
      <c r="AE57" s="100"/>
      <c r="AF57" s="299"/>
      <c r="AG57" s="100"/>
      <c r="AH57" s="299"/>
      <c r="AI57" s="123"/>
      <c r="AJ57" s="299"/>
      <c r="AK57" s="299"/>
      <c r="AL57" s="299"/>
      <c r="AM57" s="299"/>
      <c r="AN57" s="299"/>
      <c r="AO57" s="299"/>
      <c r="AP57" s="299"/>
      <c r="AQ57" s="299"/>
      <c r="AR57" s="299"/>
      <c r="AS57" s="299"/>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v>0</v>
      </c>
      <c r="BY57" s="302"/>
      <c r="BZ57" s="302"/>
      <c r="CA57" s="302"/>
      <c r="CB57" s="302"/>
      <c r="CC57" s="302"/>
      <c r="CD57" s="302"/>
      <c r="CE57" s="302"/>
      <c r="CF57" s="302"/>
      <c r="CG57" s="302"/>
      <c r="CH57" s="302"/>
      <c r="CI57" s="302"/>
      <c r="CJ57" s="302"/>
      <c r="CK57" s="302"/>
      <c r="CL57" s="302"/>
      <c r="CM57" s="302"/>
      <c r="CN57" s="302"/>
      <c r="CO57" s="302"/>
      <c r="CP57" s="302"/>
      <c r="CQ57" s="302"/>
      <c r="CR57" s="302"/>
      <c r="CS57" s="302"/>
      <c r="CT57" s="302"/>
      <c r="CU57" s="302"/>
      <c r="CV57" s="302"/>
      <c r="CW57" s="302"/>
      <c r="CX57" s="302"/>
      <c r="CY57" s="302"/>
      <c r="CZ57" s="302"/>
      <c r="DA57" s="302"/>
      <c r="DB57" s="302"/>
      <c r="DC57" s="302"/>
      <c r="DD57" s="302"/>
      <c r="DE57" s="302"/>
      <c r="DF57" s="302"/>
      <c r="DG57" s="302"/>
      <c r="DH57" s="302"/>
      <c r="DI57" s="302"/>
      <c r="DJ57" s="302"/>
      <c r="DK57" s="302"/>
      <c r="DL57" s="302"/>
      <c r="DM57" s="302"/>
      <c r="DN57" s="302"/>
      <c r="DO57" s="302"/>
      <c r="DP57" s="302"/>
      <c r="DQ57" s="302"/>
      <c r="DR57" s="302"/>
      <c r="DS57" s="302"/>
      <c r="DT57" s="302"/>
      <c r="DU57" s="302"/>
      <c r="DV57" s="302"/>
      <c r="DW57" s="302"/>
      <c r="DX57" s="302"/>
      <c r="DY57" s="302"/>
      <c r="DZ57" s="302"/>
      <c r="EA57" s="302"/>
      <c r="EB57" s="302"/>
      <c r="EC57" s="302"/>
      <c r="ED57" s="302"/>
      <c r="EE57" s="302"/>
      <c r="EF57" s="302"/>
      <c r="EG57" s="302"/>
      <c r="EH57" s="302"/>
      <c r="EI57" s="302"/>
      <c r="EJ57" s="302"/>
      <c r="EK57" s="302"/>
      <c r="EL57" s="302"/>
      <c r="EM57" s="302"/>
      <c r="EN57" s="302"/>
      <c r="EO57" s="302"/>
      <c r="EP57" s="302"/>
      <c r="EQ57" s="302"/>
      <c r="ER57" s="302"/>
      <c r="ES57" s="302"/>
      <c r="ET57" s="302"/>
      <c r="EU57" s="302"/>
      <c r="EV57" s="302"/>
      <c r="EW57" s="302"/>
      <c r="EX57" s="302"/>
      <c r="EY57" s="302"/>
    </row>
    <row r="58" spans="1:155" s="27" customFormat="1" ht="17.45" customHeight="1" x14ac:dyDescent="0.2">
      <c r="A58" s="38"/>
      <c r="B58" s="37"/>
      <c r="C58" s="36">
        <f t="shared" si="9"/>
        <v>0</v>
      </c>
      <c r="D58" s="109" t="s">
        <v>8762</v>
      </c>
      <c r="E58" s="36">
        <f t="shared" si="12"/>
        <v>0</v>
      </c>
      <c r="F58" s="126" t="s">
        <v>228</v>
      </c>
      <c r="G58" s="299"/>
      <c r="H58" s="299"/>
      <c r="I58" s="299"/>
      <c r="J58" s="299"/>
      <c r="K58" s="299"/>
      <c r="L58" s="299"/>
      <c r="M58" s="299"/>
      <c r="N58" s="299"/>
      <c r="O58" s="299"/>
      <c r="P58" s="100"/>
      <c r="Q58" s="299"/>
      <c r="R58" s="299"/>
      <c r="S58" s="299"/>
      <c r="T58" s="299"/>
      <c r="U58" s="299"/>
      <c r="V58" s="299"/>
      <c r="W58" s="299"/>
      <c r="X58" s="299"/>
      <c r="Y58" s="100"/>
      <c r="Z58" s="100"/>
      <c r="AA58" s="100"/>
      <c r="AB58" s="100"/>
      <c r="AC58" s="100"/>
      <c r="AD58" s="100"/>
      <c r="AE58" s="100"/>
      <c r="AF58" s="299"/>
      <c r="AG58" s="100"/>
      <c r="AH58" s="299"/>
      <c r="AI58" s="123"/>
      <c r="AJ58" s="299"/>
      <c r="AK58" s="299"/>
      <c r="AL58" s="299"/>
      <c r="AM58" s="299"/>
      <c r="AN58" s="299"/>
      <c r="AO58" s="299"/>
      <c r="AP58" s="299"/>
      <c r="AQ58" s="299"/>
      <c r="AR58" s="299"/>
      <c r="AS58" s="299"/>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v>0</v>
      </c>
      <c r="BY58" s="302"/>
      <c r="BZ58" s="302"/>
      <c r="CA58" s="302"/>
      <c r="CB58" s="302"/>
      <c r="CC58" s="302"/>
      <c r="CD58" s="302"/>
      <c r="CE58" s="302"/>
      <c r="CF58" s="302"/>
      <c r="CG58" s="302"/>
      <c r="CH58" s="302"/>
      <c r="CI58" s="302"/>
      <c r="CJ58" s="302"/>
      <c r="CK58" s="302"/>
      <c r="CL58" s="302"/>
      <c r="CM58" s="302"/>
      <c r="CN58" s="302"/>
      <c r="CO58" s="302"/>
      <c r="CP58" s="302"/>
      <c r="CQ58" s="302"/>
      <c r="CR58" s="302"/>
      <c r="CS58" s="302"/>
      <c r="CT58" s="302"/>
      <c r="CU58" s="302"/>
      <c r="CV58" s="302"/>
      <c r="CW58" s="302"/>
      <c r="CX58" s="302"/>
      <c r="CY58" s="302"/>
      <c r="CZ58" s="302"/>
      <c r="DA58" s="302"/>
      <c r="DB58" s="302"/>
      <c r="DC58" s="302"/>
      <c r="DD58" s="302"/>
      <c r="DE58" s="302"/>
      <c r="DF58" s="302"/>
      <c r="DG58" s="302"/>
      <c r="DH58" s="302"/>
      <c r="DI58" s="302"/>
      <c r="DJ58" s="302"/>
      <c r="DK58" s="302"/>
      <c r="DL58" s="302"/>
      <c r="DM58" s="302"/>
      <c r="DN58" s="302"/>
      <c r="DO58" s="302"/>
      <c r="DP58" s="302"/>
      <c r="DQ58" s="302"/>
      <c r="DR58" s="302"/>
      <c r="DS58" s="302"/>
      <c r="DT58" s="302"/>
      <c r="DU58" s="302"/>
      <c r="DV58" s="302"/>
      <c r="DW58" s="302"/>
      <c r="DX58" s="302"/>
      <c r="DY58" s="302"/>
      <c r="DZ58" s="302"/>
      <c r="EA58" s="302"/>
      <c r="EB58" s="302"/>
      <c r="EC58" s="302"/>
      <c r="ED58" s="302"/>
      <c r="EE58" s="302"/>
      <c r="EF58" s="302"/>
      <c r="EG58" s="302"/>
      <c r="EH58" s="302"/>
      <c r="EI58" s="302"/>
      <c r="EJ58" s="302"/>
      <c r="EK58" s="302"/>
      <c r="EL58" s="302"/>
      <c r="EM58" s="302"/>
      <c r="EN58" s="302"/>
      <c r="EO58" s="302"/>
      <c r="EP58" s="302"/>
      <c r="EQ58" s="302"/>
      <c r="ER58" s="302"/>
      <c r="ES58" s="302"/>
      <c r="ET58" s="302"/>
      <c r="EU58" s="302"/>
      <c r="EV58" s="302"/>
      <c r="EW58" s="302"/>
      <c r="EX58" s="302"/>
      <c r="EY58" s="302"/>
    </row>
    <row r="59" spans="1:155" s="27" customFormat="1" ht="17.45" customHeight="1" x14ac:dyDescent="0.2">
      <c r="A59" s="38"/>
      <c r="B59" s="37"/>
      <c r="C59" s="36">
        <f t="shared" si="9"/>
        <v>0</v>
      </c>
      <c r="D59" s="373" t="s">
        <v>2723</v>
      </c>
      <c r="E59" s="36">
        <f t="shared" si="12"/>
        <v>0</v>
      </c>
      <c r="F59" s="126" t="s">
        <v>228</v>
      </c>
      <c r="G59" s="299"/>
      <c r="H59" s="299"/>
      <c r="I59" s="299"/>
      <c r="J59" s="299"/>
      <c r="K59" s="299"/>
      <c r="L59" s="299"/>
      <c r="M59" s="299"/>
      <c r="N59" s="299"/>
      <c r="O59" s="299"/>
      <c r="P59" s="100"/>
      <c r="Q59" s="299"/>
      <c r="R59" s="299"/>
      <c r="S59" s="299"/>
      <c r="T59" s="299"/>
      <c r="U59" s="299"/>
      <c r="V59" s="299"/>
      <c r="W59" s="299"/>
      <c r="X59" s="299"/>
      <c r="Y59" s="100"/>
      <c r="Z59" s="100"/>
      <c r="AA59" s="100"/>
      <c r="AB59" s="100"/>
      <c r="AC59" s="100"/>
      <c r="AD59" s="100"/>
      <c r="AE59" s="100"/>
      <c r="AF59" s="299"/>
      <c r="AG59" s="100"/>
      <c r="AH59" s="299"/>
      <c r="AI59" s="123"/>
      <c r="AJ59" s="299"/>
      <c r="AK59" s="299"/>
      <c r="AL59" s="299"/>
      <c r="AM59" s="299"/>
      <c r="AN59" s="299"/>
      <c r="AO59" s="299"/>
      <c r="AP59" s="299"/>
      <c r="AQ59" s="299"/>
      <c r="AR59" s="299"/>
      <c r="AS59" s="299"/>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v>0</v>
      </c>
      <c r="BY59" s="302"/>
      <c r="BZ59" s="302"/>
      <c r="CA59" s="302"/>
      <c r="CB59" s="302"/>
      <c r="CC59" s="302"/>
      <c r="CD59" s="302"/>
      <c r="CE59" s="302"/>
      <c r="CF59" s="302"/>
      <c r="CG59" s="302"/>
      <c r="CH59" s="302"/>
      <c r="CI59" s="302"/>
      <c r="CJ59" s="302"/>
      <c r="CK59" s="302"/>
      <c r="CL59" s="302"/>
      <c r="CM59" s="302"/>
      <c r="CN59" s="302"/>
      <c r="CO59" s="302"/>
      <c r="CP59" s="302"/>
      <c r="CQ59" s="302"/>
      <c r="CR59" s="302"/>
      <c r="CS59" s="302"/>
      <c r="CT59" s="302"/>
      <c r="CU59" s="302"/>
      <c r="CV59" s="302"/>
      <c r="CW59" s="302"/>
      <c r="CX59" s="302"/>
      <c r="CY59" s="302"/>
      <c r="CZ59" s="302"/>
      <c r="DA59" s="302"/>
      <c r="DB59" s="302"/>
      <c r="DC59" s="302"/>
      <c r="DD59" s="302"/>
      <c r="DE59" s="302"/>
      <c r="DF59" s="302"/>
      <c r="DG59" s="302"/>
      <c r="DH59" s="302"/>
      <c r="DI59" s="302"/>
      <c r="DJ59" s="302"/>
      <c r="DK59" s="302"/>
      <c r="DL59" s="302"/>
      <c r="DM59" s="302"/>
      <c r="DN59" s="302"/>
      <c r="DO59" s="302"/>
      <c r="DP59" s="302"/>
      <c r="DQ59" s="302"/>
      <c r="DR59" s="302"/>
      <c r="DS59" s="302"/>
      <c r="DT59" s="302"/>
      <c r="DU59" s="302"/>
      <c r="DV59" s="302"/>
      <c r="DW59" s="302"/>
      <c r="DX59" s="302"/>
      <c r="DY59" s="302"/>
      <c r="DZ59" s="302"/>
      <c r="EA59" s="302"/>
      <c r="EB59" s="302"/>
      <c r="EC59" s="302"/>
      <c r="ED59" s="302"/>
      <c r="EE59" s="302"/>
      <c r="EF59" s="302"/>
      <c r="EG59" s="302"/>
      <c r="EH59" s="302"/>
      <c r="EI59" s="302"/>
      <c r="EJ59" s="302"/>
      <c r="EK59" s="302"/>
      <c r="EL59" s="302"/>
      <c r="EM59" s="302"/>
      <c r="EN59" s="302"/>
      <c r="EO59" s="302"/>
      <c r="EP59" s="302"/>
      <c r="EQ59" s="302"/>
      <c r="ER59" s="302"/>
      <c r="ES59" s="302"/>
      <c r="ET59" s="302"/>
      <c r="EU59" s="302"/>
      <c r="EV59" s="302"/>
      <c r="EW59" s="302"/>
      <c r="EX59" s="302"/>
      <c r="EY59" s="302"/>
    </row>
    <row r="60" spans="1:155" s="27" customFormat="1" ht="17.45" customHeight="1" x14ac:dyDescent="0.2">
      <c r="A60" s="38"/>
      <c r="B60" s="37"/>
      <c r="C60" s="36">
        <f t="shared" si="9"/>
        <v>0</v>
      </c>
      <c r="D60" s="109" t="s">
        <v>2724</v>
      </c>
      <c r="E60" s="36">
        <f t="shared" si="12"/>
        <v>0</v>
      </c>
      <c r="F60" s="126" t="s">
        <v>228</v>
      </c>
      <c r="G60" s="299"/>
      <c r="H60" s="299"/>
      <c r="I60" s="299"/>
      <c r="J60" s="299"/>
      <c r="K60" s="299"/>
      <c r="L60" s="299"/>
      <c r="M60" s="299"/>
      <c r="N60" s="299"/>
      <c r="O60" s="299"/>
      <c r="P60" s="100"/>
      <c r="Q60" s="299"/>
      <c r="R60" s="299"/>
      <c r="S60" s="299"/>
      <c r="T60" s="299"/>
      <c r="U60" s="299"/>
      <c r="V60" s="299"/>
      <c r="W60" s="299"/>
      <c r="X60" s="299"/>
      <c r="Y60" s="100"/>
      <c r="Z60" s="100"/>
      <c r="AA60" s="100"/>
      <c r="AB60" s="100"/>
      <c r="AC60" s="100"/>
      <c r="AD60" s="100"/>
      <c r="AE60" s="100"/>
      <c r="AF60" s="299"/>
      <c r="AG60" s="100"/>
      <c r="AH60" s="299"/>
      <c r="AI60" s="123"/>
      <c r="AJ60" s="299"/>
      <c r="AK60" s="299"/>
      <c r="AL60" s="299"/>
      <c r="AM60" s="299"/>
      <c r="AN60" s="299"/>
      <c r="AO60" s="299"/>
      <c r="AP60" s="299"/>
      <c r="AQ60" s="299"/>
      <c r="AR60" s="299"/>
      <c r="AS60" s="299"/>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v>0</v>
      </c>
      <c r="BY60" s="302"/>
      <c r="BZ60" s="302"/>
      <c r="CA60" s="302"/>
      <c r="CB60" s="302"/>
      <c r="CC60" s="302"/>
      <c r="CD60" s="302"/>
      <c r="CE60" s="302"/>
      <c r="CF60" s="302"/>
      <c r="CG60" s="302"/>
      <c r="CH60" s="302"/>
      <c r="CI60" s="302"/>
      <c r="CJ60" s="302"/>
      <c r="CK60" s="302"/>
      <c r="CL60" s="302"/>
      <c r="CM60" s="302"/>
      <c r="CN60" s="302"/>
      <c r="CO60" s="302"/>
      <c r="CP60" s="302"/>
      <c r="CQ60" s="302"/>
      <c r="CR60" s="302"/>
      <c r="CS60" s="302"/>
      <c r="CT60" s="302"/>
      <c r="CU60" s="302"/>
      <c r="CV60" s="302"/>
      <c r="CW60" s="302"/>
      <c r="CX60" s="302"/>
      <c r="CY60" s="302"/>
      <c r="CZ60" s="302"/>
      <c r="DA60" s="302"/>
      <c r="DB60" s="302"/>
      <c r="DC60" s="302"/>
      <c r="DD60" s="302"/>
      <c r="DE60" s="302"/>
      <c r="DF60" s="302"/>
      <c r="DG60" s="302"/>
      <c r="DH60" s="302"/>
      <c r="DI60" s="302"/>
      <c r="DJ60" s="302"/>
      <c r="DK60" s="302"/>
      <c r="DL60" s="302"/>
      <c r="DM60" s="302"/>
      <c r="DN60" s="302"/>
      <c r="DO60" s="302"/>
      <c r="DP60" s="302"/>
      <c r="DQ60" s="302"/>
      <c r="DR60" s="302"/>
      <c r="DS60" s="302"/>
      <c r="DT60" s="302"/>
      <c r="DU60" s="302"/>
      <c r="DV60" s="302"/>
      <c r="DW60" s="302"/>
      <c r="DX60" s="302"/>
      <c r="DY60" s="302"/>
      <c r="DZ60" s="302"/>
      <c r="EA60" s="302"/>
      <c r="EB60" s="302"/>
      <c r="EC60" s="302"/>
      <c r="ED60" s="302"/>
      <c r="EE60" s="302"/>
      <c r="EF60" s="302"/>
      <c r="EG60" s="302"/>
      <c r="EH60" s="302"/>
      <c r="EI60" s="302"/>
      <c r="EJ60" s="302"/>
      <c r="EK60" s="302"/>
      <c r="EL60" s="302"/>
      <c r="EM60" s="302"/>
      <c r="EN60" s="302"/>
      <c r="EO60" s="302"/>
      <c r="EP60" s="302"/>
      <c r="EQ60" s="302"/>
      <c r="ER60" s="302"/>
      <c r="ES60" s="302"/>
      <c r="ET60" s="302"/>
      <c r="EU60" s="302"/>
      <c r="EV60" s="302"/>
      <c r="EW60" s="302"/>
      <c r="EX60" s="302"/>
      <c r="EY60" s="302"/>
    </row>
    <row r="61" spans="1:155" s="27" customFormat="1" ht="17.45" customHeight="1" x14ac:dyDescent="0.2">
      <c r="A61" s="38"/>
      <c r="B61" s="37"/>
      <c r="C61" s="36">
        <f t="shared" si="9"/>
        <v>2</v>
      </c>
      <c r="D61" s="87" t="s">
        <v>351</v>
      </c>
      <c r="E61" s="36">
        <f t="shared" si="12"/>
        <v>1.2500000000000001E-2</v>
      </c>
      <c r="F61" s="126" t="s">
        <v>228</v>
      </c>
      <c r="G61" s="299"/>
      <c r="H61" s="299"/>
      <c r="I61" s="299"/>
      <c r="J61" s="299"/>
      <c r="K61" s="299"/>
      <c r="L61" s="299"/>
      <c r="M61" s="299"/>
      <c r="N61" s="299"/>
      <c r="O61" s="299"/>
      <c r="P61" s="100"/>
      <c r="Q61" s="299"/>
      <c r="R61" s="299"/>
      <c r="S61" s="299"/>
      <c r="T61" s="299"/>
      <c r="U61" s="299"/>
      <c r="V61" s="299"/>
      <c r="W61" s="299"/>
      <c r="X61" s="299"/>
      <c r="Y61" s="100"/>
      <c r="Z61" s="100"/>
      <c r="AA61" s="100"/>
      <c r="AB61" s="101"/>
      <c r="AC61" s="101"/>
      <c r="AD61" s="100"/>
      <c r="AE61" s="100"/>
      <c r="AF61" s="299"/>
      <c r="AG61" s="100"/>
      <c r="AH61" s="299"/>
      <c r="AI61" s="123"/>
      <c r="AJ61" s="299"/>
      <c r="AK61" s="299"/>
      <c r="AL61" s="299"/>
      <c r="AM61" s="299"/>
      <c r="AN61" s="299"/>
      <c r="AO61" s="299"/>
      <c r="AP61" s="299"/>
      <c r="AQ61" s="299"/>
      <c r="AR61" s="299"/>
      <c r="AS61" s="299"/>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v>1.2500000000000001E-2</v>
      </c>
      <c r="BZ61" s="302"/>
      <c r="CA61" s="302"/>
      <c r="CB61" s="302"/>
      <c r="CC61" s="302"/>
      <c r="CD61" s="302"/>
      <c r="CE61" s="302"/>
      <c r="CF61" s="302"/>
      <c r="CG61" s="302"/>
      <c r="CH61" s="302"/>
      <c r="CI61" s="302"/>
      <c r="CJ61" s="302"/>
      <c r="CK61" s="302"/>
      <c r="CL61" s="302"/>
      <c r="CM61" s="302"/>
      <c r="CN61" s="302"/>
      <c r="CO61" s="302"/>
      <c r="CP61" s="302"/>
      <c r="CQ61" s="302"/>
      <c r="CR61" s="302"/>
      <c r="CS61" s="302"/>
      <c r="CT61" s="302"/>
      <c r="CU61" s="302"/>
      <c r="CV61" s="302"/>
      <c r="CW61" s="302"/>
      <c r="CX61" s="302"/>
      <c r="CY61" s="302"/>
      <c r="CZ61" s="302"/>
      <c r="DA61" s="302"/>
      <c r="DB61" s="302"/>
      <c r="DC61" s="302"/>
      <c r="DD61" s="302"/>
      <c r="DE61" s="302"/>
      <c r="DF61" s="302"/>
      <c r="DG61" s="302"/>
      <c r="DH61" s="302"/>
      <c r="DI61" s="302"/>
      <c r="DJ61" s="302"/>
      <c r="DK61" s="302"/>
      <c r="DL61" s="302"/>
      <c r="DM61" s="302"/>
      <c r="DN61" s="302"/>
      <c r="DO61" s="302"/>
      <c r="DP61" s="302"/>
      <c r="DQ61" s="302"/>
      <c r="DR61" s="302"/>
      <c r="DS61" s="302"/>
      <c r="DT61" s="302"/>
      <c r="DU61" s="302"/>
      <c r="DV61" s="302"/>
      <c r="DW61" s="302"/>
      <c r="DX61" s="302"/>
      <c r="DY61" s="302"/>
      <c r="DZ61" s="302"/>
      <c r="EA61" s="302"/>
      <c r="EB61" s="302"/>
      <c r="EC61" s="302"/>
      <c r="ED61" s="302"/>
      <c r="EE61" s="302"/>
      <c r="EF61" s="302"/>
      <c r="EG61" s="302"/>
      <c r="EH61" s="302"/>
      <c r="EI61" s="302"/>
      <c r="EJ61" s="302"/>
      <c r="EK61" s="302"/>
      <c r="EL61" s="302"/>
      <c r="EM61" s="302"/>
      <c r="EN61" s="302"/>
      <c r="EO61" s="302"/>
      <c r="EP61" s="302"/>
      <c r="EQ61" s="302"/>
      <c r="ER61" s="302"/>
      <c r="ES61" s="302"/>
      <c r="ET61" s="302"/>
      <c r="EU61" s="302"/>
      <c r="EV61" s="302"/>
      <c r="EW61" s="302"/>
      <c r="EX61" s="302"/>
      <c r="EY61" s="302"/>
    </row>
    <row r="62" spans="1:155" s="27" customFormat="1" ht="16.5" customHeight="1" x14ac:dyDescent="0.2">
      <c r="A62" s="38"/>
      <c r="B62" s="37"/>
      <c r="C62" s="86">
        <f t="shared" si="9"/>
        <v>0.67385093560084486</v>
      </c>
      <c r="D62" s="87" t="s">
        <v>1105</v>
      </c>
      <c r="E62" s="86">
        <f t="shared" si="12"/>
        <v>4.2115683475052804E-3</v>
      </c>
      <c r="F62" s="126" t="s">
        <v>228</v>
      </c>
      <c r="G62" s="299"/>
      <c r="H62" s="299"/>
      <c r="I62" s="299"/>
      <c r="J62" s="299"/>
      <c r="K62" s="299"/>
      <c r="L62" s="299"/>
      <c r="M62" s="299"/>
      <c r="N62" s="299"/>
      <c r="O62" s="299"/>
      <c r="P62" s="100"/>
      <c r="Q62" s="299"/>
      <c r="R62" s="299"/>
      <c r="S62" s="299"/>
      <c r="T62" s="299"/>
      <c r="U62" s="299"/>
      <c r="V62" s="299"/>
      <c r="W62" s="299"/>
      <c r="X62" s="299"/>
      <c r="Y62" s="100"/>
      <c r="Z62" s="100"/>
      <c r="AA62" s="100"/>
      <c r="AB62" s="101"/>
      <c r="AC62" s="100"/>
      <c r="AD62" s="100"/>
      <c r="AE62" s="101"/>
      <c r="AF62" s="299"/>
      <c r="AG62" s="100"/>
      <c r="AH62" s="299"/>
      <c r="AI62" s="123"/>
      <c r="AJ62" s="299"/>
      <c r="AK62" s="299"/>
      <c r="AL62" s="299"/>
      <c r="AM62" s="299"/>
      <c r="AN62" s="299"/>
      <c r="AO62" s="299"/>
      <c r="AP62" s="299"/>
      <c r="AQ62" s="299"/>
      <c r="AR62" s="299"/>
      <c r="AS62" s="299"/>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v>4.2115683475052804E-3</v>
      </c>
      <c r="CB62" s="302"/>
      <c r="CC62" s="302"/>
      <c r="CD62" s="302"/>
      <c r="CE62" s="302"/>
      <c r="CF62" s="302"/>
      <c r="CG62" s="302"/>
      <c r="CH62" s="302"/>
      <c r="CI62" s="302"/>
      <c r="CJ62" s="302"/>
      <c r="CK62" s="302"/>
      <c r="CL62" s="302"/>
      <c r="CM62" s="302"/>
      <c r="CN62" s="302"/>
      <c r="CO62" s="302"/>
      <c r="CP62" s="302"/>
      <c r="CQ62" s="302"/>
      <c r="CR62" s="302"/>
      <c r="CS62" s="302"/>
      <c r="CT62" s="302"/>
      <c r="CU62" s="302"/>
      <c r="CV62" s="302"/>
      <c r="CW62" s="302"/>
      <c r="CX62" s="302"/>
      <c r="CY62" s="302"/>
      <c r="CZ62" s="302"/>
      <c r="DA62" s="302"/>
      <c r="DB62" s="302"/>
      <c r="DC62" s="302"/>
      <c r="DD62" s="302"/>
      <c r="DE62" s="302"/>
      <c r="DF62" s="302"/>
      <c r="DG62" s="302"/>
      <c r="DH62" s="302"/>
      <c r="DI62" s="302"/>
      <c r="DJ62" s="302"/>
      <c r="DK62" s="302"/>
      <c r="DL62" s="302"/>
      <c r="DM62" s="302"/>
      <c r="DN62" s="302"/>
      <c r="DO62" s="302"/>
      <c r="DP62" s="302"/>
      <c r="DQ62" s="302"/>
      <c r="DR62" s="302"/>
      <c r="DS62" s="302"/>
      <c r="DT62" s="302"/>
      <c r="DU62" s="302"/>
      <c r="DV62" s="302"/>
      <c r="DW62" s="302"/>
      <c r="DX62" s="302"/>
      <c r="DY62" s="302"/>
      <c r="DZ62" s="302"/>
      <c r="EA62" s="302"/>
      <c r="EB62" s="302"/>
      <c r="EC62" s="302"/>
      <c r="ED62" s="302"/>
      <c r="EE62" s="302"/>
      <c r="EF62" s="302"/>
      <c r="EG62" s="302"/>
      <c r="EH62" s="302"/>
      <c r="EI62" s="302"/>
      <c r="EJ62" s="302"/>
      <c r="EK62" s="302"/>
      <c r="EL62" s="302"/>
      <c r="EM62" s="302"/>
      <c r="EN62" s="302"/>
      <c r="EO62" s="302"/>
      <c r="EP62" s="302"/>
      <c r="EQ62" s="302"/>
      <c r="ER62" s="302"/>
      <c r="ES62" s="302"/>
      <c r="ET62" s="302"/>
      <c r="EU62" s="302"/>
      <c r="EV62" s="302"/>
      <c r="EW62" s="302"/>
      <c r="EX62" s="302"/>
      <c r="EY62" s="302"/>
    </row>
    <row r="63" spans="1:155" s="27" customFormat="1" x14ac:dyDescent="0.2">
      <c r="A63" s="38"/>
      <c r="B63" s="37"/>
      <c r="C63" s="86">
        <f t="shared" si="9"/>
        <v>0</v>
      </c>
      <c r="D63" s="103" t="s">
        <v>1162</v>
      </c>
      <c r="E63" s="86">
        <f t="shared" si="12"/>
        <v>0</v>
      </c>
      <c r="F63" s="126" t="s">
        <v>228</v>
      </c>
      <c r="G63" s="299"/>
      <c r="H63" s="299"/>
      <c r="I63" s="299"/>
      <c r="J63" s="299"/>
      <c r="K63" s="299"/>
      <c r="L63" s="299"/>
      <c r="M63" s="299"/>
      <c r="N63" s="299"/>
      <c r="O63" s="299"/>
      <c r="P63" s="100"/>
      <c r="Q63" s="299"/>
      <c r="R63" s="299"/>
      <c r="S63" s="299"/>
      <c r="T63" s="299"/>
      <c r="U63" s="299"/>
      <c r="V63" s="299"/>
      <c r="W63" s="299"/>
      <c r="X63" s="299"/>
      <c r="Y63" s="100"/>
      <c r="Z63" s="100"/>
      <c r="AA63" s="100"/>
      <c r="AB63" s="100"/>
      <c r="AC63" s="101"/>
      <c r="AD63" s="101"/>
      <c r="AE63" s="100"/>
      <c r="AF63" s="299"/>
      <c r="AG63" s="100"/>
      <c r="AH63" s="299"/>
      <c r="AI63" s="123"/>
      <c r="AJ63" s="299"/>
      <c r="AK63" s="299"/>
      <c r="AL63" s="299"/>
      <c r="AM63" s="299"/>
      <c r="AN63" s="299"/>
      <c r="AO63" s="299"/>
      <c r="AP63" s="299"/>
      <c r="AQ63" s="299"/>
      <c r="AR63" s="299"/>
      <c r="AS63" s="299"/>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v>0</v>
      </c>
      <c r="CC63" s="302"/>
      <c r="CD63" s="302"/>
      <c r="CE63" s="302"/>
      <c r="CF63" s="302"/>
      <c r="CG63" s="302"/>
      <c r="CH63" s="302"/>
      <c r="CI63" s="302"/>
      <c r="CJ63" s="302"/>
      <c r="CK63" s="302"/>
      <c r="CL63" s="302"/>
      <c r="CM63" s="302"/>
      <c r="CN63" s="302"/>
      <c r="CO63" s="302"/>
      <c r="CP63" s="302"/>
      <c r="CQ63" s="302"/>
      <c r="CR63" s="302"/>
      <c r="CS63" s="302"/>
      <c r="CT63" s="302"/>
      <c r="CU63" s="302"/>
      <c r="CV63" s="302"/>
      <c r="CW63" s="302"/>
      <c r="CX63" s="302"/>
      <c r="CY63" s="302"/>
      <c r="CZ63" s="302"/>
      <c r="DA63" s="302"/>
      <c r="DB63" s="302"/>
      <c r="DC63" s="302"/>
      <c r="DD63" s="302"/>
      <c r="DE63" s="302"/>
      <c r="DF63" s="302"/>
      <c r="DG63" s="302"/>
      <c r="DH63" s="302"/>
      <c r="DI63" s="302"/>
      <c r="DJ63" s="302"/>
      <c r="DK63" s="302"/>
      <c r="DL63" s="302"/>
      <c r="DM63" s="302"/>
      <c r="DN63" s="302"/>
      <c r="DO63" s="302"/>
      <c r="DP63" s="302"/>
      <c r="DQ63" s="302"/>
      <c r="DR63" s="302"/>
      <c r="DS63" s="302"/>
      <c r="DT63" s="302"/>
      <c r="DU63" s="302"/>
      <c r="DV63" s="302"/>
      <c r="DW63" s="302"/>
      <c r="DX63" s="302"/>
      <c r="DY63" s="302"/>
      <c r="DZ63" s="302"/>
      <c r="EA63" s="302"/>
      <c r="EB63" s="302"/>
      <c r="EC63" s="302"/>
      <c r="ED63" s="302"/>
      <c r="EE63" s="302"/>
      <c r="EF63" s="302"/>
      <c r="EG63" s="302"/>
      <c r="EH63" s="302"/>
      <c r="EI63" s="302"/>
      <c r="EJ63" s="302"/>
      <c r="EK63" s="302"/>
      <c r="EL63" s="302"/>
      <c r="EM63" s="302"/>
      <c r="EN63" s="302"/>
      <c r="EO63" s="302"/>
      <c r="EP63" s="302"/>
      <c r="EQ63" s="302"/>
      <c r="ER63" s="302"/>
      <c r="ES63" s="302"/>
      <c r="ET63" s="302"/>
      <c r="EU63" s="302"/>
      <c r="EV63" s="302"/>
      <c r="EW63" s="302"/>
      <c r="EX63" s="302"/>
      <c r="EY63" s="302"/>
    </row>
    <row r="64" spans="1:155" s="27" customFormat="1" x14ac:dyDescent="0.2">
      <c r="A64" s="38"/>
      <c r="B64" s="37"/>
      <c r="C64" s="36">
        <f t="shared" si="9"/>
        <v>0</v>
      </c>
      <c r="D64" s="104" t="s">
        <v>1163</v>
      </c>
      <c r="E64" s="36">
        <f t="shared" si="12"/>
        <v>0</v>
      </c>
      <c r="F64" s="126" t="s">
        <v>228</v>
      </c>
      <c r="G64" s="299"/>
      <c r="H64" s="299"/>
      <c r="I64" s="299"/>
      <c r="J64" s="299"/>
      <c r="K64" s="299"/>
      <c r="L64" s="299"/>
      <c r="M64" s="299"/>
      <c r="N64" s="299"/>
      <c r="O64" s="299"/>
      <c r="P64" s="100"/>
      <c r="Q64" s="299"/>
      <c r="R64" s="299"/>
      <c r="S64" s="299"/>
      <c r="T64" s="299"/>
      <c r="U64" s="299"/>
      <c r="V64" s="299"/>
      <c r="W64" s="299"/>
      <c r="X64" s="299"/>
      <c r="Y64" s="100"/>
      <c r="Z64" s="100"/>
      <c r="AA64" s="100"/>
      <c r="AB64" s="100"/>
      <c r="AC64" s="100"/>
      <c r="AD64" s="100"/>
      <c r="AE64" s="101"/>
      <c r="AF64" s="299"/>
      <c r="AG64" s="100"/>
      <c r="AH64" s="299"/>
      <c r="AI64" s="123"/>
      <c r="AJ64" s="299"/>
      <c r="AK64" s="299"/>
      <c r="AL64" s="299"/>
      <c r="AM64" s="299"/>
      <c r="AN64" s="299"/>
      <c r="AO64" s="299"/>
      <c r="AP64" s="299"/>
      <c r="AQ64" s="299"/>
      <c r="AR64" s="299"/>
      <c r="AS64" s="299"/>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v>0</v>
      </c>
      <c r="CC64" s="302"/>
      <c r="CD64" s="302"/>
      <c r="CE64" s="302"/>
      <c r="CF64" s="302"/>
      <c r="CG64" s="302"/>
      <c r="CH64" s="302"/>
      <c r="CI64" s="302"/>
      <c r="CJ64" s="302"/>
      <c r="CK64" s="302"/>
      <c r="CL64" s="302"/>
      <c r="CM64" s="302"/>
      <c r="CN64" s="302"/>
      <c r="CO64" s="302"/>
      <c r="CP64" s="302"/>
      <c r="CQ64" s="302"/>
      <c r="CR64" s="302"/>
      <c r="CS64" s="302"/>
      <c r="CT64" s="302"/>
      <c r="CU64" s="302"/>
      <c r="CV64" s="302"/>
      <c r="CW64" s="302"/>
      <c r="CX64" s="302"/>
      <c r="CY64" s="302"/>
      <c r="CZ64" s="302"/>
      <c r="DA64" s="302"/>
      <c r="DB64" s="302"/>
      <c r="DC64" s="302"/>
      <c r="DD64" s="302"/>
      <c r="DE64" s="302"/>
      <c r="DF64" s="302"/>
      <c r="DG64" s="302"/>
      <c r="DH64" s="302"/>
      <c r="DI64" s="302"/>
      <c r="DJ64" s="302"/>
      <c r="DK64" s="302"/>
      <c r="DL64" s="302"/>
      <c r="DM64" s="302"/>
      <c r="DN64" s="302"/>
      <c r="DO64" s="302"/>
      <c r="DP64" s="302"/>
      <c r="DQ64" s="302"/>
      <c r="DR64" s="302"/>
      <c r="DS64" s="302"/>
      <c r="DT64" s="302"/>
      <c r="DU64" s="302"/>
      <c r="DV64" s="302"/>
      <c r="DW64" s="302"/>
      <c r="DX64" s="302"/>
      <c r="DY64" s="302"/>
      <c r="DZ64" s="302"/>
      <c r="EA64" s="302"/>
      <c r="EB64" s="302"/>
      <c r="EC64" s="302"/>
      <c r="ED64" s="302"/>
      <c r="EE64" s="302"/>
      <c r="EF64" s="302"/>
      <c r="EG64" s="302"/>
      <c r="EH64" s="302"/>
      <c r="EI64" s="302"/>
      <c r="EJ64" s="302"/>
      <c r="EK64" s="302"/>
      <c r="EL64" s="302"/>
      <c r="EM64" s="302"/>
      <c r="EN64" s="302"/>
      <c r="EO64" s="302"/>
      <c r="EP64" s="302"/>
      <c r="EQ64" s="302"/>
      <c r="ER64" s="302"/>
      <c r="ES64" s="302"/>
      <c r="ET64" s="302"/>
      <c r="EU64" s="302"/>
      <c r="EV64" s="302"/>
      <c r="EW64" s="302"/>
      <c r="EX64" s="302"/>
      <c r="EY64" s="302"/>
    </row>
    <row r="65" spans="1:155" s="27" customFormat="1" ht="24" x14ac:dyDescent="0.2">
      <c r="A65" s="38"/>
      <c r="B65" s="37"/>
      <c r="C65" s="86">
        <f t="shared" si="9"/>
        <v>0</v>
      </c>
      <c r="D65" s="104" t="s">
        <v>1188</v>
      </c>
      <c r="E65" s="86">
        <f t="shared" si="12"/>
        <v>0</v>
      </c>
      <c r="F65" s="126" t="s">
        <v>228</v>
      </c>
      <c r="G65" s="299"/>
      <c r="H65" s="299"/>
      <c r="I65" s="299"/>
      <c r="J65" s="299"/>
      <c r="K65" s="299"/>
      <c r="L65" s="299"/>
      <c r="M65" s="299"/>
      <c r="N65" s="299"/>
      <c r="O65" s="299"/>
      <c r="P65" s="100"/>
      <c r="Q65" s="299"/>
      <c r="R65" s="299"/>
      <c r="S65" s="299"/>
      <c r="T65" s="299"/>
      <c r="U65" s="299"/>
      <c r="V65" s="299"/>
      <c r="W65" s="299"/>
      <c r="X65" s="299"/>
      <c r="Y65" s="100"/>
      <c r="Z65" s="100"/>
      <c r="AA65" s="100"/>
      <c r="AB65" s="100"/>
      <c r="AC65" s="100"/>
      <c r="AD65" s="100"/>
      <c r="AE65" s="101"/>
      <c r="AF65" s="299"/>
      <c r="AG65" s="100"/>
      <c r="AH65" s="299"/>
      <c r="AI65" s="123"/>
      <c r="AJ65" s="299"/>
      <c r="AK65" s="299"/>
      <c r="AL65" s="299"/>
      <c r="AM65" s="299"/>
      <c r="AN65" s="299"/>
      <c r="AO65" s="299"/>
      <c r="AP65" s="299"/>
      <c r="AQ65" s="299"/>
      <c r="AR65" s="299"/>
      <c r="AS65" s="299"/>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v>1.26347176772335E-2</v>
      </c>
      <c r="CD65" s="302">
        <v>0</v>
      </c>
      <c r="CE65" s="302"/>
      <c r="CF65" s="302"/>
      <c r="CG65" s="302"/>
      <c r="CH65" s="302"/>
      <c r="CI65" s="302"/>
      <c r="CJ65" s="302"/>
      <c r="CK65" s="302"/>
      <c r="CL65" s="302">
        <v>0</v>
      </c>
      <c r="CM65" s="302">
        <f>-10/791.47</f>
        <v>-1.2634717677233502E-2</v>
      </c>
      <c r="CN65" s="302"/>
      <c r="CO65" s="302"/>
      <c r="CP65" s="302"/>
      <c r="CQ65" s="302"/>
      <c r="CR65" s="302"/>
      <c r="CS65" s="302"/>
      <c r="CT65" s="302"/>
      <c r="CU65" s="302"/>
      <c r="CV65" s="302"/>
      <c r="CW65" s="302"/>
      <c r="CX65" s="302"/>
      <c r="CY65" s="302"/>
      <c r="CZ65" s="302"/>
      <c r="DA65" s="302"/>
      <c r="DB65" s="302"/>
      <c r="DC65" s="302"/>
      <c r="DD65" s="302"/>
      <c r="DE65" s="302"/>
      <c r="DF65" s="302"/>
      <c r="DG65" s="302"/>
      <c r="DH65" s="302"/>
      <c r="DI65" s="302"/>
      <c r="DJ65" s="302"/>
      <c r="DK65" s="302"/>
      <c r="DL65" s="302"/>
      <c r="DM65" s="302"/>
      <c r="DN65" s="302"/>
      <c r="DO65" s="302"/>
      <c r="DP65" s="302"/>
      <c r="DQ65" s="302"/>
      <c r="DR65" s="302"/>
      <c r="DS65" s="302"/>
      <c r="DT65" s="302"/>
      <c r="DU65" s="302"/>
      <c r="DV65" s="302"/>
      <c r="DW65" s="302"/>
      <c r="DX65" s="302"/>
      <c r="DY65" s="302"/>
      <c r="DZ65" s="302"/>
      <c r="EA65" s="302"/>
      <c r="EB65" s="302"/>
      <c r="EC65" s="302"/>
      <c r="ED65" s="302"/>
      <c r="EE65" s="302"/>
      <c r="EF65" s="302"/>
      <c r="EG65" s="302"/>
      <c r="EH65" s="302"/>
      <c r="EI65" s="302"/>
      <c r="EJ65" s="302"/>
      <c r="EK65" s="302"/>
      <c r="EL65" s="302"/>
      <c r="EM65" s="302"/>
      <c r="EN65" s="302"/>
      <c r="EO65" s="302"/>
      <c r="EP65" s="302"/>
      <c r="EQ65" s="302"/>
      <c r="ER65" s="302"/>
      <c r="ES65" s="302"/>
      <c r="ET65" s="302"/>
      <c r="EU65" s="302"/>
      <c r="EV65" s="302"/>
      <c r="EW65" s="302"/>
      <c r="EX65" s="302"/>
      <c r="EY65" s="302"/>
    </row>
    <row r="66" spans="1:155" s="27" customFormat="1" x14ac:dyDescent="0.2">
      <c r="A66" s="38"/>
      <c r="B66" s="37"/>
      <c r="C66" s="86">
        <f t="shared" si="9"/>
        <v>5.006986998873364E-5</v>
      </c>
      <c r="D66" s="4" t="s">
        <v>1205</v>
      </c>
      <c r="E66" s="86">
        <f t="shared" si="12"/>
        <v>3.1293668742958525E-7</v>
      </c>
      <c r="F66" s="126" t="s">
        <v>228</v>
      </c>
      <c r="G66" s="299"/>
      <c r="H66" s="302"/>
      <c r="I66" s="299"/>
      <c r="J66" s="299"/>
      <c r="K66" s="299"/>
      <c r="L66" s="299"/>
      <c r="M66" s="299"/>
      <c r="N66" s="299"/>
      <c r="O66" s="299"/>
      <c r="P66" s="100"/>
      <c r="Q66" s="299"/>
      <c r="R66" s="299"/>
      <c r="S66" s="299"/>
      <c r="T66" s="299"/>
      <c r="U66" s="299"/>
      <c r="V66" s="299"/>
      <c r="W66" s="299"/>
      <c r="X66" s="299"/>
      <c r="Y66" s="100"/>
      <c r="Z66" s="100"/>
      <c r="AA66" s="100"/>
      <c r="AB66" s="100"/>
      <c r="AC66" s="100"/>
      <c r="AD66" s="100"/>
      <c r="AE66" s="101"/>
      <c r="AF66" s="299"/>
      <c r="AG66" s="100"/>
      <c r="AH66" s="299"/>
      <c r="AI66" s="123"/>
      <c r="AJ66" s="299"/>
      <c r="AK66" s="299"/>
      <c r="AL66" s="299"/>
      <c r="AM66" s="299"/>
      <c r="AN66" s="299"/>
      <c r="AO66" s="299"/>
      <c r="AP66" s="299"/>
      <c r="AQ66" s="299"/>
      <c r="AR66" s="299"/>
      <c r="AS66" s="299"/>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c r="CE66" s="302">
        <v>6.1063129366874299E-3</v>
      </c>
      <c r="CF66" s="302"/>
      <c r="CG66" s="302"/>
      <c r="CH66" s="302"/>
      <c r="CI66" s="302"/>
      <c r="CJ66" s="302"/>
      <c r="CK66" s="302"/>
      <c r="CL66" s="302"/>
      <c r="CM66" s="302"/>
      <c r="CN66" s="302"/>
      <c r="CO66" s="302"/>
      <c r="CP66" s="302"/>
      <c r="CQ66" s="302"/>
      <c r="CR66" s="302"/>
      <c r="CS66" s="302"/>
      <c r="CT66" s="302"/>
      <c r="CU66" s="302"/>
      <c r="CV66" s="302"/>
      <c r="CW66" s="302"/>
      <c r="CX66" s="302"/>
      <c r="CY66" s="302"/>
      <c r="CZ66" s="302"/>
      <c r="DA66" s="302"/>
      <c r="DB66" s="302"/>
      <c r="DC66" s="302"/>
      <c r="DD66" s="302"/>
      <c r="DE66" s="302"/>
      <c r="DF66" s="302">
        <v>-6.1060000000000003E-3</v>
      </c>
      <c r="DG66" s="302"/>
      <c r="DH66" s="302"/>
      <c r="DI66" s="302"/>
      <c r="DJ66" s="302"/>
      <c r="DK66" s="302"/>
      <c r="DL66" s="302"/>
      <c r="DM66" s="302"/>
      <c r="DN66" s="302"/>
      <c r="DO66" s="302"/>
      <c r="DP66" s="302"/>
      <c r="DQ66" s="302"/>
      <c r="DR66" s="302"/>
      <c r="DS66" s="302"/>
      <c r="DT66" s="302"/>
      <c r="DU66" s="302"/>
      <c r="DV66" s="302"/>
      <c r="DW66" s="302"/>
      <c r="DX66" s="302"/>
      <c r="DY66" s="302"/>
      <c r="DZ66" s="302"/>
      <c r="EA66" s="302"/>
      <c r="EB66" s="302"/>
      <c r="EC66" s="302"/>
      <c r="ED66" s="302"/>
      <c r="EE66" s="302"/>
      <c r="EF66" s="302"/>
      <c r="EG66" s="302"/>
      <c r="EH66" s="302"/>
      <c r="EI66" s="302"/>
      <c r="EJ66" s="302"/>
      <c r="EK66" s="302"/>
      <c r="EL66" s="302"/>
      <c r="EM66" s="302"/>
      <c r="EN66" s="302"/>
      <c r="EO66" s="302"/>
      <c r="EP66" s="302"/>
      <c r="EQ66" s="302"/>
      <c r="ER66" s="302"/>
      <c r="ES66" s="302"/>
      <c r="ET66" s="302"/>
      <c r="EU66" s="302"/>
      <c r="EV66" s="302"/>
      <c r="EW66" s="302"/>
      <c r="EX66" s="302"/>
      <c r="EY66" s="302"/>
    </row>
    <row r="67" spans="1:155" s="27" customFormat="1" x14ac:dyDescent="0.2">
      <c r="A67" s="38"/>
      <c r="B67" s="37"/>
      <c r="C67" s="36">
        <f t="shared" si="9"/>
        <v>0.97701006986998884</v>
      </c>
      <c r="D67" s="3" t="s">
        <v>1215</v>
      </c>
      <c r="E67" s="36">
        <f t="shared" si="12"/>
        <v>6.1063129366874299E-3</v>
      </c>
      <c r="F67" s="126" t="s">
        <v>228</v>
      </c>
      <c r="G67" s="299"/>
      <c r="H67" s="302"/>
      <c r="I67" s="299"/>
      <c r="J67" s="299"/>
      <c r="K67" s="299"/>
      <c r="L67" s="299"/>
      <c r="M67" s="299"/>
      <c r="N67" s="299"/>
      <c r="O67" s="299"/>
      <c r="P67" s="100"/>
      <c r="Q67" s="299"/>
      <c r="R67" s="299"/>
      <c r="S67" s="299"/>
      <c r="T67" s="299"/>
      <c r="U67" s="299"/>
      <c r="V67" s="299"/>
      <c r="W67" s="299"/>
      <c r="X67" s="299"/>
      <c r="Y67" s="100"/>
      <c r="Z67" s="100"/>
      <c r="AA67" s="100"/>
      <c r="AB67" s="100"/>
      <c r="AC67" s="100"/>
      <c r="AD67" s="100"/>
      <c r="AE67" s="101"/>
      <c r="AF67" s="299"/>
      <c r="AG67" s="100"/>
      <c r="AH67" s="299"/>
      <c r="AI67" s="123"/>
      <c r="AJ67" s="299"/>
      <c r="AK67" s="299"/>
      <c r="AL67" s="299"/>
      <c r="AM67" s="299"/>
      <c r="AN67" s="299"/>
      <c r="AO67" s="299"/>
      <c r="AP67" s="299"/>
      <c r="AQ67" s="299"/>
      <c r="AR67" s="299"/>
      <c r="AS67" s="299"/>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c r="CE67" s="302"/>
      <c r="CF67" s="302"/>
      <c r="CG67" s="302"/>
      <c r="CH67" s="302"/>
      <c r="CI67" s="302">
        <v>6.1063129366874299E-3</v>
      </c>
      <c r="CJ67" s="302"/>
      <c r="CK67" s="302"/>
      <c r="CL67" s="302"/>
      <c r="CM67" s="302"/>
      <c r="CN67" s="302"/>
      <c r="CO67" s="302"/>
      <c r="CP67" s="302"/>
      <c r="CQ67" s="302"/>
      <c r="CR67" s="302"/>
      <c r="CS67" s="302"/>
      <c r="CT67" s="302"/>
      <c r="CU67" s="302"/>
      <c r="CV67" s="302"/>
      <c r="CW67" s="302"/>
      <c r="CX67" s="302"/>
      <c r="CY67" s="302"/>
      <c r="CZ67" s="302"/>
      <c r="DA67" s="302"/>
      <c r="DB67" s="302"/>
      <c r="DC67" s="302"/>
      <c r="DD67" s="302"/>
      <c r="DE67" s="302"/>
      <c r="DF67" s="302"/>
      <c r="DG67" s="302"/>
      <c r="DH67" s="302"/>
      <c r="DI67" s="302"/>
      <c r="DJ67" s="302"/>
      <c r="DK67" s="302"/>
      <c r="DL67" s="302"/>
      <c r="DM67" s="302"/>
      <c r="DN67" s="302"/>
      <c r="DO67" s="302"/>
      <c r="DP67" s="302"/>
      <c r="DQ67" s="302"/>
      <c r="DR67" s="302"/>
      <c r="DS67" s="302"/>
      <c r="DT67" s="302"/>
      <c r="DU67" s="302"/>
      <c r="DV67" s="302"/>
      <c r="DW67" s="302"/>
      <c r="DX67" s="302"/>
      <c r="DY67" s="302"/>
      <c r="DZ67" s="302"/>
      <c r="EA67" s="302"/>
      <c r="EB67" s="302"/>
      <c r="EC67" s="302"/>
      <c r="ED67" s="302"/>
      <c r="EE67" s="302"/>
      <c r="EF67" s="302"/>
      <c r="EG67" s="302"/>
      <c r="EH67" s="302"/>
      <c r="EI67" s="302"/>
      <c r="EJ67" s="302"/>
      <c r="EK67" s="302"/>
      <c r="EL67" s="302"/>
      <c r="EM67" s="302"/>
      <c r="EN67" s="302"/>
      <c r="EO67" s="302"/>
      <c r="EP67" s="302"/>
      <c r="EQ67" s="302"/>
      <c r="ER67" s="302"/>
      <c r="ES67" s="302"/>
      <c r="ET67" s="302"/>
      <c r="EU67" s="302"/>
      <c r="EV67" s="302"/>
      <c r="EW67" s="302"/>
      <c r="EX67" s="302"/>
      <c r="EY67" s="302"/>
    </row>
    <row r="68" spans="1:155" s="27" customFormat="1" x14ac:dyDescent="0.2">
      <c r="A68" s="38"/>
      <c r="B68" s="37"/>
      <c r="C68" s="36">
        <f t="shared" si="9"/>
        <v>0</v>
      </c>
      <c r="D68" s="104" t="s">
        <v>1904</v>
      </c>
      <c r="E68" s="36">
        <f t="shared" si="12"/>
        <v>0</v>
      </c>
      <c r="F68" s="126" t="s">
        <v>228</v>
      </c>
      <c r="G68" s="299"/>
      <c r="H68" s="302"/>
      <c r="I68" s="299"/>
      <c r="J68" s="299"/>
      <c r="K68" s="299"/>
      <c r="L68" s="299"/>
      <c r="M68" s="299"/>
      <c r="N68" s="299"/>
      <c r="O68" s="299"/>
      <c r="P68" s="100"/>
      <c r="Q68" s="299"/>
      <c r="R68" s="299"/>
      <c r="S68" s="299"/>
      <c r="T68" s="299"/>
      <c r="U68" s="299"/>
      <c r="V68" s="299"/>
      <c r="W68" s="299"/>
      <c r="X68" s="299"/>
      <c r="Y68" s="100"/>
      <c r="Z68" s="100"/>
      <c r="AA68" s="100"/>
      <c r="AB68" s="100"/>
      <c r="AC68" s="100"/>
      <c r="AD68" s="100"/>
      <c r="AE68" s="100"/>
      <c r="AF68" s="299"/>
      <c r="AG68" s="100"/>
      <c r="AH68" s="299"/>
      <c r="AI68" s="124"/>
      <c r="AJ68" s="299"/>
      <c r="AK68" s="299"/>
      <c r="AL68" s="299"/>
      <c r="AM68" s="299"/>
      <c r="AN68" s="299"/>
      <c r="AO68" s="299"/>
      <c r="AP68" s="299"/>
      <c r="AQ68" s="299"/>
      <c r="AR68" s="299"/>
      <c r="AS68" s="299"/>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c r="CE68" s="302"/>
      <c r="CF68" s="302"/>
      <c r="CG68" s="302"/>
      <c r="CH68" s="302"/>
      <c r="CI68" s="302"/>
      <c r="CJ68" s="302"/>
      <c r="CK68" s="302"/>
      <c r="CL68" s="302"/>
      <c r="CM68" s="302">
        <f>(10/791.47)*(3/14)</f>
        <v>2.7074395022643216E-3</v>
      </c>
      <c r="CN68" s="302"/>
      <c r="CO68" s="302"/>
      <c r="CP68" s="302">
        <f>-(10/791.47)*(3/14)</f>
        <v>-2.7074395022643216E-3</v>
      </c>
      <c r="CQ68" s="302"/>
      <c r="CR68" s="302"/>
      <c r="CS68" s="302"/>
      <c r="CT68" s="302"/>
      <c r="CU68" s="302"/>
      <c r="CV68" s="302"/>
      <c r="CW68" s="302"/>
      <c r="CX68" s="302"/>
      <c r="CY68" s="302"/>
      <c r="CZ68" s="302"/>
      <c r="DA68" s="302"/>
      <c r="DB68" s="302"/>
      <c r="DC68" s="302"/>
      <c r="DD68" s="302"/>
      <c r="DE68" s="302"/>
      <c r="DF68" s="302"/>
      <c r="DG68" s="302"/>
      <c r="DH68" s="302"/>
      <c r="DI68" s="302"/>
      <c r="DJ68" s="302"/>
      <c r="DK68" s="302"/>
      <c r="DL68" s="302"/>
      <c r="DM68" s="302"/>
      <c r="DN68" s="302"/>
      <c r="DO68" s="302"/>
      <c r="DP68" s="302"/>
      <c r="DQ68" s="302"/>
      <c r="DR68" s="302"/>
      <c r="DS68" s="302"/>
      <c r="DT68" s="302"/>
      <c r="DU68" s="302"/>
      <c r="DV68" s="302"/>
      <c r="DW68" s="302"/>
      <c r="DX68" s="302"/>
      <c r="DY68" s="302"/>
      <c r="DZ68" s="302"/>
      <c r="EA68" s="302"/>
      <c r="EB68" s="302"/>
      <c r="EC68" s="302"/>
      <c r="ED68" s="302"/>
      <c r="EE68" s="302"/>
      <c r="EF68" s="302"/>
      <c r="EG68" s="302"/>
      <c r="EH68" s="302"/>
      <c r="EI68" s="302"/>
      <c r="EJ68" s="302"/>
      <c r="EK68" s="302"/>
      <c r="EL68" s="302"/>
      <c r="EM68" s="302"/>
      <c r="EN68" s="302"/>
      <c r="EO68" s="302"/>
      <c r="EP68" s="302"/>
      <c r="EQ68" s="302"/>
      <c r="ER68" s="302"/>
      <c r="ES68" s="302"/>
      <c r="ET68" s="302"/>
      <c r="EU68" s="302"/>
      <c r="EV68" s="302"/>
      <c r="EW68" s="302"/>
      <c r="EX68" s="302"/>
      <c r="EY68" s="302"/>
    </row>
    <row r="69" spans="1:155" s="27" customFormat="1" x14ac:dyDescent="0.2">
      <c r="A69" s="38"/>
      <c r="B69" s="37"/>
      <c r="C69" s="36">
        <f t="shared" si="9"/>
        <v>0.43319032036229144</v>
      </c>
      <c r="D69" s="4" t="s">
        <v>2725</v>
      </c>
      <c r="E69" s="36">
        <f t="shared" si="12"/>
        <v>2.7074395022643216E-3</v>
      </c>
      <c r="F69" s="126" t="s">
        <v>228</v>
      </c>
      <c r="G69" s="299"/>
      <c r="H69" s="299"/>
      <c r="I69" s="299"/>
      <c r="J69" s="299"/>
      <c r="K69" s="299"/>
      <c r="L69" s="299"/>
      <c r="M69" s="299"/>
      <c r="N69" s="299"/>
      <c r="O69" s="299"/>
      <c r="P69" s="100"/>
      <c r="Q69" s="299"/>
      <c r="R69" s="299"/>
      <c r="S69" s="299"/>
      <c r="T69" s="299"/>
      <c r="U69" s="299"/>
      <c r="V69" s="299"/>
      <c r="W69" s="299"/>
      <c r="X69" s="299"/>
      <c r="Y69" s="100"/>
      <c r="Z69" s="100"/>
      <c r="AA69" s="100"/>
      <c r="AB69" s="100"/>
      <c r="AC69" s="100"/>
      <c r="AD69" s="100"/>
      <c r="AE69" s="100"/>
      <c r="AF69" s="299"/>
      <c r="AG69" s="100"/>
      <c r="AH69" s="299"/>
      <c r="AI69" s="123"/>
      <c r="AJ69" s="299"/>
      <c r="AK69" s="299"/>
      <c r="AL69" s="299"/>
      <c r="AM69" s="299"/>
      <c r="AN69" s="299"/>
      <c r="AO69" s="299"/>
      <c r="AP69" s="299"/>
      <c r="AQ69" s="299"/>
      <c r="AR69" s="299"/>
      <c r="AS69" s="299"/>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2">
        <f>(10/791.47)*(3/14)</f>
        <v>2.7074395022643216E-3</v>
      </c>
      <c r="CN69" s="302"/>
      <c r="CO69" s="302"/>
      <c r="CP69" s="302"/>
      <c r="CQ69" s="302"/>
      <c r="CR69" s="302"/>
      <c r="CS69" s="302"/>
      <c r="CT69" s="302"/>
      <c r="CU69" s="302"/>
      <c r="CV69" s="302"/>
      <c r="CW69" s="302"/>
      <c r="CX69" s="302"/>
      <c r="CY69" s="302"/>
      <c r="CZ69" s="302"/>
      <c r="DA69" s="302"/>
      <c r="DB69" s="302"/>
      <c r="DC69" s="302"/>
      <c r="DD69" s="302"/>
      <c r="DE69" s="302"/>
      <c r="DF69" s="302"/>
      <c r="DG69" s="302"/>
      <c r="DH69" s="302"/>
      <c r="DI69" s="302"/>
      <c r="DJ69" s="302"/>
      <c r="DK69" s="302"/>
      <c r="DL69" s="302"/>
      <c r="DM69" s="302"/>
      <c r="DN69" s="302"/>
      <c r="DO69" s="302"/>
      <c r="DP69" s="302"/>
      <c r="DQ69" s="302"/>
      <c r="DR69" s="302"/>
      <c r="DS69" s="302"/>
      <c r="DT69" s="302"/>
      <c r="DU69" s="302"/>
      <c r="DV69" s="302"/>
      <c r="DW69" s="302"/>
      <c r="DX69" s="302"/>
      <c r="DY69" s="302"/>
      <c r="DZ69" s="302"/>
      <c r="EA69" s="302"/>
      <c r="EB69" s="302"/>
      <c r="EC69" s="302"/>
      <c r="ED69" s="302"/>
      <c r="EE69" s="302"/>
      <c r="EF69" s="302"/>
      <c r="EG69" s="302"/>
      <c r="EH69" s="302"/>
      <c r="EI69" s="302"/>
      <c r="EJ69" s="302"/>
      <c r="EK69" s="302"/>
      <c r="EL69" s="302"/>
      <c r="EM69" s="302"/>
      <c r="EN69" s="302"/>
      <c r="EO69" s="302"/>
      <c r="EP69" s="302"/>
      <c r="EQ69" s="302"/>
      <c r="ER69" s="302"/>
      <c r="ES69" s="302"/>
      <c r="ET69" s="302"/>
      <c r="EU69" s="302"/>
      <c r="EV69" s="302"/>
      <c r="EW69" s="302"/>
      <c r="EX69" s="302"/>
      <c r="EY69" s="302"/>
    </row>
    <row r="70" spans="1:155" s="27" customFormat="1" x14ac:dyDescent="0.2">
      <c r="A70" s="38"/>
      <c r="B70" s="37"/>
      <c r="C70" s="36">
        <f t="shared" si="9"/>
        <v>0</v>
      </c>
      <c r="D70" s="103" t="s">
        <v>279</v>
      </c>
      <c r="E70" s="36">
        <f t="shared" si="12"/>
        <v>0</v>
      </c>
      <c r="F70" s="126" t="s">
        <v>228</v>
      </c>
      <c r="G70" s="299"/>
      <c r="H70" s="299"/>
      <c r="I70" s="299"/>
      <c r="J70" s="299"/>
      <c r="K70" s="299"/>
      <c r="L70" s="299"/>
      <c r="M70" s="299"/>
      <c r="N70" s="299"/>
      <c r="O70" s="299"/>
      <c r="P70" s="100"/>
      <c r="Q70" s="299"/>
      <c r="R70" s="299"/>
      <c r="S70" s="299"/>
      <c r="T70" s="299"/>
      <c r="U70" s="299"/>
      <c r="V70" s="299"/>
      <c r="W70" s="299"/>
      <c r="X70" s="299"/>
      <c r="Y70" s="100"/>
      <c r="Z70" s="100"/>
      <c r="AA70" s="100"/>
      <c r="AB70" s="100"/>
      <c r="AC70" s="100"/>
      <c r="AD70" s="100"/>
      <c r="AE70" s="100"/>
      <c r="AF70" s="299"/>
      <c r="AG70" s="100"/>
      <c r="AH70" s="299"/>
      <c r="AI70" s="123"/>
      <c r="AJ70" s="299"/>
      <c r="AK70" s="299"/>
      <c r="AL70" s="299"/>
      <c r="AM70" s="299"/>
      <c r="AN70" s="299"/>
      <c r="AO70" s="299"/>
      <c r="AP70" s="299"/>
      <c r="AQ70" s="299"/>
      <c r="AR70" s="299"/>
      <c r="AS70" s="299"/>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c r="CE70" s="302"/>
      <c r="CF70" s="302"/>
      <c r="CG70" s="302"/>
      <c r="CH70" s="302"/>
      <c r="CI70" s="302"/>
      <c r="CJ70" s="302"/>
      <c r="CK70" s="302"/>
      <c r="CL70" s="302"/>
      <c r="CM70" s="302">
        <f>(10/791.47)*(1/7)</f>
        <v>1.8049596681762145E-3</v>
      </c>
      <c r="CN70" s="302"/>
      <c r="CO70" s="302"/>
      <c r="CP70" s="302"/>
      <c r="CQ70" s="302"/>
      <c r="CR70" s="302"/>
      <c r="CS70" s="302"/>
      <c r="CT70" s="302"/>
      <c r="CU70" s="302"/>
      <c r="CV70" s="302"/>
      <c r="CW70" s="302"/>
      <c r="CX70" s="302"/>
      <c r="CY70" s="302"/>
      <c r="CZ70" s="302"/>
      <c r="DA70" s="302"/>
      <c r="DB70" s="302"/>
      <c r="DC70" s="302"/>
      <c r="DD70" s="302"/>
      <c r="DE70" s="302"/>
      <c r="DF70" s="302"/>
      <c r="DG70" s="302"/>
      <c r="DH70" s="302"/>
      <c r="DI70" s="302"/>
      <c r="DJ70" s="302"/>
      <c r="DK70" s="302"/>
      <c r="DL70" s="302"/>
      <c r="DM70" s="302"/>
      <c r="DN70" s="302"/>
      <c r="DO70" s="302"/>
      <c r="DP70" s="302"/>
      <c r="DQ70" s="302"/>
      <c r="DR70" s="302"/>
      <c r="DS70" s="302"/>
      <c r="DT70" s="302"/>
      <c r="DU70" s="302"/>
      <c r="DV70" s="302"/>
      <c r="DW70" s="302">
        <f>-(10/791.47)*(1/7)</f>
        <v>-1.8049596681762145E-3</v>
      </c>
      <c r="DX70" s="302"/>
      <c r="DY70" s="302"/>
      <c r="DZ70" s="302"/>
      <c r="EA70" s="302"/>
      <c r="EB70" s="302"/>
      <c r="EC70" s="302"/>
      <c r="ED70" s="302"/>
      <c r="EE70" s="302"/>
      <c r="EF70" s="302"/>
      <c r="EG70" s="302"/>
      <c r="EH70" s="302"/>
      <c r="EI70" s="302"/>
      <c r="EJ70" s="302"/>
      <c r="EK70" s="302"/>
      <c r="EL70" s="302"/>
      <c r="EM70" s="302"/>
      <c r="EN70" s="302"/>
      <c r="EO70" s="302"/>
      <c r="EP70" s="302"/>
      <c r="EQ70" s="302"/>
      <c r="ER70" s="302"/>
      <c r="ES70" s="302"/>
      <c r="ET70" s="302"/>
      <c r="EU70" s="302"/>
      <c r="EV70" s="302"/>
      <c r="EW70" s="302"/>
      <c r="EX70" s="302"/>
      <c r="EY70" s="302"/>
    </row>
    <row r="71" spans="1:155" s="27" customFormat="1" x14ac:dyDescent="0.2">
      <c r="A71" s="38"/>
      <c r="B71" s="37"/>
      <c r="C71" s="36">
        <f t="shared" si="9"/>
        <v>0</v>
      </c>
      <c r="D71" s="103" t="s">
        <v>2726</v>
      </c>
      <c r="E71" s="36">
        <f t="shared" si="12"/>
        <v>0</v>
      </c>
      <c r="F71" s="126" t="s">
        <v>228</v>
      </c>
      <c r="G71" s="299"/>
      <c r="H71" s="299"/>
      <c r="I71" s="299"/>
      <c r="J71" s="299"/>
      <c r="K71" s="299"/>
      <c r="L71" s="299"/>
      <c r="M71" s="299"/>
      <c r="N71" s="299"/>
      <c r="O71" s="299"/>
      <c r="P71" s="100"/>
      <c r="Q71" s="299"/>
      <c r="R71" s="299"/>
      <c r="S71" s="299"/>
      <c r="T71" s="299"/>
      <c r="U71" s="299"/>
      <c r="V71" s="299"/>
      <c r="W71" s="299"/>
      <c r="X71" s="299"/>
      <c r="Y71" s="100"/>
      <c r="Z71" s="100"/>
      <c r="AA71" s="100"/>
      <c r="AB71" s="100"/>
      <c r="AC71" s="100"/>
      <c r="AD71" s="100"/>
      <c r="AE71" s="100"/>
      <c r="AF71" s="299"/>
      <c r="AG71" s="100"/>
      <c r="AH71" s="299"/>
      <c r="AI71" s="123"/>
      <c r="AJ71" s="299"/>
      <c r="AK71" s="299"/>
      <c r="AL71" s="299"/>
      <c r="AM71" s="299"/>
      <c r="AN71" s="299"/>
      <c r="AO71" s="299"/>
      <c r="AP71" s="299"/>
      <c r="AQ71" s="299"/>
      <c r="AR71" s="299"/>
      <c r="AS71" s="299"/>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c r="CE71" s="302"/>
      <c r="CF71" s="302"/>
      <c r="CG71" s="302"/>
      <c r="CH71" s="302"/>
      <c r="CI71" s="302"/>
      <c r="CJ71" s="302"/>
      <c r="CK71" s="302"/>
      <c r="CL71" s="302"/>
      <c r="CM71" s="302">
        <f>(10/791.47)*(1/7)</f>
        <v>1.8049596681762145E-3</v>
      </c>
      <c r="CN71" s="302"/>
      <c r="CO71" s="302"/>
      <c r="CP71" s="302">
        <f>-(10/791.47)*(1/7)</f>
        <v>-1.8049596681762145E-3</v>
      </c>
      <c r="CQ71" s="302"/>
      <c r="CR71" s="302"/>
      <c r="CS71" s="302"/>
      <c r="CT71" s="302"/>
      <c r="CU71" s="302"/>
      <c r="CV71" s="302"/>
      <c r="CW71" s="302"/>
      <c r="CX71" s="302"/>
      <c r="CY71" s="302"/>
      <c r="CZ71" s="302"/>
      <c r="DA71" s="302"/>
      <c r="DB71" s="302"/>
      <c r="DC71" s="302"/>
      <c r="DD71" s="302"/>
      <c r="DE71" s="302"/>
      <c r="DF71" s="302"/>
      <c r="DG71" s="302"/>
      <c r="DH71" s="302"/>
      <c r="DI71" s="302"/>
      <c r="DJ71" s="302"/>
      <c r="DK71" s="302"/>
      <c r="DL71" s="302"/>
      <c r="DM71" s="302"/>
      <c r="DN71" s="302"/>
      <c r="DO71" s="302"/>
      <c r="DP71" s="302"/>
      <c r="DQ71" s="302"/>
      <c r="DR71" s="302"/>
      <c r="DS71" s="302"/>
      <c r="DT71" s="302"/>
      <c r="DU71" s="302"/>
      <c r="DV71" s="302"/>
      <c r="DW71" s="302"/>
      <c r="DX71" s="302"/>
      <c r="DY71" s="302"/>
      <c r="DZ71" s="302"/>
      <c r="EA71" s="302"/>
      <c r="EB71" s="302"/>
      <c r="EC71" s="302"/>
      <c r="ED71" s="302"/>
      <c r="EE71" s="302"/>
      <c r="EF71" s="302"/>
      <c r="EG71" s="302"/>
      <c r="EH71" s="302"/>
      <c r="EI71" s="302"/>
      <c r="EJ71" s="302"/>
      <c r="EK71" s="302"/>
      <c r="EL71" s="302"/>
      <c r="EM71" s="302"/>
      <c r="EN71" s="302"/>
      <c r="EO71" s="302"/>
      <c r="EP71" s="302"/>
      <c r="EQ71" s="302"/>
      <c r="ER71" s="302"/>
      <c r="ES71" s="302"/>
      <c r="ET71" s="302"/>
      <c r="EU71" s="302"/>
      <c r="EV71" s="302"/>
      <c r="EW71" s="302"/>
      <c r="EX71" s="302"/>
      <c r="EY71" s="302"/>
    </row>
    <row r="72" spans="1:155" s="27" customFormat="1" x14ac:dyDescent="0.2">
      <c r="A72" s="38"/>
      <c r="B72" s="37"/>
      <c r="C72" s="36">
        <f t="shared" si="9"/>
        <v>0</v>
      </c>
      <c r="D72" s="373" t="s">
        <v>2727</v>
      </c>
      <c r="E72" s="36">
        <f t="shared" si="12"/>
        <v>0</v>
      </c>
      <c r="F72" s="126" t="s">
        <v>228</v>
      </c>
      <c r="G72" s="299"/>
      <c r="H72" s="299"/>
      <c r="I72" s="299"/>
      <c r="J72" s="299"/>
      <c r="K72" s="299"/>
      <c r="L72" s="299"/>
      <c r="M72" s="299"/>
      <c r="N72" s="299"/>
      <c r="O72" s="299"/>
      <c r="P72" s="100"/>
      <c r="Q72" s="299"/>
      <c r="R72" s="299"/>
      <c r="S72" s="299"/>
      <c r="T72" s="299"/>
      <c r="U72" s="299"/>
      <c r="V72" s="299"/>
      <c r="W72" s="299"/>
      <c r="X72" s="299"/>
      <c r="Y72" s="100"/>
      <c r="Z72" s="100"/>
      <c r="AA72" s="100"/>
      <c r="AB72" s="100"/>
      <c r="AC72" s="100"/>
      <c r="AD72" s="100"/>
      <c r="AE72" s="100"/>
      <c r="AF72" s="299"/>
      <c r="AG72" s="100"/>
      <c r="AH72" s="299"/>
      <c r="AI72" s="123"/>
      <c r="AJ72" s="299"/>
      <c r="AK72" s="299"/>
      <c r="AL72" s="299"/>
      <c r="AM72" s="299"/>
      <c r="AN72" s="299"/>
      <c r="AO72" s="299"/>
      <c r="AP72" s="299"/>
      <c r="AQ72" s="299"/>
      <c r="AR72" s="299"/>
      <c r="AS72" s="299"/>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c r="CE72" s="302"/>
      <c r="CF72" s="302"/>
      <c r="CG72" s="302"/>
      <c r="CH72" s="302"/>
      <c r="CI72" s="302"/>
      <c r="CJ72" s="302"/>
      <c r="CK72" s="302"/>
      <c r="CL72" s="302"/>
      <c r="CM72" s="302">
        <f>(10/791.47)*(1/7)</f>
        <v>1.8049596681762145E-3</v>
      </c>
      <c r="CN72" s="302"/>
      <c r="CO72" s="302"/>
      <c r="CP72" s="302"/>
      <c r="CQ72" s="302">
        <f>-(10/791.47)*(1/7)</f>
        <v>-1.8049596681762145E-3</v>
      </c>
      <c r="CR72" s="302"/>
      <c r="CS72" s="302"/>
      <c r="CT72" s="302"/>
      <c r="CU72" s="302"/>
      <c r="CV72" s="302"/>
      <c r="CW72" s="302"/>
      <c r="CX72" s="302"/>
      <c r="CY72" s="302"/>
      <c r="CZ72" s="302"/>
      <c r="DA72" s="302"/>
      <c r="DB72" s="302"/>
      <c r="DC72" s="302"/>
      <c r="DD72" s="302"/>
      <c r="DE72" s="302"/>
      <c r="DF72" s="302"/>
      <c r="DG72" s="302"/>
      <c r="DH72" s="302"/>
      <c r="DI72" s="302"/>
      <c r="DJ72" s="302"/>
      <c r="DK72" s="302"/>
      <c r="DL72" s="302"/>
      <c r="DM72" s="302"/>
      <c r="DN72" s="302"/>
      <c r="DO72" s="302"/>
      <c r="DP72" s="302"/>
      <c r="DQ72" s="302"/>
      <c r="DR72" s="302"/>
      <c r="DS72" s="302"/>
      <c r="DT72" s="302"/>
      <c r="DU72" s="302"/>
      <c r="DV72" s="302"/>
      <c r="DW72" s="302"/>
      <c r="DX72" s="302"/>
      <c r="DY72" s="302"/>
      <c r="DZ72" s="302"/>
      <c r="EA72" s="302"/>
      <c r="EB72" s="302"/>
      <c r="EC72" s="302"/>
      <c r="ED72" s="302"/>
      <c r="EE72" s="302"/>
      <c r="EF72" s="302"/>
      <c r="EG72" s="302"/>
      <c r="EH72" s="302"/>
      <c r="EI72" s="302"/>
      <c r="EJ72" s="302"/>
      <c r="EK72" s="302"/>
      <c r="EL72" s="302"/>
      <c r="EM72" s="302"/>
      <c r="EN72" s="302"/>
      <c r="EO72" s="302"/>
      <c r="EP72" s="302"/>
      <c r="EQ72" s="302"/>
      <c r="ER72" s="302"/>
      <c r="ES72" s="302"/>
      <c r="ET72" s="302"/>
      <c r="EU72" s="302"/>
      <c r="EV72" s="302"/>
      <c r="EW72" s="302"/>
      <c r="EX72" s="302"/>
      <c r="EY72" s="302"/>
    </row>
    <row r="73" spans="1:155" s="27" customFormat="1" x14ac:dyDescent="0.2">
      <c r="A73" s="38"/>
      <c r="B73" s="37"/>
      <c r="C73" s="86">
        <f t="shared" si="9"/>
        <v>0</v>
      </c>
      <c r="D73" s="374" t="s">
        <v>2728</v>
      </c>
      <c r="E73" s="86">
        <f t="shared" si="12"/>
        <v>0</v>
      </c>
      <c r="F73" s="126" t="s">
        <v>228</v>
      </c>
      <c r="G73" s="299"/>
      <c r="H73" s="299"/>
      <c r="I73" s="299"/>
      <c r="J73" s="299"/>
      <c r="K73" s="299"/>
      <c r="L73" s="299"/>
      <c r="M73" s="299"/>
      <c r="N73" s="299"/>
      <c r="O73" s="299"/>
      <c r="P73" s="100"/>
      <c r="Q73" s="299"/>
      <c r="R73" s="299"/>
      <c r="S73" s="299"/>
      <c r="T73" s="299"/>
      <c r="U73" s="299"/>
      <c r="V73" s="299"/>
      <c r="W73" s="299"/>
      <c r="X73" s="299"/>
      <c r="Y73" s="100"/>
      <c r="Z73" s="100"/>
      <c r="AA73" s="100"/>
      <c r="AB73" s="100"/>
      <c r="AC73" s="100"/>
      <c r="AD73" s="100"/>
      <c r="AE73" s="100"/>
      <c r="AF73" s="299"/>
      <c r="AG73" s="100"/>
      <c r="AH73" s="299"/>
      <c r="AI73" s="123"/>
      <c r="AJ73" s="299"/>
      <c r="AK73" s="299"/>
      <c r="AL73" s="299"/>
      <c r="AM73" s="299"/>
      <c r="AN73" s="299"/>
      <c r="AO73" s="299"/>
      <c r="AP73" s="299"/>
      <c r="AQ73" s="299"/>
      <c r="AR73" s="299"/>
      <c r="AS73" s="299"/>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c r="CE73" s="302"/>
      <c r="CF73" s="302"/>
      <c r="CG73" s="302"/>
      <c r="CH73" s="302"/>
      <c r="CI73" s="302"/>
      <c r="CJ73" s="302"/>
      <c r="CK73" s="302"/>
      <c r="CL73" s="302"/>
      <c r="CM73" s="302">
        <f>(10/791.47)*(1/7)</f>
        <v>1.8049596681762145E-3</v>
      </c>
      <c r="CN73" s="302"/>
      <c r="CO73" s="302"/>
      <c r="CP73" s="302"/>
      <c r="CQ73" s="302"/>
      <c r="CR73" s="302"/>
      <c r="CS73" s="302"/>
      <c r="CT73" s="302">
        <f>-(10/791.47)*(1/7)</f>
        <v>-1.8049596681762145E-3</v>
      </c>
      <c r="CU73" s="302"/>
      <c r="CV73" s="302"/>
      <c r="CW73" s="302"/>
      <c r="CX73" s="302"/>
      <c r="CY73" s="302"/>
      <c r="CZ73" s="302"/>
      <c r="DA73" s="302"/>
      <c r="DB73" s="302"/>
      <c r="DC73" s="302"/>
      <c r="DD73" s="302"/>
      <c r="DE73" s="302"/>
      <c r="DF73" s="302"/>
      <c r="DG73" s="302"/>
      <c r="DH73" s="302"/>
      <c r="DI73" s="302"/>
      <c r="DJ73" s="302"/>
      <c r="DK73" s="302"/>
      <c r="DL73" s="302"/>
      <c r="DM73" s="302"/>
      <c r="DN73" s="302"/>
      <c r="DO73" s="302"/>
      <c r="DP73" s="302"/>
      <c r="DQ73" s="302"/>
      <c r="DR73" s="302"/>
      <c r="DS73" s="302"/>
      <c r="DT73" s="302"/>
      <c r="DU73" s="302"/>
      <c r="DV73" s="302"/>
      <c r="DW73" s="302"/>
      <c r="DX73" s="302"/>
      <c r="DY73" s="302"/>
      <c r="DZ73" s="302"/>
      <c r="EA73" s="302"/>
      <c r="EB73" s="302"/>
      <c r="EC73" s="302"/>
      <c r="ED73" s="302"/>
      <c r="EE73" s="302"/>
      <c r="EF73" s="302"/>
      <c r="EG73" s="302"/>
      <c r="EH73" s="302"/>
      <c r="EI73" s="302"/>
      <c r="EJ73" s="302"/>
      <c r="EK73" s="302"/>
      <c r="EL73" s="302"/>
      <c r="EM73" s="302"/>
      <c r="EN73" s="302"/>
      <c r="EO73" s="302"/>
      <c r="EP73" s="302"/>
      <c r="EQ73" s="302"/>
      <c r="ER73" s="302"/>
      <c r="ES73" s="302"/>
      <c r="ET73" s="302"/>
      <c r="EU73" s="302"/>
      <c r="EV73" s="302"/>
      <c r="EW73" s="302"/>
      <c r="EX73" s="302"/>
      <c r="EY73" s="302"/>
    </row>
    <row r="74" spans="1:155" s="27" customFormat="1" x14ac:dyDescent="0.2">
      <c r="A74" s="38"/>
      <c r="B74" s="37"/>
      <c r="C74" s="86">
        <f t="shared" si="9"/>
        <v>9.7370302490302869</v>
      </c>
      <c r="D74" s="66" t="s">
        <v>2729</v>
      </c>
      <c r="E74" s="86">
        <f t="shared" si="12"/>
        <v>6.0856439056439289E-2</v>
      </c>
      <c r="F74" s="126" t="s">
        <v>228</v>
      </c>
      <c r="G74" s="299"/>
      <c r="H74" s="299"/>
      <c r="I74" s="299"/>
      <c r="J74" s="299"/>
      <c r="K74" s="299"/>
      <c r="L74" s="299"/>
      <c r="M74" s="299"/>
      <c r="N74" s="299"/>
      <c r="O74" s="299"/>
      <c r="P74" s="100"/>
      <c r="Q74" s="299"/>
      <c r="R74" s="299"/>
      <c r="S74" s="299"/>
      <c r="T74" s="299"/>
      <c r="U74" s="299"/>
      <c r="V74" s="299"/>
      <c r="W74" s="299"/>
      <c r="X74" s="299"/>
      <c r="Y74" s="100"/>
      <c r="Z74" s="100"/>
      <c r="AA74" s="100"/>
      <c r="AB74" s="100"/>
      <c r="AC74" s="100"/>
      <c r="AD74" s="100"/>
      <c r="AE74" s="100"/>
      <c r="AF74" s="299"/>
      <c r="AG74" s="100"/>
      <c r="AH74" s="299"/>
      <c r="AI74" s="123"/>
      <c r="AJ74" s="299"/>
      <c r="AK74" s="299"/>
      <c r="AL74" s="299"/>
      <c r="AM74" s="299"/>
      <c r="AN74" s="299"/>
      <c r="AO74" s="299"/>
      <c r="AP74" s="299"/>
      <c r="AQ74" s="299"/>
      <c r="AR74" s="299"/>
      <c r="AS74" s="299"/>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c r="CE74" s="302"/>
      <c r="CF74" s="302"/>
      <c r="CG74" s="302"/>
      <c r="CH74" s="302"/>
      <c r="CI74" s="302"/>
      <c r="CJ74" s="302"/>
      <c r="CK74" s="302"/>
      <c r="CL74" s="302"/>
      <c r="CM74" s="302"/>
      <c r="CN74" s="302"/>
      <c r="CO74" s="302"/>
      <c r="CP74" s="302"/>
      <c r="CQ74" s="302"/>
      <c r="CR74" s="302"/>
      <c r="CS74" s="302"/>
      <c r="CT74" s="302"/>
      <c r="CU74" s="302"/>
      <c r="CV74" s="302"/>
      <c r="CW74" s="302"/>
      <c r="CX74" s="302"/>
      <c r="CY74" s="302"/>
      <c r="CZ74" s="302"/>
      <c r="DA74" s="302"/>
      <c r="DB74" s="302"/>
      <c r="DC74" s="302"/>
      <c r="DD74" s="302">
        <v>4.2115683475052804E-3</v>
      </c>
      <c r="DE74" s="302">
        <f>40/791.47</f>
        <v>5.0538870708934008E-2</v>
      </c>
      <c r="DF74" s="302">
        <v>6.1060000000000003E-3</v>
      </c>
      <c r="DG74" s="302"/>
      <c r="DH74" s="302"/>
      <c r="DI74" s="302"/>
      <c r="DJ74" s="302"/>
      <c r="DK74" s="302"/>
      <c r="DL74" s="302"/>
      <c r="DM74" s="302"/>
      <c r="DN74" s="302"/>
      <c r="DO74" s="302"/>
      <c r="DP74" s="302"/>
      <c r="DQ74" s="302"/>
      <c r="DR74" s="302"/>
      <c r="DS74" s="302"/>
      <c r="DT74" s="302"/>
      <c r="DU74" s="302"/>
      <c r="DV74" s="302"/>
      <c r="DW74" s="302"/>
      <c r="DX74" s="302"/>
      <c r="DY74" s="302"/>
      <c r="DZ74" s="302"/>
      <c r="EA74" s="302"/>
      <c r="EB74" s="302"/>
      <c r="EC74" s="302"/>
      <c r="ED74" s="302"/>
      <c r="EE74" s="302"/>
      <c r="EF74" s="302"/>
      <c r="EG74" s="302"/>
      <c r="EH74" s="302"/>
      <c r="EI74" s="302"/>
      <c r="EJ74" s="302"/>
      <c r="EK74" s="302"/>
      <c r="EL74" s="302"/>
      <c r="EM74" s="302"/>
      <c r="EN74" s="302"/>
      <c r="EO74" s="302"/>
      <c r="EP74" s="302"/>
      <c r="EQ74" s="302"/>
      <c r="ER74" s="302"/>
      <c r="ES74" s="302"/>
      <c r="ET74" s="302"/>
      <c r="EU74" s="302"/>
      <c r="EV74" s="302"/>
      <c r="EW74" s="302"/>
      <c r="EX74" s="302"/>
      <c r="EY74" s="302"/>
    </row>
    <row r="75" spans="1:155" s="27" customFormat="1" x14ac:dyDescent="0.2">
      <c r="A75" s="38"/>
      <c r="B75" s="37"/>
      <c r="C75" s="36">
        <f t="shared" si="9"/>
        <v>0</v>
      </c>
      <c r="D75" s="374" t="s">
        <v>2730</v>
      </c>
      <c r="E75" s="36">
        <f t="shared" si="12"/>
        <v>0</v>
      </c>
      <c r="F75" s="126" t="s">
        <v>228</v>
      </c>
      <c r="G75" s="299"/>
      <c r="H75" s="299"/>
      <c r="I75" s="299"/>
      <c r="J75" s="299"/>
      <c r="K75" s="299"/>
      <c r="L75" s="299"/>
      <c r="M75" s="299"/>
      <c r="N75" s="299"/>
      <c r="O75" s="299"/>
      <c r="P75" s="100"/>
      <c r="Q75" s="299"/>
      <c r="R75" s="299"/>
      <c r="S75" s="299"/>
      <c r="T75" s="299"/>
      <c r="U75" s="299"/>
      <c r="V75" s="299"/>
      <c r="W75" s="299"/>
      <c r="X75" s="299"/>
      <c r="Y75" s="100"/>
      <c r="Z75" s="100"/>
      <c r="AA75" s="100"/>
      <c r="AB75" s="100"/>
      <c r="AC75" s="100"/>
      <c r="AD75" s="100"/>
      <c r="AE75" s="100"/>
      <c r="AF75" s="299"/>
      <c r="AG75" s="100"/>
      <c r="AH75" s="299"/>
      <c r="AI75" s="100"/>
      <c r="AJ75" s="299"/>
      <c r="AK75" s="299"/>
      <c r="AL75" s="299"/>
      <c r="AM75" s="299"/>
      <c r="AN75" s="299"/>
      <c r="AO75" s="299"/>
      <c r="AP75" s="299"/>
      <c r="AQ75" s="299"/>
      <c r="AR75" s="299"/>
      <c r="AS75" s="299"/>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c r="CE75" s="302"/>
      <c r="CF75" s="302"/>
      <c r="CG75" s="302"/>
      <c r="CH75" s="302"/>
      <c r="CI75" s="302"/>
      <c r="CJ75" s="302"/>
      <c r="CK75" s="302"/>
      <c r="CL75" s="302"/>
      <c r="CM75" s="302"/>
      <c r="CN75" s="302"/>
      <c r="CO75" s="302"/>
      <c r="CP75" s="302">
        <f>(10/791.47)*(5/14)</f>
        <v>4.512399170440537E-3</v>
      </c>
      <c r="CQ75" s="302"/>
      <c r="CR75" s="302"/>
      <c r="CS75" s="302"/>
      <c r="CT75" s="302"/>
      <c r="CU75" s="302"/>
      <c r="CV75" s="302"/>
      <c r="CW75" s="302"/>
      <c r="CX75" s="302"/>
      <c r="CY75" s="302"/>
      <c r="CZ75" s="302"/>
      <c r="DA75" s="302"/>
      <c r="DB75" s="302"/>
      <c r="DC75" s="302"/>
      <c r="DD75" s="302"/>
      <c r="DE75" s="302"/>
      <c r="DF75" s="302"/>
      <c r="DG75" s="302"/>
      <c r="DH75" s="302"/>
      <c r="DI75" s="302"/>
      <c r="DJ75" s="302"/>
      <c r="DK75" s="302"/>
      <c r="DL75" s="302"/>
      <c r="DM75" s="302"/>
      <c r="DN75" s="302"/>
      <c r="DO75" s="302"/>
      <c r="DP75" s="302"/>
      <c r="DQ75" s="302"/>
      <c r="DR75" s="302"/>
      <c r="DS75" s="302"/>
      <c r="DT75" s="302"/>
      <c r="DU75" s="302">
        <f>-CP75</f>
        <v>-4.512399170440537E-3</v>
      </c>
      <c r="DV75" s="302"/>
      <c r="DW75" s="302"/>
      <c r="DX75" s="302"/>
      <c r="DY75" s="302"/>
      <c r="DZ75" s="302"/>
      <c r="EA75" s="302"/>
      <c r="EB75" s="302"/>
      <c r="EC75" s="302"/>
      <c r="ED75" s="302"/>
      <c r="EE75" s="302"/>
      <c r="EF75" s="302"/>
      <c r="EG75" s="302"/>
      <c r="EH75" s="302"/>
      <c r="EI75" s="302"/>
      <c r="EJ75" s="302"/>
      <c r="EK75" s="302"/>
      <c r="EL75" s="302"/>
      <c r="EM75" s="302"/>
      <c r="EN75" s="302"/>
      <c r="EO75" s="302"/>
      <c r="EP75" s="302"/>
      <c r="EQ75" s="302"/>
      <c r="ER75" s="302"/>
      <c r="ES75" s="302"/>
      <c r="ET75" s="302"/>
      <c r="EU75" s="302"/>
      <c r="EV75" s="302"/>
      <c r="EW75" s="302"/>
      <c r="EX75" s="302"/>
      <c r="EY75" s="302"/>
    </row>
    <row r="76" spans="1:155" s="27" customFormat="1" x14ac:dyDescent="0.2">
      <c r="A76" s="38"/>
      <c r="B76" s="37"/>
      <c r="C76" s="36">
        <f t="shared" si="9"/>
        <v>0.28879354690819431</v>
      </c>
      <c r="D76" s="66" t="s">
        <v>2731</v>
      </c>
      <c r="E76" s="36">
        <f t="shared" si="12"/>
        <v>1.8049596681762145E-3</v>
      </c>
      <c r="F76" s="126" t="s">
        <v>228</v>
      </c>
      <c r="G76" s="299"/>
      <c r="H76" s="299"/>
      <c r="I76" s="299"/>
      <c r="J76" s="299"/>
      <c r="K76" s="299"/>
      <c r="L76" s="299"/>
      <c r="M76" s="299"/>
      <c r="N76" s="299"/>
      <c r="O76" s="299"/>
      <c r="P76" s="100"/>
      <c r="Q76" s="299"/>
      <c r="R76" s="299"/>
      <c r="S76" s="299"/>
      <c r="T76" s="299"/>
      <c r="U76" s="299"/>
      <c r="V76" s="299"/>
      <c r="W76" s="299"/>
      <c r="X76" s="299"/>
      <c r="Y76" s="100"/>
      <c r="Z76" s="100"/>
      <c r="AA76" s="100"/>
      <c r="AB76" s="100"/>
      <c r="AC76" s="100"/>
      <c r="AD76" s="100"/>
      <c r="AE76" s="100"/>
      <c r="AF76" s="299"/>
      <c r="AG76" s="100"/>
      <c r="AH76" s="299"/>
      <c r="AI76" s="100"/>
      <c r="AJ76" s="299"/>
      <c r="AK76" s="299"/>
      <c r="AL76" s="299"/>
      <c r="AM76" s="299"/>
      <c r="AN76" s="299"/>
      <c r="AO76" s="299"/>
      <c r="AP76" s="299"/>
      <c r="AQ76" s="299"/>
      <c r="AR76" s="299"/>
      <c r="AS76" s="299"/>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c r="CE76" s="302"/>
      <c r="CF76" s="302"/>
      <c r="CG76" s="302"/>
      <c r="CH76" s="302"/>
      <c r="CI76" s="302"/>
      <c r="CJ76" s="302"/>
      <c r="CK76" s="302"/>
      <c r="CL76" s="302"/>
      <c r="CM76" s="302"/>
      <c r="CN76" s="302"/>
      <c r="CO76" s="302"/>
      <c r="CP76" s="302"/>
      <c r="CQ76" s="302">
        <f>(10/791.47)*(1/7)</f>
        <v>1.8049596681762145E-3</v>
      </c>
      <c r="CR76" s="302"/>
      <c r="CS76" s="302"/>
      <c r="CT76" s="302"/>
      <c r="CU76" s="302"/>
      <c r="CV76" s="302"/>
      <c r="CW76" s="302"/>
      <c r="CX76" s="302"/>
      <c r="CY76" s="302"/>
      <c r="CZ76" s="302"/>
      <c r="DA76" s="302"/>
      <c r="DB76" s="302"/>
      <c r="DC76" s="302"/>
      <c r="DD76" s="302"/>
      <c r="DE76" s="302"/>
      <c r="DF76" s="302"/>
      <c r="DG76" s="302"/>
      <c r="DH76" s="302"/>
      <c r="DI76" s="302"/>
      <c r="DJ76" s="302"/>
      <c r="DK76" s="302"/>
      <c r="DL76" s="302"/>
      <c r="DM76" s="302"/>
      <c r="DN76" s="302"/>
      <c r="DO76" s="302"/>
      <c r="DP76" s="302"/>
      <c r="DQ76" s="302"/>
      <c r="DR76" s="302"/>
      <c r="DS76" s="302"/>
      <c r="DT76" s="302"/>
      <c r="DU76" s="302"/>
      <c r="DV76" s="302"/>
      <c r="DW76" s="302"/>
      <c r="DX76" s="302"/>
      <c r="DY76" s="302"/>
      <c r="DZ76" s="302"/>
      <c r="EA76" s="302"/>
      <c r="EB76" s="302"/>
      <c r="EC76" s="302"/>
      <c r="ED76" s="302"/>
      <c r="EE76" s="302"/>
      <c r="EF76" s="302"/>
      <c r="EG76" s="302"/>
      <c r="EH76" s="302"/>
      <c r="EI76" s="302"/>
      <c r="EJ76" s="302"/>
      <c r="EK76" s="302"/>
      <c r="EL76" s="302"/>
      <c r="EM76" s="302"/>
      <c r="EN76" s="302"/>
      <c r="EO76" s="302"/>
      <c r="EP76" s="302"/>
      <c r="EQ76" s="302"/>
      <c r="ER76" s="302"/>
      <c r="ES76" s="302"/>
      <c r="ET76" s="302"/>
      <c r="EU76" s="302"/>
      <c r="EV76" s="302"/>
      <c r="EW76" s="302"/>
      <c r="EX76" s="302"/>
      <c r="EY76" s="302"/>
    </row>
    <row r="77" spans="1:155" s="27" customFormat="1" x14ac:dyDescent="0.2">
      <c r="A77" s="38"/>
      <c r="B77" s="37"/>
      <c r="C77" s="36">
        <f t="shared" si="9"/>
        <v>0</v>
      </c>
      <c r="D77" s="374" t="s">
        <v>2732</v>
      </c>
      <c r="E77" s="36">
        <f t="shared" si="12"/>
        <v>0</v>
      </c>
      <c r="F77" s="126" t="s">
        <v>228</v>
      </c>
      <c r="G77" s="299"/>
      <c r="H77" s="299"/>
      <c r="I77" s="299"/>
      <c r="J77" s="299"/>
      <c r="K77" s="299"/>
      <c r="L77" s="299"/>
      <c r="M77" s="299"/>
      <c r="N77" s="299"/>
      <c r="O77" s="299"/>
      <c r="P77" s="100"/>
      <c r="Q77" s="299"/>
      <c r="R77" s="299"/>
      <c r="S77" s="299"/>
      <c r="T77" s="299"/>
      <c r="U77" s="299"/>
      <c r="V77" s="299"/>
      <c r="W77" s="299"/>
      <c r="X77" s="299"/>
      <c r="Y77" s="100"/>
      <c r="Z77" s="100"/>
      <c r="AA77" s="100"/>
      <c r="AB77" s="100"/>
      <c r="AC77" s="100"/>
      <c r="AD77" s="100"/>
      <c r="AE77" s="100"/>
      <c r="AF77" s="299"/>
      <c r="AG77" s="100"/>
      <c r="AH77" s="299"/>
      <c r="AI77" s="100"/>
      <c r="AJ77" s="299"/>
      <c r="AK77" s="299"/>
      <c r="AL77" s="299"/>
      <c r="AM77" s="299"/>
      <c r="AN77" s="299"/>
      <c r="AO77" s="299"/>
      <c r="AP77" s="299"/>
      <c r="AQ77" s="299"/>
      <c r="AR77" s="299"/>
      <c r="AS77" s="299"/>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2"/>
      <c r="CN77" s="302"/>
      <c r="CO77" s="302"/>
      <c r="CP77" s="302"/>
      <c r="CQ77" s="302"/>
      <c r="CR77" s="302"/>
      <c r="CS77" s="302"/>
      <c r="CT77" s="302">
        <f>(10/791.47)*(1/7)</f>
        <v>1.8049596681762145E-3</v>
      </c>
      <c r="CU77" s="302"/>
      <c r="CV77" s="302"/>
      <c r="CW77" s="302"/>
      <c r="CX77" s="302"/>
      <c r="CY77" s="302"/>
      <c r="CZ77" s="302"/>
      <c r="DA77" s="302">
        <f>-CT77</f>
        <v>-1.8049596681762145E-3</v>
      </c>
      <c r="DB77" s="302"/>
      <c r="DC77" s="302"/>
      <c r="DD77" s="302"/>
      <c r="DE77" s="302"/>
      <c r="DF77" s="302"/>
      <c r="DG77" s="302"/>
      <c r="DH77" s="302"/>
      <c r="DI77" s="302"/>
      <c r="DJ77" s="302"/>
      <c r="DK77" s="302"/>
      <c r="DL77" s="302"/>
      <c r="DM77" s="302"/>
      <c r="DN77" s="302"/>
      <c r="DO77" s="302"/>
      <c r="DP77" s="302"/>
      <c r="DQ77" s="302"/>
      <c r="DR77" s="302"/>
      <c r="DS77" s="302"/>
      <c r="DT77" s="302"/>
      <c r="DU77" s="302"/>
      <c r="DV77" s="302"/>
      <c r="DW77" s="302"/>
      <c r="DX77" s="302"/>
      <c r="DY77" s="302"/>
      <c r="DZ77" s="302"/>
      <c r="EA77" s="302"/>
      <c r="EB77" s="302"/>
      <c r="EC77" s="302"/>
      <c r="ED77" s="302"/>
      <c r="EE77" s="302"/>
      <c r="EF77" s="302"/>
      <c r="EG77" s="302"/>
      <c r="EH77" s="302"/>
      <c r="EI77" s="302"/>
      <c r="EJ77" s="302"/>
      <c r="EK77" s="302"/>
      <c r="EL77" s="302"/>
      <c r="EM77" s="302"/>
      <c r="EN77" s="302"/>
      <c r="EO77" s="302"/>
      <c r="EP77" s="302"/>
      <c r="EQ77" s="302"/>
      <c r="ER77" s="302"/>
      <c r="ES77" s="302"/>
      <c r="ET77" s="302"/>
      <c r="EU77" s="302"/>
      <c r="EV77" s="302"/>
      <c r="EW77" s="302"/>
      <c r="EX77" s="302"/>
      <c r="EY77" s="302"/>
    </row>
    <row r="78" spans="1:155" s="27" customFormat="1" x14ac:dyDescent="0.2">
      <c r="A78" s="38"/>
      <c r="B78" s="37"/>
      <c r="C78" s="36">
        <f t="shared" si="9"/>
        <v>0.28879354690819431</v>
      </c>
      <c r="D78" s="66" t="s">
        <v>2733</v>
      </c>
      <c r="E78" s="36">
        <f t="shared" si="12"/>
        <v>1.8049596681762145E-3</v>
      </c>
      <c r="F78" s="126" t="s">
        <v>228</v>
      </c>
      <c r="G78" s="299"/>
      <c r="H78" s="299"/>
      <c r="I78" s="299"/>
      <c r="J78" s="299"/>
      <c r="K78" s="299"/>
      <c r="L78" s="299"/>
      <c r="M78" s="299"/>
      <c r="N78" s="299"/>
      <c r="O78" s="299"/>
      <c r="P78" s="100"/>
      <c r="Q78" s="299"/>
      <c r="R78" s="299"/>
      <c r="S78" s="299"/>
      <c r="T78" s="299"/>
      <c r="U78" s="299"/>
      <c r="V78" s="299"/>
      <c r="W78" s="299"/>
      <c r="X78" s="299"/>
      <c r="Y78" s="100"/>
      <c r="Z78" s="100"/>
      <c r="AA78" s="100"/>
      <c r="AB78" s="100"/>
      <c r="AC78" s="100"/>
      <c r="AD78" s="100"/>
      <c r="AE78" s="100"/>
      <c r="AF78" s="299"/>
      <c r="AG78" s="100"/>
      <c r="AH78" s="299"/>
      <c r="AI78" s="100"/>
      <c r="AJ78" s="299"/>
      <c r="AK78" s="299"/>
      <c r="AL78" s="299"/>
      <c r="AM78" s="299"/>
      <c r="AN78" s="299"/>
      <c r="AO78" s="299"/>
      <c r="AP78" s="299"/>
      <c r="AQ78" s="299"/>
      <c r="AR78" s="299"/>
      <c r="AS78" s="299"/>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c r="CE78" s="302"/>
      <c r="CF78" s="302"/>
      <c r="CG78" s="302"/>
      <c r="CH78" s="302"/>
      <c r="CI78" s="302"/>
      <c r="CJ78" s="302"/>
      <c r="CK78" s="302"/>
      <c r="CL78" s="302"/>
      <c r="CM78" s="302"/>
      <c r="CN78" s="302"/>
      <c r="CO78" s="302"/>
      <c r="CP78" s="302"/>
      <c r="CQ78" s="302"/>
      <c r="CR78" s="302"/>
      <c r="CS78" s="302"/>
      <c r="CT78" s="302"/>
      <c r="CU78" s="302"/>
      <c r="CV78" s="302"/>
      <c r="CW78" s="302"/>
      <c r="CX78" s="302"/>
      <c r="CY78" s="302"/>
      <c r="CZ78" s="302"/>
      <c r="DA78" s="302">
        <f>CT77</f>
        <v>1.8049596681762145E-3</v>
      </c>
      <c r="DB78" s="302"/>
      <c r="DC78" s="302"/>
      <c r="DD78" s="302"/>
      <c r="DE78" s="302"/>
      <c r="DF78" s="302"/>
      <c r="DG78" s="302"/>
      <c r="DH78" s="302"/>
      <c r="DI78" s="302"/>
      <c r="DJ78" s="302"/>
      <c r="DK78" s="302"/>
      <c r="DL78" s="302"/>
      <c r="DM78" s="302"/>
      <c r="DN78" s="302"/>
      <c r="DO78" s="302"/>
      <c r="DP78" s="302"/>
      <c r="DQ78" s="302"/>
      <c r="DR78" s="302"/>
      <c r="DS78" s="302"/>
      <c r="DT78" s="302"/>
      <c r="DU78" s="302"/>
      <c r="DV78" s="302"/>
      <c r="DW78" s="302"/>
      <c r="DX78" s="302"/>
      <c r="DY78" s="302"/>
      <c r="DZ78" s="302"/>
      <c r="EA78" s="302"/>
      <c r="EB78" s="302"/>
      <c r="EC78" s="302"/>
      <c r="ED78" s="302"/>
      <c r="EE78" s="302"/>
      <c r="EF78" s="302"/>
      <c r="EG78" s="302"/>
      <c r="EH78" s="302"/>
      <c r="EI78" s="302"/>
      <c r="EJ78" s="302"/>
      <c r="EK78" s="302"/>
      <c r="EL78" s="302"/>
      <c r="EM78" s="302"/>
      <c r="EN78" s="302"/>
      <c r="EO78" s="302"/>
      <c r="EP78" s="302"/>
      <c r="EQ78" s="302"/>
      <c r="ER78" s="302"/>
      <c r="ES78" s="302"/>
      <c r="ET78" s="302"/>
      <c r="EU78" s="302"/>
      <c r="EV78" s="302"/>
      <c r="EW78" s="302"/>
      <c r="EX78" s="302"/>
      <c r="EY78" s="302"/>
    </row>
    <row r="79" spans="1:155" s="27" customFormat="1" x14ac:dyDescent="0.2">
      <c r="A79" s="38"/>
      <c r="B79" s="37"/>
      <c r="C79" s="86">
        <f t="shared" si="9"/>
        <v>0.72198386727048591</v>
      </c>
      <c r="D79" s="88" t="s">
        <v>1997</v>
      </c>
      <c r="E79" s="86">
        <f t="shared" si="12"/>
        <v>4.512399170440537E-3</v>
      </c>
      <c r="F79" s="126" t="s">
        <v>228</v>
      </c>
      <c r="G79" s="299"/>
      <c r="H79" s="299"/>
      <c r="I79" s="299"/>
      <c r="J79" s="299"/>
      <c r="K79" s="299"/>
      <c r="L79" s="299"/>
      <c r="M79" s="299"/>
      <c r="N79" s="299"/>
      <c r="O79" s="299"/>
      <c r="P79" s="100"/>
      <c r="Q79" s="299"/>
      <c r="R79" s="299"/>
      <c r="S79" s="299"/>
      <c r="T79" s="299"/>
      <c r="U79" s="299"/>
      <c r="V79" s="299"/>
      <c r="W79" s="299"/>
      <c r="X79" s="299"/>
      <c r="Y79" s="100"/>
      <c r="Z79" s="100"/>
      <c r="AA79" s="100"/>
      <c r="AB79" s="100"/>
      <c r="AC79" s="100"/>
      <c r="AD79" s="100"/>
      <c r="AE79" s="100"/>
      <c r="AF79" s="299"/>
      <c r="AG79" s="100"/>
      <c r="AH79" s="299"/>
      <c r="AI79" s="100"/>
      <c r="AJ79" s="299"/>
      <c r="AK79" s="299"/>
      <c r="AL79" s="299"/>
      <c r="AM79" s="299"/>
      <c r="AN79" s="299"/>
      <c r="AO79" s="299"/>
      <c r="AP79" s="299"/>
      <c r="AQ79" s="299"/>
      <c r="AR79" s="299"/>
      <c r="AS79" s="299"/>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c r="CE79" s="302"/>
      <c r="CF79" s="302"/>
      <c r="CG79" s="302"/>
      <c r="CH79" s="302"/>
      <c r="CI79" s="302"/>
      <c r="CJ79" s="302"/>
      <c r="CK79" s="302"/>
      <c r="CL79" s="302"/>
      <c r="CM79" s="302"/>
      <c r="CN79" s="302"/>
      <c r="CO79" s="302"/>
      <c r="CP79" s="302"/>
      <c r="CQ79" s="302"/>
      <c r="CR79" s="302"/>
      <c r="CS79" s="302"/>
      <c r="CT79" s="302"/>
      <c r="CU79" s="302"/>
      <c r="CV79" s="302"/>
      <c r="CW79" s="302"/>
      <c r="CX79" s="302"/>
      <c r="CY79" s="302"/>
      <c r="CZ79" s="302"/>
      <c r="DA79" s="302"/>
      <c r="DB79" s="302"/>
      <c r="DC79" s="302"/>
      <c r="DD79" s="302"/>
      <c r="DE79" s="302"/>
      <c r="DF79" s="302"/>
      <c r="DG79" s="302"/>
      <c r="DH79" s="302"/>
      <c r="DI79" s="302"/>
      <c r="DJ79" s="302"/>
      <c r="DK79" s="302"/>
      <c r="DL79" s="302"/>
      <c r="DM79" s="302"/>
      <c r="DN79" s="302"/>
      <c r="DO79" s="302"/>
      <c r="DP79" s="302"/>
      <c r="DQ79" s="302"/>
      <c r="DR79" s="302"/>
      <c r="DS79" s="302"/>
      <c r="DT79" s="302"/>
      <c r="DU79" s="302">
        <f>CP75</f>
        <v>4.512399170440537E-3</v>
      </c>
      <c r="DV79" s="302"/>
      <c r="DW79" s="302"/>
      <c r="DX79" s="302"/>
      <c r="DY79" s="302"/>
      <c r="DZ79" s="302"/>
      <c r="EA79" s="302"/>
      <c r="EB79" s="302"/>
      <c r="EC79" s="302"/>
      <c r="ED79" s="302"/>
      <c r="EE79" s="302"/>
      <c r="EF79" s="302"/>
      <c r="EG79" s="302"/>
      <c r="EH79" s="302"/>
      <c r="EI79" s="302"/>
      <c r="EJ79" s="302"/>
      <c r="EK79" s="302"/>
      <c r="EL79" s="302"/>
      <c r="EM79" s="302"/>
      <c r="EN79" s="302"/>
      <c r="EO79" s="302"/>
      <c r="EP79" s="302"/>
      <c r="EQ79" s="302"/>
      <c r="ER79" s="302"/>
      <c r="ES79" s="302"/>
      <c r="ET79" s="302"/>
      <c r="EU79" s="302"/>
      <c r="EV79" s="302"/>
      <c r="EW79" s="302"/>
      <c r="EX79" s="302"/>
      <c r="EY79" s="302"/>
    </row>
    <row r="80" spans="1:155" s="27" customFormat="1" x14ac:dyDescent="0.2">
      <c r="A80" s="38"/>
      <c r="B80" s="37"/>
      <c r="C80" s="36">
        <f t="shared" si="9"/>
        <v>0.28879354690819431</v>
      </c>
      <c r="D80" s="66" t="s">
        <v>2734</v>
      </c>
      <c r="E80" s="36">
        <f t="shared" si="12"/>
        <v>1.8049596681762145E-3</v>
      </c>
      <c r="F80" s="126" t="s">
        <v>228</v>
      </c>
      <c r="G80" s="299"/>
      <c r="H80" s="299"/>
      <c r="I80" s="299"/>
      <c r="J80" s="299"/>
      <c r="K80" s="299"/>
      <c r="L80" s="299"/>
      <c r="M80" s="299"/>
      <c r="N80" s="299"/>
      <c r="O80" s="299"/>
      <c r="P80" s="100"/>
      <c r="Q80" s="299"/>
      <c r="R80" s="299"/>
      <c r="S80" s="299"/>
      <c r="T80" s="299"/>
      <c r="U80" s="299"/>
      <c r="V80" s="299"/>
      <c r="W80" s="299"/>
      <c r="X80" s="299"/>
      <c r="Y80" s="100"/>
      <c r="Z80" s="100"/>
      <c r="AA80" s="100"/>
      <c r="AB80" s="100"/>
      <c r="AC80" s="100"/>
      <c r="AD80" s="100"/>
      <c r="AE80" s="100"/>
      <c r="AF80" s="299"/>
      <c r="AG80" s="100"/>
      <c r="AH80" s="299"/>
      <c r="AI80" s="100"/>
      <c r="AJ80" s="299"/>
      <c r="AK80" s="299"/>
      <c r="AL80" s="299"/>
      <c r="AM80" s="299"/>
      <c r="AN80" s="299"/>
      <c r="AO80" s="299"/>
      <c r="AP80" s="299"/>
      <c r="AQ80" s="299"/>
      <c r="AR80" s="299"/>
      <c r="AS80" s="299"/>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c r="CE80" s="302"/>
      <c r="CF80" s="302"/>
      <c r="CG80" s="302"/>
      <c r="CH80" s="302"/>
      <c r="CI80" s="302"/>
      <c r="CJ80" s="302"/>
      <c r="CK80" s="302"/>
      <c r="CL80" s="302"/>
      <c r="CM80" s="302"/>
      <c r="CN80" s="302"/>
      <c r="CO80" s="302"/>
      <c r="CP80" s="302"/>
      <c r="CQ80" s="302"/>
      <c r="CR80" s="302"/>
      <c r="CS80" s="302"/>
      <c r="CT80" s="302"/>
      <c r="CU80" s="302"/>
      <c r="CV80" s="302"/>
      <c r="CW80" s="302"/>
      <c r="CX80" s="302"/>
      <c r="CY80" s="302"/>
      <c r="CZ80" s="302"/>
      <c r="DA80" s="302"/>
      <c r="DB80" s="302"/>
      <c r="DC80" s="302"/>
      <c r="DD80" s="302"/>
      <c r="DE80" s="302"/>
      <c r="DF80" s="302"/>
      <c r="DG80" s="302"/>
      <c r="DH80" s="302"/>
      <c r="DI80" s="302"/>
      <c r="DJ80" s="302"/>
      <c r="DK80" s="302"/>
      <c r="DL80" s="302"/>
      <c r="DM80" s="302"/>
      <c r="DN80" s="302"/>
      <c r="DO80" s="302"/>
      <c r="DP80" s="302"/>
      <c r="DQ80" s="302"/>
      <c r="DR80" s="302"/>
      <c r="DS80" s="302"/>
      <c r="DT80" s="302"/>
      <c r="DU80" s="302"/>
      <c r="DV80" s="302"/>
      <c r="DW80" s="302">
        <f>(10/791.47)*(1/7)</f>
        <v>1.8049596681762145E-3</v>
      </c>
      <c r="DX80" s="302"/>
      <c r="DY80" s="302"/>
      <c r="DZ80" s="302"/>
      <c r="EA80" s="302"/>
      <c r="EB80" s="302"/>
      <c r="EC80" s="302"/>
      <c r="ED80" s="302"/>
      <c r="EE80" s="302"/>
      <c r="EF80" s="302"/>
      <c r="EG80" s="302"/>
      <c r="EH80" s="302"/>
      <c r="EI80" s="302"/>
      <c r="EJ80" s="302"/>
      <c r="EK80" s="302"/>
      <c r="EL80" s="302"/>
      <c r="EM80" s="302"/>
      <c r="EN80" s="302"/>
      <c r="EO80" s="302"/>
      <c r="EP80" s="302"/>
      <c r="EQ80" s="302"/>
      <c r="ER80" s="302"/>
      <c r="ES80" s="302"/>
      <c r="ET80" s="302"/>
      <c r="EU80" s="302"/>
      <c r="EV80" s="302"/>
      <c r="EW80" s="302"/>
      <c r="EX80" s="302"/>
      <c r="EY80" s="302"/>
    </row>
    <row r="81" spans="1:156" s="27" customFormat="1" x14ac:dyDescent="0.2">
      <c r="A81" s="38"/>
      <c r="B81" s="37"/>
      <c r="C81" s="86">
        <f t="shared" si="9"/>
        <v>2.9255199999999997</v>
      </c>
      <c r="D81" s="3" t="s">
        <v>291</v>
      </c>
      <c r="E81" s="86">
        <f t="shared" si="12"/>
        <v>1.8284499999999999E-2</v>
      </c>
      <c r="F81" s="126" t="s">
        <v>228</v>
      </c>
      <c r="G81" s="299"/>
      <c r="H81" s="299"/>
      <c r="I81" s="299"/>
      <c r="J81" s="299"/>
      <c r="K81" s="299"/>
      <c r="L81" s="299"/>
      <c r="M81" s="299"/>
      <c r="N81" s="299"/>
      <c r="O81" s="299"/>
      <c r="P81" s="100"/>
      <c r="Q81" s="299"/>
      <c r="R81" s="299"/>
      <c r="S81" s="299"/>
      <c r="T81" s="299"/>
      <c r="U81" s="299"/>
      <c r="V81" s="299"/>
      <c r="W81" s="299"/>
      <c r="X81" s="299"/>
      <c r="Y81" s="100"/>
      <c r="Z81" s="100"/>
      <c r="AA81" s="100"/>
      <c r="AB81" s="100"/>
      <c r="AC81" s="100"/>
      <c r="AD81" s="100"/>
      <c r="AE81" s="100"/>
      <c r="AF81" s="299"/>
      <c r="AG81" s="100"/>
      <c r="AH81" s="299"/>
      <c r="AI81" s="100"/>
      <c r="AJ81" s="299"/>
      <c r="AK81" s="299"/>
      <c r="AL81" s="299"/>
      <c r="AM81" s="299"/>
      <c r="AN81" s="299"/>
      <c r="AO81" s="299"/>
      <c r="AP81" s="299"/>
      <c r="AQ81" s="299"/>
      <c r="AR81" s="299"/>
      <c r="AS81" s="299"/>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c r="CE81" s="302"/>
      <c r="CF81" s="302"/>
      <c r="CG81" s="302"/>
      <c r="CH81" s="302"/>
      <c r="CI81" s="302"/>
      <c r="CJ81" s="302"/>
      <c r="CK81" s="302"/>
      <c r="CL81" s="302"/>
      <c r="CM81" s="302"/>
      <c r="CN81" s="302"/>
      <c r="CO81" s="302"/>
      <c r="CP81" s="302"/>
      <c r="CQ81" s="302"/>
      <c r="CR81" s="302"/>
      <c r="CS81" s="302"/>
      <c r="CT81" s="302"/>
      <c r="CU81" s="302"/>
      <c r="CV81" s="302"/>
      <c r="CW81" s="302"/>
      <c r="CX81" s="302"/>
      <c r="CY81" s="302"/>
      <c r="CZ81" s="302"/>
      <c r="DA81" s="302"/>
      <c r="DB81" s="302"/>
      <c r="DC81" s="302">
        <v>1.8284499999999999E-2</v>
      </c>
      <c r="DD81" s="302"/>
      <c r="DE81" s="302"/>
      <c r="DF81" s="302"/>
      <c r="DG81" s="302"/>
      <c r="DH81" s="302"/>
      <c r="DI81" s="302"/>
      <c r="DJ81" s="302"/>
      <c r="DK81" s="302"/>
      <c r="DL81" s="302"/>
      <c r="DM81" s="302"/>
      <c r="DN81" s="302"/>
      <c r="DO81" s="302"/>
      <c r="DP81" s="302"/>
      <c r="DQ81" s="302"/>
      <c r="DR81" s="302"/>
      <c r="DS81" s="302"/>
      <c r="DT81" s="302"/>
      <c r="DU81" s="302"/>
      <c r="DV81" s="302"/>
      <c r="DW81" s="302"/>
      <c r="DX81" s="302"/>
      <c r="DY81" s="302"/>
      <c r="DZ81" s="302"/>
      <c r="EA81" s="302"/>
      <c r="EB81" s="302"/>
      <c r="EC81" s="302"/>
      <c r="ED81" s="302"/>
      <c r="EE81" s="302"/>
      <c r="EF81" s="302"/>
      <c r="EG81" s="302"/>
      <c r="EH81" s="302"/>
      <c r="EI81" s="302"/>
      <c r="EJ81" s="302"/>
      <c r="EK81" s="302"/>
      <c r="EL81" s="302"/>
      <c r="EM81" s="302"/>
      <c r="EN81" s="302"/>
      <c r="EO81" s="302"/>
      <c r="EP81" s="302"/>
      <c r="EQ81" s="302"/>
      <c r="ER81" s="302"/>
      <c r="ES81" s="302"/>
      <c r="ET81" s="302"/>
      <c r="EU81" s="302"/>
      <c r="EV81" s="302"/>
      <c r="EW81" s="302"/>
      <c r="EX81" s="302"/>
      <c r="EY81" s="302"/>
    </row>
    <row r="82" spans="1:156" s="27" customFormat="1" x14ac:dyDescent="0.2">
      <c r="A82" s="38"/>
      <c r="B82" s="37"/>
      <c r="C82" s="36">
        <f t="shared" si="9"/>
        <v>0</v>
      </c>
      <c r="D82" s="374" t="s">
        <v>295</v>
      </c>
      <c r="E82" s="36">
        <f t="shared" si="12"/>
        <v>0</v>
      </c>
      <c r="F82" s="126" t="s">
        <v>228</v>
      </c>
      <c r="G82" s="299"/>
      <c r="H82" s="299"/>
      <c r="I82" s="299"/>
      <c r="J82" s="299"/>
      <c r="K82" s="299"/>
      <c r="L82" s="299"/>
      <c r="M82" s="299"/>
      <c r="N82" s="299"/>
      <c r="O82" s="299"/>
      <c r="P82" s="100"/>
      <c r="Q82" s="299"/>
      <c r="R82" s="299"/>
      <c r="S82" s="299"/>
      <c r="T82" s="299"/>
      <c r="U82" s="299"/>
      <c r="V82" s="299"/>
      <c r="W82" s="299"/>
      <c r="X82" s="299"/>
      <c r="Y82" s="100"/>
      <c r="Z82" s="100"/>
      <c r="AA82" s="100"/>
      <c r="AB82" s="100"/>
      <c r="AC82" s="100"/>
      <c r="AD82" s="100"/>
      <c r="AE82" s="100"/>
      <c r="AF82" s="299"/>
      <c r="AG82" s="100"/>
      <c r="AH82" s="299"/>
      <c r="AI82" s="100"/>
      <c r="AJ82" s="299"/>
      <c r="AK82" s="299"/>
      <c r="AL82" s="299"/>
      <c r="AM82" s="299"/>
      <c r="AN82" s="299"/>
      <c r="AO82" s="299"/>
      <c r="AP82" s="299"/>
      <c r="AQ82" s="299"/>
      <c r="AR82" s="299"/>
      <c r="AS82" s="299"/>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c r="CE82" s="302"/>
      <c r="CF82" s="302"/>
      <c r="CG82" s="302"/>
      <c r="CH82" s="302"/>
      <c r="CI82" s="302"/>
      <c r="CJ82" s="302"/>
      <c r="CK82" s="302"/>
      <c r="CL82" s="302"/>
      <c r="CM82" s="302"/>
      <c r="CN82" s="302"/>
      <c r="CO82" s="302"/>
      <c r="CP82" s="302"/>
      <c r="CQ82" s="302"/>
      <c r="CR82" s="302"/>
      <c r="CS82" s="302"/>
      <c r="CT82" s="302"/>
      <c r="CU82" s="302"/>
      <c r="CV82" s="302"/>
      <c r="CW82" s="302"/>
      <c r="CX82" s="302"/>
      <c r="CY82" s="302"/>
      <c r="CZ82" s="302"/>
      <c r="DA82" s="302"/>
      <c r="DB82" s="302"/>
      <c r="DC82" s="302">
        <v>1.8284499999999999E-2</v>
      </c>
      <c r="DD82" s="302"/>
      <c r="DE82" s="302"/>
      <c r="DF82" s="302"/>
      <c r="DG82" s="302"/>
      <c r="DH82" s="302"/>
      <c r="DI82" s="302"/>
      <c r="DJ82" s="302"/>
      <c r="DK82" s="302"/>
      <c r="DL82" s="302">
        <f>-0.0182845</f>
        <v>-1.8284499999999999E-2</v>
      </c>
      <c r="DM82" s="302"/>
      <c r="DN82" s="302"/>
      <c r="DO82" s="302"/>
      <c r="DP82" s="302"/>
      <c r="DQ82" s="302"/>
      <c r="DR82" s="302"/>
      <c r="DS82" s="302"/>
      <c r="DT82" s="302"/>
      <c r="DU82" s="302"/>
      <c r="DV82" s="302"/>
      <c r="DW82" s="302"/>
      <c r="DX82" s="302"/>
      <c r="DY82" s="302"/>
      <c r="DZ82" s="302"/>
      <c r="EA82" s="302"/>
      <c r="EB82" s="302"/>
      <c r="EC82" s="302"/>
      <c r="ED82" s="302"/>
      <c r="EE82" s="302"/>
      <c r="EF82" s="302"/>
      <c r="EG82" s="302"/>
      <c r="EH82" s="302"/>
      <c r="EI82" s="302"/>
      <c r="EJ82" s="302"/>
      <c r="EK82" s="302"/>
      <c r="EL82" s="302"/>
      <c r="EM82" s="302"/>
      <c r="EN82" s="302"/>
      <c r="EO82" s="302"/>
      <c r="EP82" s="302"/>
      <c r="EQ82" s="302"/>
      <c r="ER82" s="302"/>
      <c r="ES82" s="302"/>
      <c r="ET82" s="302"/>
      <c r="EU82" s="302"/>
      <c r="EV82" s="302"/>
      <c r="EW82" s="302"/>
      <c r="EX82" s="302"/>
      <c r="EY82" s="302"/>
    </row>
    <row r="83" spans="1:156" s="27" customFormat="1" x14ac:dyDescent="0.2">
      <c r="A83" s="38"/>
      <c r="B83" s="37"/>
      <c r="C83" s="86">
        <f t="shared" si="9"/>
        <v>1.3813199999999997</v>
      </c>
      <c r="D83" s="3" t="s">
        <v>306</v>
      </c>
      <c r="E83" s="86">
        <f t="shared" si="12"/>
        <v>8.6332499999999986E-3</v>
      </c>
      <c r="F83" s="126" t="s">
        <v>228</v>
      </c>
      <c r="G83" s="299"/>
      <c r="H83" s="299"/>
      <c r="I83" s="299"/>
      <c r="J83" s="299"/>
      <c r="K83" s="299"/>
      <c r="L83" s="299"/>
      <c r="M83" s="299"/>
      <c r="N83" s="299"/>
      <c r="O83" s="299"/>
      <c r="P83" s="100"/>
      <c r="Q83" s="299"/>
      <c r="R83" s="299"/>
      <c r="S83" s="299"/>
      <c r="T83" s="299"/>
      <c r="U83" s="299"/>
      <c r="V83" s="299"/>
      <c r="W83" s="299"/>
      <c r="X83" s="299"/>
      <c r="Y83" s="100"/>
      <c r="Z83" s="100"/>
      <c r="AA83" s="100"/>
      <c r="AB83" s="100"/>
      <c r="AC83" s="100"/>
      <c r="AD83" s="100"/>
      <c r="AE83" s="100"/>
      <c r="AF83" s="299"/>
      <c r="AG83" s="100"/>
      <c r="AH83" s="299"/>
      <c r="AI83" s="100"/>
      <c r="AJ83" s="299"/>
      <c r="AK83" s="299"/>
      <c r="AL83" s="299"/>
      <c r="AM83" s="299"/>
      <c r="AN83" s="299"/>
      <c r="AO83" s="299"/>
      <c r="AP83" s="299"/>
      <c r="AQ83" s="299"/>
      <c r="AR83" s="299"/>
      <c r="AS83" s="299"/>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c r="CE83" s="302"/>
      <c r="CF83" s="302"/>
      <c r="CG83" s="302"/>
      <c r="CH83" s="302"/>
      <c r="CI83" s="302"/>
      <c r="CJ83" s="302"/>
      <c r="CK83" s="302"/>
      <c r="CL83" s="302"/>
      <c r="CM83" s="302"/>
      <c r="CN83" s="302"/>
      <c r="CO83" s="302"/>
      <c r="CP83" s="302"/>
      <c r="CQ83" s="302"/>
      <c r="CR83" s="302"/>
      <c r="CS83" s="302"/>
      <c r="CT83" s="302"/>
      <c r="CU83" s="302"/>
      <c r="CV83" s="302"/>
      <c r="CW83" s="302"/>
      <c r="CX83" s="302"/>
      <c r="CY83" s="302"/>
      <c r="CZ83" s="302"/>
      <c r="DA83" s="302"/>
      <c r="DB83" s="302"/>
      <c r="DC83" s="302">
        <v>1.8284499999999999E-2</v>
      </c>
      <c r="DD83" s="302"/>
      <c r="DE83" s="302"/>
      <c r="DF83" s="302"/>
      <c r="DG83" s="302"/>
      <c r="DH83" s="302"/>
      <c r="DI83" s="302"/>
      <c r="DJ83" s="302"/>
      <c r="DK83" s="302"/>
      <c r="DL83" s="302"/>
      <c r="DM83" s="302"/>
      <c r="DN83" s="302">
        <v>-9.6512500000000001E-3</v>
      </c>
      <c r="DO83" s="302"/>
      <c r="DP83" s="302"/>
      <c r="DQ83" s="302"/>
      <c r="DR83" s="302"/>
      <c r="DS83" s="302"/>
      <c r="DT83" s="302"/>
      <c r="DU83" s="302"/>
      <c r="DV83" s="302"/>
      <c r="DW83" s="302"/>
      <c r="DX83" s="302"/>
      <c r="DY83" s="302"/>
      <c r="DZ83" s="302"/>
      <c r="EA83" s="302"/>
      <c r="EB83" s="302"/>
      <c r="EC83" s="302"/>
      <c r="ED83" s="302"/>
      <c r="EE83" s="302"/>
      <c r="EF83" s="302"/>
      <c r="EG83" s="302"/>
      <c r="EH83" s="302"/>
      <c r="EI83" s="302"/>
      <c r="EJ83" s="302"/>
      <c r="EK83" s="302"/>
      <c r="EL83" s="302"/>
      <c r="EM83" s="302"/>
      <c r="EN83" s="302"/>
      <c r="EO83" s="302"/>
      <c r="EP83" s="302"/>
      <c r="EQ83" s="302"/>
      <c r="ER83" s="302"/>
      <c r="ES83" s="302"/>
      <c r="ET83" s="302"/>
      <c r="EU83" s="302"/>
      <c r="EV83" s="302"/>
      <c r="EW83" s="302"/>
      <c r="EX83" s="302"/>
      <c r="EY83" s="302"/>
    </row>
    <row r="84" spans="1:156" s="27" customFormat="1" x14ac:dyDescent="0.2">
      <c r="A84" s="38"/>
      <c r="B84" s="37"/>
      <c r="C84" s="36">
        <f t="shared" si="9"/>
        <v>2.9255199999999997</v>
      </c>
      <c r="D84" s="66" t="s">
        <v>297</v>
      </c>
      <c r="E84" s="36">
        <f t="shared" si="12"/>
        <v>1.8284499999999999E-2</v>
      </c>
      <c r="F84" s="126" t="s">
        <v>228</v>
      </c>
      <c r="G84" s="299"/>
      <c r="H84" s="299"/>
      <c r="I84" s="299"/>
      <c r="J84" s="299"/>
      <c r="K84" s="299"/>
      <c r="L84" s="299"/>
      <c r="M84" s="299"/>
      <c r="N84" s="299"/>
      <c r="O84" s="299"/>
      <c r="P84" s="100"/>
      <c r="Q84" s="299"/>
      <c r="R84" s="299"/>
      <c r="S84" s="299"/>
      <c r="T84" s="299"/>
      <c r="U84" s="299"/>
      <c r="V84" s="299"/>
      <c r="W84" s="299"/>
      <c r="X84" s="299"/>
      <c r="Y84" s="100"/>
      <c r="Z84" s="100"/>
      <c r="AA84" s="100"/>
      <c r="AB84" s="100"/>
      <c r="AC84" s="100"/>
      <c r="AD84" s="100"/>
      <c r="AE84" s="100"/>
      <c r="AF84" s="299"/>
      <c r="AG84" s="100"/>
      <c r="AH84" s="299"/>
      <c r="AI84" s="100"/>
      <c r="AJ84" s="299"/>
      <c r="AK84" s="299"/>
      <c r="AL84" s="299"/>
      <c r="AM84" s="299"/>
      <c r="AN84" s="299"/>
      <c r="AO84" s="299"/>
      <c r="AP84" s="299"/>
      <c r="AQ84" s="299"/>
      <c r="AR84" s="299"/>
      <c r="AS84" s="299"/>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c r="CE84" s="302"/>
      <c r="CF84" s="302"/>
      <c r="CG84" s="302"/>
      <c r="CH84" s="302"/>
      <c r="CI84" s="302"/>
      <c r="CJ84" s="302"/>
      <c r="CK84" s="302"/>
      <c r="CL84" s="302"/>
      <c r="CM84" s="302"/>
      <c r="CN84" s="302"/>
      <c r="CO84" s="302"/>
      <c r="CP84" s="302"/>
      <c r="CQ84" s="302"/>
      <c r="CR84" s="302"/>
      <c r="CS84" s="302"/>
      <c r="CT84" s="302"/>
      <c r="CU84" s="302"/>
      <c r="CV84" s="302"/>
      <c r="CW84" s="302"/>
      <c r="CX84" s="302"/>
      <c r="CY84" s="302"/>
      <c r="CZ84" s="302"/>
      <c r="DA84" s="302"/>
      <c r="DB84" s="302"/>
      <c r="DC84" s="302">
        <v>1.8284499999999999E-2</v>
      </c>
      <c r="DD84" s="302"/>
      <c r="DE84" s="302"/>
      <c r="DF84" s="302"/>
      <c r="DG84" s="302"/>
      <c r="DH84" s="302"/>
      <c r="DI84" s="302"/>
      <c r="DJ84" s="302"/>
      <c r="DK84" s="302"/>
      <c r="DL84" s="302"/>
      <c r="DM84" s="302"/>
      <c r="DN84" s="302"/>
      <c r="DO84" s="302"/>
      <c r="DP84" s="302"/>
      <c r="DQ84" s="302"/>
      <c r="DR84" s="302"/>
      <c r="DS84" s="302"/>
      <c r="DT84" s="302"/>
      <c r="DU84" s="302"/>
      <c r="DV84" s="302"/>
      <c r="DW84" s="302"/>
      <c r="DX84" s="302"/>
      <c r="DY84" s="302"/>
      <c r="DZ84" s="302"/>
      <c r="EA84" s="302"/>
      <c r="EB84" s="302"/>
      <c r="EC84" s="302"/>
      <c r="ED84" s="302"/>
      <c r="EE84" s="302"/>
      <c r="EF84" s="302"/>
      <c r="EG84" s="302"/>
      <c r="EH84" s="302"/>
      <c r="EI84" s="302"/>
      <c r="EJ84" s="302"/>
      <c r="EK84" s="302"/>
      <c r="EL84" s="302"/>
      <c r="EM84" s="302"/>
      <c r="EN84" s="302"/>
      <c r="EO84" s="302"/>
      <c r="EP84" s="302"/>
      <c r="EQ84" s="302"/>
      <c r="ER84" s="302"/>
      <c r="ES84" s="302"/>
      <c r="ET84" s="302"/>
      <c r="EU84" s="302"/>
      <c r="EV84" s="302"/>
      <c r="EW84" s="302"/>
      <c r="EX84" s="302"/>
      <c r="EY84" s="302"/>
    </row>
    <row r="85" spans="1:156" s="27" customFormat="1" x14ac:dyDescent="0.2">
      <c r="A85" s="38"/>
      <c r="B85" s="37"/>
      <c r="C85" s="36">
        <f t="shared" si="9"/>
        <v>3.9999999999762448E-5</v>
      </c>
      <c r="D85" s="331" t="s">
        <v>2058</v>
      </c>
      <c r="E85" s="36">
        <f t="shared" si="12"/>
        <v>2.499999999985153E-7</v>
      </c>
      <c r="F85" s="126" t="s">
        <v>228</v>
      </c>
      <c r="G85" s="299"/>
      <c r="H85" s="299"/>
      <c r="I85" s="299"/>
      <c r="J85" s="299"/>
      <c r="K85" s="299"/>
      <c r="L85" s="299"/>
      <c r="M85" s="299"/>
      <c r="N85" s="299"/>
      <c r="O85" s="299"/>
      <c r="P85" s="100"/>
      <c r="Q85" s="299"/>
      <c r="R85" s="299"/>
      <c r="S85" s="299"/>
      <c r="T85" s="299"/>
      <c r="U85" s="299"/>
      <c r="V85" s="299"/>
      <c r="W85" s="299"/>
      <c r="X85" s="299"/>
      <c r="Y85" s="100"/>
      <c r="Z85" s="100"/>
      <c r="AA85" s="100"/>
      <c r="AB85" s="100"/>
      <c r="AC85" s="100"/>
      <c r="AD85" s="100"/>
      <c r="AE85" s="100"/>
      <c r="AF85" s="299"/>
      <c r="AG85" s="100"/>
      <c r="AH85" s="299"/>
      <c r="AI85" s="100"/>
      <c r="AJ85" s="299"/>
      <c r="AK85" s="299"/>
      <c r="AL85" s="299"/>
      <c r="AM85" s="299"/>
      <c r="AN85" s="299"/>
      <c r="AO85" s="299"/>
      <c r="AP85" s="299"/>
      <c r="AQ85" s="299"/>
      <c r="AR85" s="299"/>
      <c r="AS85" s="299"/>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c r="CE85" s="302"/>
      <c r="CF85" s="302"/>
      <c r="CG85" s="302"/>
      <c r="CH85" s="302"/>
      <c r="CI85" s="302"/>
      <c r="CJ85" s="302"/>
      <c r="CK85" s="302"/>
      <c r="CL85" s="302"/>
      <c r="CM85" s="302"/>
      <c r="CN85" s="302"/>
      <c r="CO85" s="302"/>
      <c r="CP85" s="302"/>
      <c r="CQ85" s="302"/>
      <c r="CR85" s="302"/>
      <c r="CS85" s="302"/>
      <c r="CT85" s="302"/>
      <c r="CU85" s="302"/>
      <c r="CV85" s="302"/>
      <c r="CW85" s="302"/>
      <c r="CX85" s="302"/>
      <c r="CY85" s="302"/>
      <c r="CZ85" s="302"/>
      <c r="DA85" s="302"/>
      <c r="DB85" s="302"/>
      <c r="DC85" s="302">
        <v>1.8284499999999999E-2</v>
      </c>
      <c r="DD85" s="302"/>
      <c r="DE85" s="302"/>
      <c r="DF85" s="302"/>
      <c r="DG85" s="302"/>
      <c r="DH85" s="302"/>
      <c r="DI85" s="302"/>
      <c r="DJ85" s="302"/>
      <c r="DK85" s="302"/>
      <c r="DL85" s="302"/>
      <c r="DM85" s="302"/>
      <c r="DN85" s="302"/>
      <c r="DO85" s="302">
        <v>-9.6512500000000001E-3</v>
      </c>
      <c r="DP85" s="302"/>
      <c r="DQ85" s="302"/>
      <c r="DR85" s="302"/>
      <c r="DS85" s="302"/>
      <c r="DT85" s="302"/>
      <c r="DU85" s="302"/>
      <c r="DV85" s="302"/>
      <c r="DW85" s="302"/>
      <c r="DX85" s="302"/>
      <c r="DY85" s="302">
        <v>-8.633E-3</v>
      </c>
      <c r="DZ85" s="302"/>
      <c r="EA85" s="302"/>
      <c r="EB85" s="302"/>
      <c r="EC85" s="302"/>
      <c r="ED85" s="302"/>
      <c r="EE85" s="302"/>
      <c r="EF85" s="302"/>
      <c r="EG85" s="302"/>
      <c r="EH85" s="302"/>
      <c r="EI85" s="302"/>
      <c r="EJ85" s="302"/>
      <c r="EK85" s="302"/>
      <c r="EL85" s="302"/>
      <c r="EM85" s="302"/>
      <c r="EN85" s="302"/>
      <c r="EO85" s="302"/>
      <c r="EP85" s="302"/>
      <c r="EQ85" s="302"/>
      <c r="ER85" s="302"/>
      <c r="ES85" s="302"/>
      <c r="ET85" s="302"/>
      <c r="EU85" s="302"/>
      <c r="EV85" s="302"/>
      <c r="EW85" s="302"/>
      <c r="EX85" s="302"/>
      <c r="EY85" s="302"/>
    </row>
    <row r="86" spans="1:156" s="27" customFormat="1" x14ac:dyDescent="0.2">
      <c r="A86" s="38"/>
      <c r="B86" s="37"/>
      <c r="C86" s="36">
        <f t="shared" si="9"/>
        <v>1.3813199999999997</v>
      </c>
      <c r="D86" s="66" t="s">
        <v>293</v>
      </c>
      <c r="E86" s="36">
        <f t="shared" si="12"/>
        <v>8.6332499999999986E-3</v>
      </c>
      <c r="F86" s="126" t="s">
        <v>228</v>
      </c>
      <c r="G86" s="299"/>
      <c r="H86" s="299"/>
      <c r="I86" s="299"/>
      <c r="J86" s="299"/>
      <c r="K86" s="299"/>
      <c r="L86" s="299"/>
      <c r="M86" s="299"/>
      <c r="N86" s="299"/>
      <c r="O86" s="299"/>
      <c r="P86" s="100"/>
      <c r="Q86" s="299"/>
      <c r="R86" s="299"/>
      <c r="S86" s="299"/>
      <c r="T86" s="299"/>
      <c r="U86" s="299"/>
      <c r="V86" s="299"/>
      <c r="W86" s="299"/>
      <c r="X86" s="299"/>
      <c r="Y86" s="100"/>
      <c r="Z86" s="100"/>
      <c r="AA86" s="100"/>
      <c r="AB86" s="100"/>
      <c r="AC86" s="100"/>
      <c r="AD86" s="100"/>
      <c r="AE86" s="100"/>
      <c r="AF86" s="299"/>
      <c r="AG86" s="100"/>
      <c r="AH86" s="299"/>
      <c r="AI86" s="100"/>
      <c r="AJ86" s="299"/>
      <c r="AK86" s="299"/>
      <c r="AL86" s="299"/>
      <c r="AM86" s="299"/>
      <c r="AN86" s="299"/>
      <c r="AO86" s="299"/>
      <c r="AP86" s="299"/>
      <c r="AQ86" s="299"/>
      <c r="AR86" s="299"/>
      <c r="AS86" s="299"/>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c r="CE86" s="302"/>
      <c r="CF86" s="302"/>
      <c r="CG86" s="302"/>
      <c r="CH86" s="302"/>
      <c r="CI86" s="302"/>
      <c r="CJ86" s="302"/>
      <c r="CK86" s="302"/>
      <c r="CL86" s="302"/>
      <c r="CM86" s="302"/>
      <c r="CN86" s="302"/>
      <c r="CO86" s="302"/>
      <c r="CP86" s="302"/>
      <c r="CQ86" s="302"/>
      <c r="CR86" s="302"/>
      <c r="CS86" s="302"/>
      <c r="CT86" s="302"/>
      <c r="CU86" s="302"/>
      <c r="CV86" s="302"/>
      <c r="CW86" s="302"/>
      <c r="CX86" s="302"/>
      <c r="CY86" s="302"/>
      <c r="CZ86" s="302"/>
      <c r="DA86" s="302"/>
      <c r="DB86" s="302"/>
      <c r="DC86" s="302">
        <v>1.8284499999999999E-2</v>
      </c>
      <c r="DD86" s="302"/>
      <c r="DE86" s="302"/>
      <c r="DF86" s="302"/>
      <c r="DG86" s="302"/>
      <c r="DH86" s="302"/>
      <c r="DI86" s="302"/>
      <c r="DJ86" s="302"/>
      <c r="DK86" s="302"/>
      <c r="DL86" s="302"/>
      <c r="DM86" s="302">
        <v>-9.6512500000000001E-3</v>
      </c>
      <c r="DN86" s="302"/>
      <c r="DO86" s="302"/>
      <c r="DP86" s="302"/>
      <c r="DQ86" s="302"/>
      <c r="DR86" s="302"/>
      <c r="DS86" s="302"/>
      <c r="DT86" s="302"/>
      <c r="DU86" s="302"/>
      <c r="DV86" s="302"/>
      <c r="DW86" s="302"/>
      <c r="DX86" s="302"/>
      <c r="DY86" s="302"/>
      <c r="DZ86" s="302"/>
      <c r="EA86" s="302"/>
      <c r="EB86" s="302"/>
      <c r="EC86" s="302"/>
      <c r="ED86" s="302"/>
      <c r="EE86" s="302"/>
      <c r="EF86" s="302"/>
      <c r="EG86" s="302"/>
      <c r="EH86" s="302"/>
      <c r="EI86" s="302"/>
      <c r="EJ86" s="302"/>
      <c r="EK86" s="302"/>
      <c r="EL86" s="302"/>
      <c r="EM86" s="302"/>
      <c r="EN86" s="302"/>
      <c r="EO86" s="302"/>
      <c r="EP86" s="302"/>
      <c r="EQ86" s="302"/>
      <c r="ER86" s="302"/>
      <c r="ES86" s="302"/>
      <c r="ET86" s="302"/>
      <c r="EU86" s="302"/>
      <c r="EV86" s="302"/>
      <c r="EW86" s="302"/>
      <c r="EX86" s="302"/>
      <c r="EY86" s="302"/>
    </row>
    <row r="87" spans="1:156" s="27" customFormat="1" x14ac:dyDescent="0.2">
      <c r="A87" s="38"/>
      <c r="B87" s="37"/>
      <c r="C87" s="36">
        <f t="shared" si="9"/>
        <v>2.9310298389915808</v>
      </c>
      <c r="D87" s="66" t="s">
        <v>257</v>
      </c>
      <c r="E87" s="36">
        <f t="shared" si="12"/>
        <v>1.8318936493697379E-2</v>
      </c>
      <c r="F87" s="126" t="s">
        <v>228</v>
      </c>
      <c r="G87" s="299"/>
      <c r="H87" s="299"/>
      <c r="I87" s="299"/>
      <c r="J87" s="299"/>
      <c r="K87" s="299"/>
      <c r="L87" s="299"/>
      <c r="M87" s="299"/>
      <c r="N87" s="299"/>
      <c r="O87" s="299"/>
      <c r="P87" s="100"/>
      <c r="Q87" s="299"/>
      <c r="R87" s="299"/>
      <c r="S87" s="299"/>
      <c r="T87" s="299"/>
      <c r="U87" s="299"/>
      <c r="V87" s="299"/>
      <c r="W87" s="299"/>
      <c r="X87" s="299"/>
      <c r="Y87" s="100"/>
      <c r="Z87" s="100"/>
      <c r="AA87" s="100"/>
      <c r="AB87" s="100"/>
      <c r="AC87" s="100"/>
      <c r="AD87" s="100"/>
      <c r="AE87" s="100"/>
      <c r="AF87" s="299"/>
      <c r="AG87" s="100"/>
      <c r="AH87" s="299"/>
      <c r="AI87" s="100"/>
      <c r="AJ87" s="299"/>
      <c r="AK87" s="299"/>
      <c r="AL87" s="299"/>
      <c r="AM87" s="299"/>
      <c r="AN87" s="299"/>
      <c r="AO87" s="299"/>
      <c r="AP87" s="299"/>
      <c r="AQ87" s="299"/>
      <c r="AR87" s="299"/>
      <c r="AS87" s="299"/>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c r="CE87" s="302"/>
      <c r="CF87" s="302"/>
      <c r="CG87" s="302"/>
      <c r="CH87" s="302"/>
      <c r="CI87" s="302"/>
      <c r="CJ87" s="302"/>
      <c r="CK87" s="302"/>
      <c r="CL87" s="302"/>
      <c r="CM87" s="302"/>
      <c r="CN87" s="302"/>
      <c r="CO87" s="302"/>
      <c r="CP87" s="302"/>
      <c r="CQ87" s="302"/>
      <c r="CR87" s="302"/>
      <c r="CS87" s="302"/>
      <c r="CT87" s="302"/>
      <c r="CU87" s="302"/>
      <c r="CV87" s="302"/>
      <c r="CW87" s="302"/>
      <c r="CX87" s="302"/>
      <c r="CY87" s="302"/>
      <c r="CZ87" s="302"/>
      <c r="DA87" s="302"/>
      <c r="DB87" s="302"/>
      <c r="DC87" s="302"/>
      <c r="DD87" s="302"/>
      <c r="DE87" s="302"/>
      <c r="DF87" s="302"/>
      <c r="DG87" s="302"/>
      <c r="DH87" s="302">
        <f>(43.496666/791.47)*(2/6)</f>
        <v>1.8318936493697379E-2</v>
      </c>
      <c r="DI87" s="302"/>
      <c r="DJ87" s="302"/>
      <c r="DK87" s="302"/>
      <c r="DL87" s="302"/>
      <c r="DM87" s="302"/>
      <c r="DN87" s="302"/>
      <c r="DO87" s="302"/>
      <c r="DP87" s="302"/>
      <c r="DQ87" s="302"/>
      <c r="DR87" s="302"/>
      <c r="DS87" s="302"/>
      <c r="DT87" s="302"/>
      <c r="DU87" s="302"/>
      <c r="DV87" s="302"/>
      <c r="DW87" s="302"/>
      <c r="DX87" s="302"/>
      <c r="DY87" s="302"/>
      <c r="DZ87" s="302"/>
      <c r="EA87" s="302"/>
      <c r="EB87" s="302"/>
      <c r="EC87" s="302"/>
      <c r="ED87" s="302"/>
      <c r="EE87" s="302"/>
      <c r="EF87" s="302"/>
      <c r="EG87" s="302"/>
      <c r="EH87" s="302"/>
      <c r="EI87" s="302"/>
      <c r="EJ87" s="302"/>
      <c r="EK87" s="302"/>
      <c r="EL87" s="302"/>
      <c r="EM87" s="302"/>
      <c r="EN87" s="302"/>
      <c r="EO87" s="302"/>
      <c r="EP87" s="302"/>
      <c r="EQ87" s="302"/>
      <c r="ER87" s="302"/>
      <c r="ES87" s="302"/>
      <c r="ET87" s="302"/>
      <c r="EU87" s="302"/>
      <c r="EV87" s="302"/>
      <c r="EW87" s="302"/>
      <c r="EX87" s="302"/>
      <c r="EY87" s="302"/>
    </row>
    <row r="88" spans="1:156" s="27" customFormat="1" x14ac:dyDescent="0.2">
      <c r="A88" s="38"/>
      <c r="B88" s="37"/>
      <c r="C88" s="86">
        <f t="shared" si="9"/>
        <v>0</v>
      </c>
      <c r="D88" s="374" t="s">
        <v>2735</v>
      </c>
      <c r="E88" s="86">
        <f t="shared" si="12"/>
        <v>0</v>
      </c>
      <c r="F88" s="126" t="s">
        <v>228</v>
      </c>
      <c r="G88" s="299"/>
      <c r="H88" s="299"/>
      <c r="I88" s="299"/>
      <c r="J88" s="299"/>
      <c r="K88" s="299"/>
      <c r="L88" s="299"/>
      <c r="M88" s="299"/>
      <c r="N88" s="299"/>
      <c r="O88" s="299"/>
      <c r="P88" s="100"/>
      <c r="Q88" s="299"/>
      <c r="R88" s="299"/>
      <c r="S88" s="299"/>
      <c r="T88" s="299"/>
      <c r="U88" s="299"/>
      <c r="V88" s="299"/>
      <c r="W88" s="299"/>
      <c r="X88" s="299"/>
      <c r="Y88" s="100"/>
      <c r="Z88" s="100"/>
      <c r="AA88" s="100"/>
      <c r="AB88" s="100"/>
      <c r="AC88" s="100"/>
      <c r="AD88" s="100"/>
      <c r="AE88" s="100"/>
      <c r="AF88" s="299"/>
      <c r="AG88" s="100"/>
      <c r="AH88" s="299"/>
      <c r="AI88" s="100"/>
      <c r="AJ88" s="299"/>
      <c r="AK88" s="299"/>
      <c r="AL88" s="299"/>
      <c r="AM88" s="299"/>
      <c r="AN88" s="299"/>
      <c r="AO88" s="299"/>
      <c r="AP88" s="299"/>
      <c r="AQ88" s="299"/>
      <c r="AR88" s="299"/>
      <c r="AS88" s="299"/>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c r="CE88" s="302"/>
      <c r="CF88" s="302"/>
      <c r="CG88" s="302"/>
      <c r="CH88" s="302"/>
      <c r="CI88" s="302"/>
      <c r="CJ88" s="302"/>
      <c r="CK88" s="302"/>
      <c r="CL88" s="302"/>
      <c r="CM88" s="302"/>
      <c r="CN88" s="302"/>
      <c r="CO88" s="302"/>
      <c r="CP88" s="302"/>
      <c r="CQ88" s="302"/>
      <c r="CR88" s="302"/>
      <c r="CS88" s="302"/>
      <c r="CT88" s="302"/>
      <c r="CU88" s="302"/>
      <c r="CV88" s="302"/>
      <c r="CW88" s="302"/>
      <c r="CX88" s="302"/>
      <c r="CY88" s="302"/>
      <c r="CZ88" s="302"/>
      <c r="DA88" s="302"/>
      <c r="DB88" s="302"/>
      <c r="DC88" s="302"/>
      <c r="DD88" s="302"/>
      <c r="DE88" s="302"/>
      <c r="DF88" s="302"/>
      <c r="DG88" s="302"/>
      <c r="DH88" s="302">
        <f>(43.496666/791.47)*(2/6)</f>
        <v>1.8318936493697379E-2</v>
      </c>
      <c r="DI88" s="302"/>
      <c r="DJ88" s="302"/>
      <c r="DK88" s="302"/>
      <c r="DL88" s="302"/>
      <c r="DM88" s="302"/>
      <c r="DN88" s="302"/>
      <c r="DO88" s="302"/>
      <c r="DP88" s="302"/>
      <c r="DQ88" s="302"/>
      <c r="DR88" s="302"/>
      <c r="DS88" s="302"/>
      <c r="DT88" s="302"/>
      <c r="DU88" s="302"/>
      <c r="DV88" s="302"/>
      <c r="DW88" s="302"/>
      <c r="DX88" s="302"/>
      <c r="DY88" s="302"/>
      <c r="DZ88" s="302"/>
      <c r="EA88" s="302"/>
      <c r="EB88" s="302"/>
      <c r="EC88" s="302"/>
      <c r="ED88" s="302"/>
      <c r="EE88" s="302"/>
      <c r="EF88" s="302"/>
      <c r="EG88" s="302"/>
      <c r="EH88" s="302"/>
      <c r="EI88" s="302"/>
      <c r="EJ88" s="302"/>
      <c r="EK88" s="302"/>
      <c r="EL88" s="302"/>
      <c r="EM88" s="302"/>
      <c r="EN88" s="302"/>
      <c r="EO88" s="302"/>
      <c r="EP88" s="302"/>
      <c r="EQ88" s="302"/>
      <c r="ER88" s="302"/>
      <c r="ES88" s="302"/>
      <c r="ET88" s="302"/>
      <c r="EU88" s="302"/>
      <c r="EV88" s="302"/>
      <c r="EW88" s="302"/>
      <c r="EX88" s="302"/>
      <c r="EY88" s="302"/>
      <c r="EZ88" s="27">
        <f>-DH88</f>
        <v>-1.8318936493697379E-2</v>
      </c>
    </row>
    <row r="89" spans="1:156" s="27" customFormat="1" x14ac:dyDescent="0.2">
      <c r="A89" s="38"/>
      <c r="B89" s="37"/>
      <c r="C89" s="36">
        <f t="shared" si="9"/>
        <v>1.4655149194957904</v>
      </c>
      <c r="D89" s="66" t="s">
        <v>2736</v>
      </c>
      <c r="E89" s="36">
        <f t="shared" si="12"/>
        <v>9.1594682468486895E-3</v>
      </c>
      <c r="F89" s="126" t="s">
        <v>228</v>
      </c>
      <c r="G89" s="302"/>
      <c r="H89" s="302"/>
      <c r="I89" s="302"/>
      <c r="J89" s="302"/>
      <c r="K89" s="302"/>
      <c r="L89" s="302"/>
      <c r="M89" s="302"/>
      <c r="N89" s="302"/>
      <c r="O89" s="302"/>
      <c r="P89" s="100"/>
      <c r="Q89" s="302"/>
      <c r="R89" s="302"/>
      <c r="S89" s="302"/>
      <c r="T89" s="302"/>
      <c r="U89" s="302"/>
      <c r="V89" s="302"/>
      <c r="W89" s="302"/>
      <c r="X89" s="302"/>
      <c r="Y89" s="100"/>
      <c r="Z89" s="100"/>
      <c r="AA89" s="100"/>
      <c r="AB89" s="100"/>
      <c r="AC89" s="100"/>
      <c r="AD89" s="100"/>
      <c r="AE89" s="100"/>
      <c r="AF89" s="302"/>
      <c r="AG89" s="100"/>
      <c r="AH89" s="302"/>
      <c r="AI89" s="100"/>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c r="CE89" s="302"/>
      <c r="CF89" s="302"/>
      <c r="CG89" s="302"/>
      <c r="CH89" s="302"/>
      <c r="CI89" s="302"/>
      <c r="CJ89" s="302"/>
      <c r="CK89" s="302"/>
      <c r="CL89" s="302"/>
      <c r="CM89" s="302"/>
      <c r="CN89" s="302"/>
      <c r="CO89" s="302"/>
      <c r="CP89" s="302"/>
      <c r="CQ89" s="302"/>
      <c r="CR89" s="302"/>
      <c r="CS89" s="302"/>
      <c r="CT89" s="302"/>
      <c r="CU89" s="302"/>
      <c r="CV89" s="302"/>
      <c r="CW89" s="302"/>
      <c r="CX89" s="302"/>
      <c r="CY89" s="302"/>
      <c r="CZ89" s="302"/>
      <c r="DA89" s="302"/>
      <c r="DB89" s="302"/>
      <c r="DC89" s="302"/>
      <c r="DD89" s="302"/>
      <c r="DE89" s="302"/>
      <c r="DF89" s="302"/>
      <c r="DG89" s="302"/>
      <c r="DH89" s="302">
        <f>(43.496666/791.47)*(1/6)</f>
        <v>9.1594682468486895E-3</v>
      </c>
      <c r="DI89" s="302"/>
      <c r="DJ89" s="302"/>
      <c r="DK89" s="302"/>
      <c r="DL89" s="302"/>
      <c r="DM89" s="302"/>
      <c r="DN89" s="302"/>
      <c r="DO89" s="302"/>
      <c r="DP89" s="302"/>
      <c r="DQ89" s="302"/>
      <c r="DR89" s="302"/>
      <c r="DS89" s="302"/>
      <c r="DT89" s="302"/>
      <c r="DU89" s="302"/>
      <c r="DV89" s="302"/>
      <c r="DW89" s="302"/>
      <c r="DX89" s="302"/>
      <c r="DY89" s="302"/>
      <c r="DZ89" s="302"/>
      <c r="EA89" s="302"/>
      <c r="EB89" s="302"/>
      <c r="EC89" s="302"/>
      <c r="ED89" s="302"/>
      <c r="EE89" s="302"/>
      <c r="EF89" s="302"/>
      <c r="EG89" s="302"/>
      <c r="EH89" s="302"/>
      <c r="EI89" s="302"/>
      <c r="EJ89" s="302"/>
      <c r="EK89" s="302"/>
      <c r="EL89" s="302"/>
      <c r="EM89" s="302"/>
      <c r="EN89" s="302"/>
      <c r="EO89" s="302"/>
      <c r="EP89" s="302"/>
      <c r="EQ89" s="302"/>
      <c r="ER89" s="302"/>
      <c r="ES89" s="302"/>
      <c r="ET89" s="302"/>
      <c r="EU89" s="302"/>
      <c r="EV89" s="302"/>
      <c r="EW89" s="302"/>
      <c r="EX89" s="302"/>
      <c r="EY89" s="302"/>
    </row>
    <row r="90" spans="1:156" s="27" customFormat="1" x14ac:dyDescent="0.2">
      <c r="A90" s="38"/>
      <c r="B90" s="37"/>
      <c r="C90" s="36">
        <f t="shared" si="9"/>
        <v>1.4655149194957904</v>
      </c>
      <c r="D90" s="3" t="s">
        <v>259</v>
      </c>
      <c r="E90" s="86">
        <f t="shared" si="12"/>
        <v>9.1594682468486895E-3</v>
      </c>
      <c r="F90" s="126" t="s">
        <v>228</v>
      </c>
      <c r="G90" s="302"/>
      <c r="H90" s="302"/>
      <c r="I90" s="302"/>
      <c r="J90" s="302"/>
      <c r="K90" s="302"/>
      <c r="L90" s="302"/>
      <c r="M90" s="302"/>
      <c r="N90" s="302"/>
      <c r="O90" s="302"/>
      <c r="P90" s="100"/>
      <c r="Q90" s="302"/>
      <c r="R90" s="302"/>
      <c r="S90" s="302"/>
      <c r="T90" s="302"/>
      <c r="U90" s="302"/>
      <c r="V90" s="302"/>
      <c r="W90" s="302"/>
      <c r="X90" s="302"/>
      <c r="Y90" s="100"/>
      <c r="Z90" s="100"/>
      <c r="AA90" s="100"/>
      <c r="AB90" s="100"/>
      <c r="AC90" s="100"/>
      <c r="AD90" s="100"/>
      <c r="AE90" s="100"/>
      <c r="AF90" s="302"/>
      <c r="AG90" s="100"/>
      <c r="AH90" s="302"/>
      <c r="AI90" s="100"/>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c r="CE90" s="302"/>
      <c r="CF90" s="302"/>
      <c r="CG90" s="302"/>
      <c r="CH90" s="302"/>
      <c r="CI90" s="302"/>
      <c r="CJ90" s="302"/>
      <c r="CK90" s="302"/>
      <c r="CL90" s="302"/>
      <c r="CM90" s="302"/>
      <c r="CN90" s="302"/>
      <c r="CO90" s="302"/>
      <c r="CP90" s="302"/>
      <c r="CQ90" s="302"/>
      <c r="CR90" s="302"/>
      <c r="CS90" s="302"/>
      <c r="CT90" s="302"/>
      <c r="CU90" s="302"/>
      <c r="CV90" s="302"/>
      <c r="CW90" s="302"/>
      <c r="CX90" s="302"/>
      <c r="CY90" s="302"/>
      <c r="CZ90" s="302"/>
      <c r="DA90" s="302"/>
      <c r="DB90" s="302"/>
      <c r="DC90" s="302"/>
      <c r="DD90" s="302"/>
      <c r="DE90" s="302"/>
      <c r="DF90" s="302"/>
      <c r="DG90" s="302"/>
      <c r="DH90" s="302">
        <f>(43.496666/791.47)*(1/6)</f>
        <v>9.1594682468486895E-3</v>
      </c>
      <c r="DI90" s="302"/>
      <c r="DJ90" s="302"/>
      <c r="DK90" s="302"/>
      <c r="DL90" s="302"/>
      <c r="DM90" s="302"/>
      <c r="DN90" s="302"/>
      <c r="DO90" s="302"/>
      <c r="DP90" s="302"/>
      <c r="DQ90" s="302"/>
      <c r="DR90" s="302"/>
      <c r="DS90" s="302"/>
      <c r="DT90" s="302"/>
      <c r="DU90" s="302"/>
      <c r="DV90" s="302"/>
      <c r="DW90" s="302"/>
      <c r="DX90" s="302"/>
      <c r="DY90" s="302"/>
      <c r="DZ90" s="302"/>
      <c r="EA90" s="302"/>
      <c r="EB90" s="302"/>
      <c r="EC90" s="302"/>
      <c r="ED90" s="302"/>
      <c r="EE90" s="302"/>
      <c r="EF90" s="302"/>
      <c r="EG90" s="302"/>
      <c r="EH90" s="302"/>
      <c r="EI90" s="302"/>
      <c r="EJ90" s="302"/>
      <c r="EK90" s="302"/>
      <c r="EL90" s="302"/>
      <c r="EM90" s="302"/>
      <c r="EN90" s="302"/>
      <c r="EO90" s="302"/>
      <c r="EP90" s="302"/>
      <c r="EQ90" s="302"/>
      <c r="ER90" s="302"/>
      <c r="ES90" s="302"/>
      <c r="ET90" s="302"/>
      <c r="EU90" s="302"/>
      <c r="EV90" s="302"/>
      <c r="EW90" s="302"/>
      <c r="EX90" s="302"/>
      <c r="EY90" s="302"/>
    </row>
    <row r="91" spans="1:156" s="27" customFormat="1" x14ac:dyDescent="0.2">
      <c r="A91" s="38"/>
      <c r="B91" s="37"/>
      <c r="C91" s="86">
        <f t="shared" si="9"/>
        <v>0</v>
      </c>
      <c r="D91" s="374" t="s">
        <v>1898</v>
      </c>
      <c r="E91" s="86">
        <f t="shared" si="12"/>
        <v>0</v>
      </c>
      <c r="F91" s="126" t="s">
        <v>228</v>
      </c>
      <c r="G91" s="302"/>
      <c r="H91" s="302"/>
      <c r="I91" s="302"/>
      <c r="J91" s="302"/>
      <c r="K91" s="302"/>
      <c r="L91" s="302"/>
      <c r="M91" s="302"/>
      <c r="N91" s="302"/>
      <c r="O91" s="302"/>
      <c r="P91" s="100"/>
      <c r="Q91" s="302"/>
      <c r="R91" s="302"/>
      <c r="S91" s="302"/>
      <c r="T91" s="302"/>
      <c r="U91" s="302"/>
      <c r="V91" s="302"/>
      <c r="W91" s="302"/>
      <c r="X91" s="302"/>
      <c r="Y91" s="100"/>
      <c r="Z91" s="100"/>
      <c r="AA91" s="100"/>
      <c r="AB91" s="100"/>
      <c r="AC91" s="100"/>
      <c r="AD91" s="100"/>
      <c r="AE91" s="100"/>
      <c r="AF91" s="302"/>
      <c r="AG91" s="100"/>
      <c r="AH91" s="302"/>
      <c r="AI91" s="100"/>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c r="CE91" s="302"/>
      <c r="CF91" s="302"/>
      <c r="CG91" s="302"/>
      <c r="CH91" s="302"/>
      <c r="CI91" s="302"/>
      <c r="CJ91" s="302"/>
      <c r="CK91" s="302"/>
      <c r="CL91" s="302"/>
      <c r="CM91" s="302"/>
      <c r="CN91" s="302"/>
      <c r="CO91" s="302"/>
      <c r="CP91" s="302"/>
      <c r="CQ91" s="302"/>
      <c r="CR91" s="302"/>
      <c r="CS91" s="302"/>
      <c r="CT91" s="302"/>
      <c r="CU91" s="302"/>
      <c r="CV91" s="302"/>
      <c r="CW91" s="302"/>
      <c r="CX91" s="302"/>
      <c r="CY91" s="302"/>
      <c r="CZ91" s="302"/>
      <c r="DA91" s="302"/>
      <c r="DB91" s="302"/>
      <c r="DC91" s="302"/>
      <c r="DD91" s="302"/>
      <c r="DE91" s="302"/>
      <c r="DF91" s="302"/>
      <c r="DG91" s="302"/>
      <c r="DH91" s="302"/>
      <c r="DI91" s="302"/>
      <c r="DJ91" s="302">
        <v>2.7724666666666665E-2</v>
      </c>
      <c r="DK91" s="302"/>
      <c r="DL91" s="302"/>
      <c r="DM91" s="302"/>
      <c r="DN91" s="302"/>
      <c r="DO91" s="302"/>
      <c r="DP91" s="302"/>
      <c r="DQ91" s="302"/>
      <c r="DR91" s="302">
        <f>-DJ91</f>
        <v>-2.7724666666666665E-2</v>
      </c>
      <c r="DS91" s="302"/>
      <c r="DT91" s="302"/>
      <c r="DU91" s="302"/>
      <c r="DV91" s="302"/>
      <c r="DW91" s="302"/>
      <c r="DX91" s="302"/>
      <c r="DY91" s="302"/>
      <c r="DZ91" s="302"/>
      <c r="EA91" s="302"/>
      <c r="EB91" s="302"/>
      <c r="EC91" s="302"/>
      <c r="ED91" s="302"/>
      <c r="EE91" s="302"/>
      <c r="EF91" s="302"/>
      <c r="EG91" s="302"/>
      <c r="EH91" s="302"/>
      <c r="EI91" s="302"/>
      <c r="EJ91" s="302"/>
      <c r="EK91" s="302"/>
      <c r="EL91" s="302"/>
      <c r="EM91" s="302"/>
      <c r="EN91" s="302"/>
      <c r="EO91" s="302"/>
      <c r="EP91" s="302"/>
      <c r="EQ91" s="302"/>
      <c r="ER91" s="302"/>
      <c r="ES91" s="302"/>
      <c r="ET91" s="302"/>
      <c r="EU91" s="302"/>
      <c r="EV91" s="302"/>
      <c r="EW91" s="302"/>
      <c r="EX91" s="302"/>
      <c r="EY91" s="302"/>
    </row>
    <row r="92" spans="1:156" s="27" customFormat="1" x14ac:dyDescent="0.2">
      <c r="A92" s="38"/>
      <c r="B92" s="37"/>
      <c r="C92" s="36">
        <f t="shared" si="9"/>
        <v>0.40431096567147196</v>
      </c>
      <c r="D92" s="66" t="s">
        <v>1687</v>
      </c>
      <c r="E92" s="86">
        <f t="shared" si="12"/>
        <v>2.5269435354466998E-3</v>
      </c>
      <c r="F92" s="126" t="s">
        <v>228</v>
      </c>
      <c r="G92" s="302"/>
      <c r="H92" s="302"/>
      <c r="I92" s="302"/>
      <c r="J92" s="302"/>
      <c r="K92" s="302"/>
      <c r="L92" s="302"/>
      <c r="M92" s="302"/>
      <c r="N92" s="302"/>
      <c r="O92" s="302"/>
      <c r="P92" s="100"/>
      <c r="Q92" s="302"/>
      <c r="R92" s="302"/>
      <c r="S92" s="302"/>
      <c r="T92" s="302"/>
      <c r="U92" s="302"/>
      <c r="V92" s="302"/>
      <c r="W92" s="302"/>
      <c r="X92" s="302"/>
      <c r="Y92" s="100"/>
      <c r="Z92" s="100"/>
      <c r="AA92" s="100"/>
      <c r="AB92" s="100"/>
      <c r="AC92" s="100"/>
      <c r="AD92" s="100"/>
      <c r="AE92" s="100"/>
      <c r="AF92" s="302"/>
      <c r="AG92" s="100"/>
      <c r="AH92" s="302"/>
      <c r="AI92" s="100"/>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c r="CE92" s="302"/>
      <c r="CF92" s="302"/>
      <c r="CG92" s="302"/>
      <c r="CH92" s="302"/>
      <c r="CI92" s="302"/>
      <c r="CJ92" s="302"/>
      <c r="CK92" s="302"/>
      <c r="CL92" s="302"/>
      <c r="CM92" s="302"/>
      <c r="CN92" s="302"/>
      <c r="CO92" s="302"/>
      <c r="CP92" s="302"/>
      <c r="CQ92" s="302"/>
      <c r="CR92" s="302"/>
      <c r="CS92" s="302"/>
      <c r="CT92" s="302"/>
      <c r="CU92" s="302"/>
      <c r="CV92" s="302"/>
      <c r="CW92" s="302"/>
      <c r="CX92" s="302"/>
      <c r="CY92" s="302"/>
      <c r="CZ92" s="302"/>
      <c r="DA92" s="302"/>
      <c r="DB92" s="302"/>
      <c r="DC92" s="302"/>
      <c r="DD92" s="302"/>
      <c r="DE92" s="302"/>
      <c r="DF92" s="302"/>
      <c r="DG92" s="302"/>
      <c r="DH92" s="302"/>
      <c r="DI92" s="302"/>
      <c r="DJ92" s="302"/>
      <c r="DK92" s="302">
        <v>2.5269435354466998E-3</v>
      </c>
      <c r="DL92" s="302"/>
      <c r="DM92" s="302"/>
      <c r="DN92" s="302"/>
      <c r="DO92" s="302"/>
      <c r="DP92" s="302"/>
      <c r="DQ92" s="302"/>
      <c r="DR92" s="302"/>
      <c r="DS92" s="302"/>
      <c r="DT92" s="302"/>
      <c r="DU92" s="302"/>
      <c r="DV92" s="302"/>
      <c r="DW92" s="302"/>
      <c r="DX92" s="302"/>
      <c r="DY92" s="302"/>
      <c r="DZ92" s="302"/>
      <c r="EA92" s="302"/>
      <c r="EB92" s="302"/>
      <c r="EC92" s="302"/>
      <c r="ED92" s="302"/>
      <c r="EE92" s="302"/>
      <c r="EF92" s="302"/>
      <c r="EG92" s="302"/>
      <c r="EH92" s="302"/>
      <c r="EI92" s="302"/>
      <c r="EJ92" s="302"/>
      <c r="EK92" s="302"/>
      <c r="EL92" s="302"/>
      <c r="EM92" s="302"/>
      <c r="EN92" s="302"/>
      <c r="EO92" s="302"/>
      <c r="EP92" s="302"/>
      <c r="EQ92" s="302"/>
      <c r="ER92" s="302"/>
      <c r="ES92" s="302"/>
      <c r="ET92" s="302"/>
      <c r="EU92" s="302"/>
      <c r="EV92" s="302"/>
      <c r="EW92" s="302"/>
      <c r="EX92" s="302"/>
      <c r="EY92" s="302"/>
    </row>
    <row r="93" spans="1:156" s="27" customFormat="1" x14ac:dyDescent="0.2">
      <c r="A93" s="38"/>
      <c r="B93" s="37"/>
      <c r="C93" s="86">
        <f t="shared" si="9"/>
        <v>0.1709620761368158</v>
      </c>
      <c r="D93" s="66" t="s">
        <v>1720</v>
      </c>
      <c r="E93" s="86">
        <f t="shared" si="12"/>
        <v>1.0685129758550987E-3</v>
      </c>
      <c r="F93" s="126" t="s">
        <v>228</v>
      </c>
      <c r="G93" s="302"/>
      <c r="H93" s="302"/>
      <c r="I93" s="302"/>
      <c r="J93" s="302"/>
      <c r="K93" s="302"/>
      <c r="L93" s="302"/>
      <c r="M93" s="302"/>
      <c r="N93" s="302"/>
      <c r="O93" s="302"/>
      <c r="P93" s="100"/>
      <c r="Q93" s="302"/>
      <c r="R93" s="302"/>
      <c r="S93" s="302"/>
      <c r="T93" s="302"/>
      <c r="U93" s="302"/>
      <c r="V93" s="302"/>
      <c r="W93" s="302"/>
      <c r="X93" s="302"/>
      <c r="Y93" s="100"/>
      <c r="Z93" s="100"/>
      <c r="AA93" s="100"/>
      <c r="AB93" s="100"/>
      <c r="AC93" s="100"/>
      <c r="AD93" s="100"/>
      <c r="AE93" s="100"/>
      <c r="AF93" s="302"/>
      <c r="AG93" s="100"/>
      <c r="AH93" s="302"/>
      <c r="AI93" s="100"/>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c r="CE93" s="302"/>
      <c r="CF93" s="302"/>
      <c r="CG93" s="302"/>
      <c r="CH93" s="302"/>
      <c r="CI93" s="302"/>
      <c r="CJ93" s="302"/>
      <c r="CK93" s="302"/>
      <c r="CL93" s="302"/>
      <c r="CM93" s="302"/>
      <c r="CN93" s="302"/>
      <c r="CO93" s="302"/>
      <c r="CP93" s="302"/>
      <c r="CQ93" s="302"/>
      <c r="CR93" s="302"/>
      <c r="CS93" s="302"/>
      <c r="CT93" s="302"/>
      <c r="CU93" s="302"/>
      <c r="CV93" s="302"/>
      <c r="CW93" s="302"/>
      <c r="CX93" s="302"/>
      <c r="CY93" s="302"/>
      <c r="CZ93" s="302"/>
      <c r="DA93" s="302"/>
      <c r="DB93" s="302"/>
      <c r="DC93" s="302"/>
      <c r="DD93" s="302"/>
      <c r="DE93" s="302"/>
      <c r="DF93" s="302"/>
      <c r="DG93" s="302"/>
      <c r="DH93" s="302"/>
      <c r="DI93" s="302"/>
      <c r="DJ93" s="302"/>
      <c r="DK93" s="302"/>
      <c r="DL93" s="302">
        <f>0.0182845</f>
        <v>1.8284499999999999E-2</v>
      </c>
      <c r="DM93" s="302"/>
      <c r="DN93" s="302"/>
      <c r="DO93" s="302"/>
      <c r="DP93" s="302"/>
      <c r="DQ93" s="302">
        <v>-1.72159870241449E-2</v>
      </c>
      <c r="DR93" s="302"/>
      <c r="DS93" s="302"/>
      <c r="DT93" s="302"/>
      <c r="DU93" s="302"/>
      <c r="DV93" s="302"/>
      <c r="DW93" s="302"/>
      <c r="DX93" s="302"/>
      <c r="DY93" s="302"/>
      <c r="DZ93" s="302"/>
      <c r="EA93" s="302"/>
      <c r="EB93" s="302"/>
      <c r="EC93" s="302"/>
      <c r="ED93" s="302"/>
      <c r="EE93" s="302"/>
      <c r="EF93" s="302"/>
      <c r="EG93" s="302"/>
      <c r="EH93" s="302"/>
      <c r="EI93" s="302"/>
      <c r="EJ93" s="302"/>
      <c r="EK93" s="302"/>
      <c r="EL93" s="302"/>
      <c r="EM93" s="302"/>
      <c r="EN93" s="302"/>
      <c r="EO93" s="302"/>
      <c r="EP93" s="302"/>
      <c r="EQ93" s="302"/>
      <c r="ER93" s="302"/>
      <c r="ES93" s="302"/>
      <c r="ET93" s="302"/>
      <c r="EU93" s="302"/>
      <c r="EV93" s="302"/>
      <c r="EW93" s="302"/>
      <c r="EX93" s="302"/>
      <c r="EY93" s="302"/>
    </row>
    <row r="94" spans="1:156" s="27" customFormat="1" x14ac:dyDescent="0.2">
      <c r="A94" s="38"/>
      <c r="B94" s="37"/>
      <c r="C94" s="36">
        <f t="shared" si="9"/>
        <v>6.0138800000000003</v>
      </c>
      <c r="D94" s="66" t="s">
        <v>1729</v>
      </c>
      <c r="E94" s="86">
        <f t="shared" si="12"/>
        <v>3.7586750000000002E-2</v>
      </c>
      <c r="F94" s="126" t="s">
        <v>228</v>
      </c>
      <c r="G94" s="302"/>
      <c r="H94" s="302"/>
      <c r="I94" s="302"/>
      <c r="J94" s="302"/>
      <c r="K94" s="302"/>
      <c r="L94" s="302"/>
      <c r="M94" s="302"/>
      <c r="N94" s="302"/>
      <c r="O94" s="302"/>
      <c r="P94" s="100"/>
      <c r="Q94" s="302"/>
      <c r="R94" s="302"/>
      <c r="S94" s="302"/>
      <c r="T94" s="302"/>
      <c r="U94" s="302"/>
      <c r="V94" s="302"/>
      <c r="W94" s="302"/>
      <c r="X94" s="302"/>
      <c r="Y94" s="100"/>
      <c r="Z94" s="100"/>
      <c r="AA94" s="100"/>
      <c r="AB94" s="100"/>
      <c r="AC94" s="100"/>
      <c r="AD94" s="100"/>
      <c r="AE94" s="100"/>
      <c r="AF94" s="302"/>
      <c r="AG94" s="100"/>
      <c r="AH94" s="302"/>
      <c r="AI94" s="100"/>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c r="CE94" s="302"/>
      <c r="CF94" s="302"/>
      <c r="CG94" s="302"/>
      <c r="CH94" s="302"/>
      <c r="CI94" s="302"/>
      <c r="CJ94" s="302"/>
      <c r="CK94" s="302"/>
      <c r="CL94" s="302"/>
      <c r="CM94" s="302"/>
      <c r="CN94" s="302"/>
      <c r="CO94" s="302"/>
      <c r="CP94" s="302"/>
      <c r="CQ94" s="302"/>
      <c r="CR94" s="302"/>
      <c r="CS94" s="302"/>
      <c r="CT94" s="302"/>
      <c r="CU94" s="302"/>
      <c r="CV94" s="302"/>
      <c r="CW94" s="302"/>
      <c r="CX94" s="302"/>
      <c r="CY94" s="302"/>
      <c r="CZ94" s="302"/>
      <c r="DA94" s="302"/>
      <c r="DB94" s="302"/>
      <c r="DC94" s="302"/>
      <c r="DD94" s="302"/>
      <c r="DE94" s="302"/>
      <c r="DF94" s="302"/>
      <c r="DG94" s="302"/>
      <c r="DH94" s="302"/>
      <c r="DI94" s="302"/>
      <c r="DJ94" s="302"/>
      <c r="DK94" s="302"/>
      <c r="DL94" s="302"/>
      <c r="DM94" s="302">
        <v>9.6512500000000001E-3</v>
      </c>
      <c r="DN94" s="302">
        <v>9.6512500000000001E-3</v>
      </c>
      <c r="DO94" s="302">
        <v>9.6512500000000001E-3</v>
      </c>
      <c r="DP94" s="302"/>
      <c r="DQ94" s="302"/>
      <c r="DR94" s="302"/>
      <c r="DS94" s="302"/>
      <c r="DT94" s="302"/>
      <c r="DU94" s="302"/>
      <c r="DV94" s="302"/>
      <c r="DW94" s="302"/>
      <c r="DX94" s="302"/>
      <c r="DY94" s="302">
        <v>8.633E-3</v>
      </c>
      <c r="DZ94" s="302"/>
      <c r="EA94" s="302"/>
      <c r="EB94" s="302"/>
      <c r="EC94" s="302"/>
      <c r="ED94" s="302"/>
      <c r="EE94" s="302"/>
      <c r="EF94" s="302"/>
      <c r="EG94" s="302"/>
      <c r="EH94" s="302"/>
      <c r="EI94" s="302"/>
      <c r="EJ94" s="302"/>
      <c r="EK94" s="302"/>
      <c r="EL94" s="302"/>
      <c r="EM94" s="302"/>
      <c r="EN94" s="302"/>
      <c r="EO94" s="302"/>
      <c r="EP94" s="302"/>
      <c r="EQ94" s="302"/>
      <c r="ER94" s="302"/>
      <c r="ES94" s="302"/>
      <c r="ET94" s="302"/>
      <c r="EU94" s="302"/>
      <c r="EV94" s="302"/>
      <c r="EW94" s="302"/>
      <c r="EX94" s="302"/>
      <c r="EY94" s="302"/>
    </row>
    <row r="95" spans="1:156" s="27" customFormat="1" x14ac:dyDescent="0.2">
      <c r="A95" s="38"/>
      <c r="B95" s="37"/>
      <c r="C95" s="86">
        <f t="shared" si="9"/>
        <v>0.91818597462106133</v>
      </c>
      <c r="D95" s="66" t="s">
        <v>2737</v>
      </c>
      <c r="E95" s="86">
        <f t="shared" si="12"/>
        <v>5.7386623413816333E-3</v>
      </c>
      <c r="F95" s="126" t="s">
        <v>228</v>
      </c>
      <c r="G95" s="302"/>
      <c r="H95" s="302"/>
      <c r="I95" s="302"/>
      <c r="J95" s="302"/>
      <c r="K95" s="302"/>
      <c r="L95" s="302"/>
      <c r="M95" s="302"/>
      <c r="N95" s="302"/>
      <c r="O95" s="302"/>
      <c r="P95" s="100"/>
      <c r="Q95" s="302"/>
      <c r="R95" s="302"/>
      <c r="S95" s="302"/>
      <c r="T95" s="302"/>
      <c r="U95" s="302"/>
      <c r="V95" s="302"/>
      <c r="W95" s="302"/>
      <c r="X95" s="302"/>
      <c r="Y95" s="100"/>
      <c r="Z95" s="100"/>
      <c r="AA95" s="100"/>
      <c r="AB95" s="100"/>
      <c r="AC95" s="100"/>
      <c r="AD95" s="100"/>
      <c r="AE95" s="100"/>
      <c r="AF95" s="302"/>
      <c r="AG95" s="100"/>
      <c r="AH95" s="302"/>
      <c r="AI95" s="100"/>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c r="CE95" s="302"/>
      <c r="CF95" s="302"/>
      <c r="CG95" s="302"/>
      <c r="CH95" s="302"/>
      <c r="CI95" s="302"/>
      <c r="CJ95" s="302"/>
      <c r="CK95" s="302"/>
      <c r="CL95" s="302"/>
      <c r="CM95" s="302"/>
      <c r="CN95" s="302"/>
      <c r="CO95" s="302"/>
      <c r="CP95" s="302"/>
      <c r="CQ95" s="302"/>
      <c r="CR95" s="302"/>
      <c r="CS95" s="302"/>
      <c r="CT95" s="302"/>
      <c r="CU95" s="302"/>
      <c r="CV95" s="302"/>
      <c r="CW95" s="302"/>
      <c r="CX95" s="302"/>
      <c r="CY95" s="302"/>
      <c r="CZ95" s="302"/>
      <c r="DA95" s="302"/>
      <c r="DB95" s="302"/>
      <c r="DC95" s="302"/>
      <c r="DD95" s="302"/>
      <c r="DE95" s="302"/>
      <c r="DF95" s="302"/>
      <c r="DG95" s="302"/>
      <c r="DH95" s="302"/>
      <c r="DI95" s="302"/>
      <c r="DJ95" s="302"/>
      <c r="DK95" s="302"/>
      <c r="DL95" s="302"/>
      <c r="DM95" s="302"/>
      <c r="DN95" s="302"/>
      <c r="DO95" s="302"/>
      <c r="DP95" s="302"/>
      <c r="DQ95" s="302">
        <v>5.7386623413816333E-3</v>
      </c>
      <c r="DR95" s="302"/>
      <c r="DS95" s="302"/>
      <c r="DT95" s="302"/>
      <c r="DU95" s="302"/>
      <c r="DV95" s="302"/>
      <c r="DW95" s="302"/>
      <c r="DX95" s="302"/>
      <c r="DY95" s="302"/>
      <c r="DZ95" s="302"/>
      <c r="EA95" s="302"/>
      <c r="EB95" s="302"/>
      <c r="EC95" s="302"/>
      <c r="ED95" s="302"/>
      <c r="EE95" s="302"/>
      <c r="EF95" s="302"/>
      <c r="EG95" s="302"/>
      <c r="EH95" s="302"/>
      <c r="EI95" s="302"/>
      <c r="EJ95" s="302"/>
      <c r="EK95" s="302"/>
      <c r="EL95" s="302"/>
      <c r="EM95" s="302"/>
      <c r="EN95" s="302"/>
      <c r="EO95" s="302"/>
      <c r="EP95" s="302"/>
      <c r="EQ95" s="302"/>
      <c r="ER95" s="302"/>
      <c r="ES95" s="302"/>
      <c r="ET95" s="302"/>
      <c r="EU95" s="302"/>
      <c r="EV95" s="302"/>
      <c r="EW95" s="302"/>
      <c r="EX95" s="302"/>
      <c r="EY95" s="302"/>
    </row>
    <row r="96" spans="1:156" s="27" customFormat="1" x14ac:dyDescent="0.2">
      <c r="A96" s="38"/>
      <c r="B96" s="37"/>
      <c r="C96" s="36">
        <f t="shared" si="9"/>
        <v>0</v>
      </c>
      <c r="D96" s="374" t="s">
        <v>2738</v>
      </c>
      <c r="E96" s="36">
        <f t="shared" si="12"/>
        <v>0</v>
      </c>
      <c r="F96" s="126" t="s">
        <v>228</v>
      </c>
      <c r="G96" s="302"/>
      <c r="H96" s="302"/>
      <c r="I96" s="302"/>
      <c r="J96" s="302"/>
      <c r="K96" s="302"/>
      <c r="L96" s="302"/>
      <c r="M96" s="302"/>
      <c r="N96" s="302"/>
      <c r="O96" s="302"/>
      <c r="P96" s="100"/>
      <c r="Q96" s="302"/>
      <c r="R96" s="302"/>
      <c r="S96" s="302"/>
      <c r="T96" s="302"/>
      <c r="U96" s="302"/>
      <c r="V96" s="302"/>
      <c r="W96" s="302"/>
      <c r="X96" s="302"/>
      <c r="Y96" s="100"/>
      <c r="Z96" s="100"/>
      <c r="AA96" s="100"/>
      <c r="AB96" s="100"/>
      <c r="AC96" s="100"/>
      <c r="AD96" s="100"/>
      <c r="AE96" s="100"/>
      <c r="AF96" s="302"/>
      <c r="AG96" s="100"/>
      <c r="AH96" s="302"/>
      <c r="AI96" s="100"/>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c r="CE96" s="302"/>
      <c r="CF96" s="302"/>
      <c r="CG96" s="302"/>
      <c r="CH96" s="302"/>
      <c r="CI96" s="302"/>
      <c r="CJ96" s="302"/>
      <c r="CK96" s="302"/>
      <c r="CL96" s="302"/>
      <c r="CM96" s="302"/>
      <c r="CN96" s="302"/>
      <c r="CO96" s="302"/>
      <c r="CP96" s="302"/>
      <c r="CQ96" s="302"/>
      <c r="CR96" s="302"/>
      <c r="CS96" s="302"/>
      <c r="CT96" s="302"/>
      <c r="CU96" s="302"/>
      <c r="CV96" s="302"/>
      <c r="CW96" s="302"/>
      <c r="CX96" s="302"/>
      <c r="CY96" s="302"/>
      <c r="CZ96" s="302"/>
      <c r="DA96" s="302"/>
      <c r="DB96" s="302"/>
      <c r="DC96" s="302"/>
      <c r="DD96" s="302"/>
      <c r="DE96" s="302"/>
      <c r="DF96" s="302"/>
      <c r="DG96" s="302"/>
      <c r="DH96" s="302"/>
      <c r="DI96" s="302"/>
      <c r="DJ96" s="302"/>
      <c r="DK96" s="302"/>
      <c r="DL96" s="302"/>
      <c r="DM96" s="302"/>
      <c r="DN96" s="302"/>
      <c r="DO96" s="302"/>
      <c r="DP96" s="302"/>
      <c r="DQ96" s="302">
        <v>5.7386623413816333E-3</v>
      </c>
      <c r="DR96" s="302"/>
      <c r="DS96" s="302"/>
      <c r="DT96" s="302"/>
      <c r="DU96" s="302"/>
      <c r="DV96" s="302"/>
      <c r="DW96" s="302"/>
      <c r="DX96" s="302"/>
      <c r="DY96" s="302"/>
      <c r="DZ96" s="302"/>
      <c r="EA96" s="302"/>
      <c r="EB96" s="302"/>
      <c r="EC96" s="302"/>
      <c r="ED96" s="302"/>
      <c r="EE96" s="302"/>
      <c r="EF96" s="302"/>
      <c r="EG96" s="302"/>
      <c r="EH96" s="302"/>
      <c r="EI96" s="302"/>
      <c r="EJ96" s="302"/>
      <c r="EK96" s="302"/>
      <c r="EL96" s="302"/>
      <c r="EM96" s="302"/>
      <c r="EN96" s="302"/>
      <c r="EO96" s="302"/>
      <c r="EP96" s="302"/>
      <c r="EQ96" s="302">
        <f>-0.00573866234138163</f>
        <v>-5.7386623413816298E-3</v>
      </c>
      <c r="ER96" s="302"/>
      <c r="ES96" s="302"/>
      <c r="ET96" s="302"/>
      <c r="EU96" s="302"/>
      <c r="EV96" s="302"/>
      <c r="EW96" s="302"/>
      <c r="EX96" s="302"/>
      <c r="EY96" s="302"/>
    </row>
    <row r="97" spans="1:155" s="27" customFormat="1" x14ac:dyDescent="0.2">
      <c r="A97" s="38"/>
      <c r="B97" s="37"/>
      <c r="C97" s="36">
        <f t="shared" si="9"/>
        <v>0</v>
      </c>
      <c r="D97" s="374" t="s">
        <v>2739</v>
      </c>
      <c r="E97" s="36">
        <f t="shared" si="12"/>
        <v>0</v>
      </c>
      <c r="F97" s="126" t="s">
        <v>228</v>
      </c>
      <c r="G97" s="302"/>
      <c r="H97" s="302"/>
      <c r="I97" s="302"/>
      <c r="J97" s="302"/>
      <c r="K97" s="302"/>
      <c r="L97" s="302"/>
      <c r="M97" s="302"/>
      <c r="N97" s="302"/>
      <c r="O97" s="302"/>
      <c r="P97" s="100"/>
      <c r="Q97" s="302"/>
      <c r="R97" s="302"/>
      <c r="S97" s="302"/>
      <c r="T97" s="302"/>
      <c r="U97" s="302"/>
      <c r="V97" s="302"/>
      <c r="W97" s="302"/>
      <c r="X97" s="302"/>
      <c r="Y97" s="100"/>
      <c r="Z97" s="100"/>
      <c r="AA97" s="100"/>
      <c r="AB97" s="100"/>
      <c r="AC97" s="100"/>
      <c r="AD97" s="100"/>
      <c r="AE97" s="100"/>
      <c r="AF97" s="302"/>
      <c r="AG97" s="100"/>
      <c r="AH97" s="302"/>
      <c r="AI97" s="100"/>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c r="CE97" s="302"/>
      <c r="CF97" s="302"/>
      <c r="CG97" s="302"/>
      <c r="CH97" s="302"/>
      <c r="CI97" s="302"/>
      <c r="CJ97" s="302"/>
      <c r="CK97" s="302"/>
      <c r="CL97" s="302"/>
      <c r="CM97" s="302"/>
      <c r="CN97" s="302"/>
      <c r="CO97" s="302"/>
      <c r="CP97" s="302"/>
      <c r="CQ97" s="302"/>
      <c r="CR97" s="302"/>
      <c r="CS97" s="302"/>
      <c r="CT97" s="302"/>
      <c r="CU97" s="302"/>
      <c r="CV97" s="302"/>
      <c r="CW97" s="302"/>
      <c r="CX97" s="302"/>
      <c r="CY97" s="302"/>
      <c r="CZ97" s="302"/>
      <c r="DA97" s="302"/>
      <c r="DB97" s="302"/>
      <c r="DC97" s="302"/>
      <c r="DD97" s="302"/>
      <c r="DE97" s="302"/>
      <c r="DF97" s="302"/>
      <c r="DG97" s="302"/>
      <c r="DH97" s="302"/>
      <c r="DI97" s="302"/>
      <c r="DJ97" s="302"/>
      <c r="DK97" s="302"/>
      <c r="DL97" s="302"/>
      <c r="DM97" s="302"/>
      <c r="DN97" s="302"/>
      <c r="DO97" s="302"/>
      <c r="DP97" s="302"/>
      <c r="DQ97" s="302">
        <v>5.7386623413816333E-3</v>
      </c>
      <c r="DR97" s="302"/>
      <c r="DS97" s="302"/>
      <c r="DT97" s="302"/>
      <c r="DU97" s="302"/>
      <c r="DV97" s="302"/>
      <c r="DW97" s="302"/>
      <c r="DX97" s="302"/>
      <c r="DY97" s="302"/>
      <c r="DZ97" s="302"/>
      <c r="EA97" s="302"/>
      <c r="EB97" s="302"/>
      <c r="EC97" s="302"/>
      <c r="ED97" s="302"/>
      <c r="EE97" s="302"/>
      <c r="EF97" s="302"/>
      <c r="EG97" s="302"/>
      <c r="EH97" s="302"/>
      <c r="EI97" s="302"/>
      <c r="EJ97" s="302"/>
      <c r="EK97" s="302"/>
      <c r="EL97" s="302"/>
      <c r="EM97" s="302"/>
      <c r="EN97" s="302"/>
      <c r="EO97" s="302"/>
      <c r="EP97" s="302"/>
      <c r="EQ97" s="302">
        <f>-0.00573866234138163</f>
        <v>-5.7386623413816298E-3</v>
      </c>
      <c r="ER97" s="302"/>
      <c r="ES97" s="302"/>
      <c r="ET97" s="302"/>
      <c r="EU97" s="302"/>
      <c r="EV97" s="302"/>
      <c r="EW97" s="302"/>
      <c r="EX97" s="302"/>
      <c r="EY97" s="302"/>
    </row>
    <row r="98" spans="1:155" s="27" customFormat="1" x14ac:dyDescent="0.2">
      <c r="A98" s="38"/>
      <c r="B98" s="37"/>
      <c r="C98" s="36">
        <f t="shared" si="9"/>
        <v>0</v>
      </c>
      <c r="D98" s="374" t="s">
        <v>2740</v>
      </c>
      <c r="E98" s="36">
        <f t="shared" si="12"/>
        <v>0</v>
      </c>
      <c r="F98" s="126" t="s">
        <v>228</v>
      </c>
      <c r="G98" s="302"/>
      <c r="H98" s="302"/>
      <c r="I98" s="302"/>
      <c r="J98" s="302"/>
      <c r="K98" s="302"/>
      <c r="L98" s="302"/>
      <c r="M98" s="302"/>
      <c r="N98" s="302"/>
      <c r="O98" s="302"/>
      <c r="P98" s="100"/>
      <c r="Q98" s="302"/>
      <c r="R98" s="302"/>
      <c r="S98" s="302"/>
      <c r="T98" s="302"/>
      <c r="U98" s="302"/>
      <c r="V98" s="302"/>
      <c r="W98" s="302"/>
      <c r="X98" s="302"/>
      <c r="Y98" s="100"/>
      <c r="Z98" s="100"/>
      <c r="AA98" s="100"/>
      <c r="AB98" s="100"/>
      <c r="AC98" s="100"/>
      <c r="AD98" s="100"/>
      <c r="AE98" s="100"/>
      <c r="AF98" s="302"/>
      <c r="AG98" s="100"/>
      <c r="AH98" s="302"/>
      <c r="AI98" s="100"/>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c r="CE98" s="302"/>
      <c r="CF98" s="302"/>
      <c r="CG98" s="302"/>
      <c r="CH98" s="302"/>
      <c r="CI98" s="302"/>
      <c r="CJ98" s="302"/>
      <c r="CK98" s="302"/>
      <c r="CL98" s="302"/>
      <c r="CM98" s="302"/>
      <c r="CN98" s="302"/>
      <c r="CO98" s="302"/>
      <c r="CP98" s="302"/>
      <c r="CQ98" s="302"/>
      <c r="CR98" s="302"/>
      <c r="CS98" s="302"/>
      <c r="CT98" s="302"/>
      <c r="CU98" s="302"/>
      <c r="CV98" s="302"/>
      <c r="CW98" s="302"/>
      <c r="CX98" s="302"/>
      <c r="CY98" s="302"/>
      <c r="CZ98" s="302"/>
      <c r="DA98" s="302"/>
      <c r="DB98" s="302"/>
      <c r="DC98" s="302"/>
      <c r="DD98" s="302"/>
      <c r="DE98" s="302"/>
      <c r="DF98" s="302"/>
      <c r="DG98" s="302"/>
      <c r="DH98" s="302"/>
      <c r="DI98" s="302"/>
      <c r="DJ98" s="302"/>
      <c r="DK98" s="302"/>
      <c r="DL98" s="302"/>
      <c r="DM98" s="302"/>
      <c r="DN98" s="302"/>
      <c r="DO98" s="302"/>
      <c r="DP98" s="302"/>
      <c r="DQ98" s="302"/>
      <c r="DR98" s="302">
        <f>0.0138623333333333</f>
        <v>1.3862333333333299E-2</v>
      </c>
      <c r="DS98" s="302"/>
      <c r="DT98" s="302"/>
      <c r="DU98" s="302"/>
      <c r="DV98" s="302"/>
      <c r="DW98" s="302"/>
      <c r="DX98" s="302"/>
      <c r="DY98" s="302"/>
      <c r="DZ98" s="302">
        <f>-0.0138623333333333</f>
        <v>-1.3862333333333299E-2</v>
      </c>
      <c r="EA98" s="302"/>
      <c r="EB98" s="302"/>
      <c r="EC98" s="302"/>
      <c r="ED98" s="302"/>
      <c r="EE98" s="302"/>
      <c r="EF98" s="302"/>
      <c r="EG98" s="302"/>
      <c r="EH98" s="302"/>
      <c r="EI98" s="302"/>
      <c r="EJ98" s="302"/>
      <c r="EK98" s="302"/>
      <c r="EL98" s="302"/>
      <c r="EM98" s="302"/>
      <c r="EN98" s="302"/>
      <c r="EO98" s="302"/>
      <c r="EP98" s="302"/>
      <c r="EQ98" s="302"/>
      <c r="ER98" s="302"/>
      <c r="ES98" s="302"/>
      <c r="ET98" s="302"/>
      <c r="EU98" s="302"/>
      <c r="EV98" s="302"/>
      <c r="EW98" s="302"/>
      <c r="EX98" s="302"/>
      <c r="EY98" s="302"/>
    </row>
    <row r="99" spans="1:155" s="27" customFormat="1" x14ac:dyDescent="0.2">
      <c r="A99" s="38"/>
      <c r="B99" s="37"/>
      <c r="C99" s="36">
        <f t="shared" si="9"/>
        <v>0</v>
      </c>
      <c r="D99" s="374" t="s">
        <v>2741</v>
      </c>
      <c r="E99" s="36">
        <f t="shared" si="12"/>
        <v>0</v>
      </c>
      <c r="F99" s="126" t="s">
        <v>228</v>
      </c>
      <c r="G99" s="302"/>
      <c r="H99" s="302"/>
      <c r="I99" s="302"/>
      <c r="J99" s="302"/>
      <c r="K99" s="302"/>
      <c r="L99" s="302"/>
      <c r="M99" s="302"/>
      <c r="N99" s="302"/>
      <c r="O99" s="302"/>
      <c r="P99" s="100"/>
      <c r="Q99" s="302"/>
      <c r="R99" s="302"/>
      <c r="S99" s="302"/>
      <c r="T99" s="302"/>
      <c r="U99" s="302"/>
      <c r="V99" s="302"/>
      <c r="W99" s="302"/>
      <c r="X99" s="302"/>
      <c r="Y99" s="100"/>
      <c r="Z99" s="100"/>
      <c r="AA99" s="100"/>
      <c r="AB99" s="100"/>
      <c r="AC99" s="100"/>
      <c r="AD99" s="100"/>
      <c r="AE99" s="100"/>
      <c r="AF99" s="302"/>
      <c r="AG99" s="100"/>
      <c r="AH99" s="302"/>
      <c r="AI99" s="100"/>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c r="CE99" s="302"/>
      <c r="CF99" s="302"/>
      <c r="CG99" s="302"/>
      <c r="CH99" s="302"/>
      <c r="CI99" s="302"/>
      <c r="CJ99" s="302"/>
      <c r="CK99" s="302"/>
      <c r="CL99" s="302"/>
      <c r="CM99" s="302"/>
      <c r="CN99" s="302"/>
      <c r="CO99" s="302"/>
      <c r="CP99" s="302"/>
      <c r="CQ99" s="302"/>
      <c r="CR99" s="302"/>
      <c r="CS99" s="302"/>
      <c r="CT99" s="302"/>
      <c r="CU99" s="302"/>
      <c r="CV99" s="302"/>
      <c r="CW99" s="302"/>
      <c r="CX99" s="302"/>
      <c r="CY99" s="302"/>
      <c r="CZ99" s="302"/>
      <c r="DA99" s="302"/>
      <c r="DB99" s="302"/>
      <c r="DC99" s="302"/>
      <c r="DD99" s="302"/>
      <c r="DE99" s="302"/>
      <c r="DF99" s="302"/>
      <c r="DG99" s="302"/>
      <c r="DH99" s="302"/>
      <c r="DI99" s="302"/>
      <c r="DJ99" s="302"/>
      <c r="DK99" s="302"/>
      <c r="DL99" s="302"/>
      <c r="DM99" s="302"/>
      <c r="DN99" s="302"/>
      <c r="DO99" s="302"/>
      <c r="DP99" s="302"/>
      <c r="DQ99" s="302"/>
      <c r="DR99" s="302">
        <f>0.0138623333333333</f>
        <v>1.3862333333333299E-2</v>
      </c>
      <c r="DS99" s="302"/>
      <c r="DT99" s="302"/>
      <c r="DU99" s="302"/>
      <c r="DV99" s="302"/>
      <c r="DW99" s="302"/>
      <c r="DX99" s="302"/>
      <c r="DY99" s="302"/>
      <c r="DZ99" s="302"/>
      <c r="EA99" s="302">
        <f>-0.0138623333333333</f>
        <v>-1.3862333333333299E-2</v>
      </c>
      <c r="EB99" s="302"/>
      <c r="EC99" s="302"/>
      <c r="ED99" s="302"/>
      <c r="EE99" s="302"/>
      <c r="EF99" s="302"/>
      <c r="EG99" s="302"/>
      <c r="EH99" s="302"/>
      <c r="EI99" s="302"/>
      <c r="EJ99" s="302"/>
      <c r="EK99" s="302"/>
      <c r="EL99" s="302"/>
      <c r="EM99" s="302"/>
      <c r="EN99" s="302"/>
      <c r="EO99" s="302"/>
      <c r="EP99" s="302"/>
      <c r="EQ99" s="302"/>
      <c r="ER99" s="302"/>
      <c r="ES99" s="302"/>
      <c r="ET99" s="302"/>
      <c r="EU99" s="302"/>
      <c r="EV99" s="302"/>
      <c r="EW99" s="302"/>
      <c r="EX99" s="302"/>
      <c r="EY99" s="302"/>
    </row>
    <row r="100" spans="1:155" s="27" customFormat="1" ht="24" x14ac:dyDescent="0.2">
      <c r="A100" s="38"/>
      <c r="B100" s="37"/>
      <c r="C100" s="36">
        <f t="shared" si="9"/>
        <v>2.2179733333333278</v>
      </c>
      <c r="D100" s="66" t="s">
        <v>2742</v>
      </c>
      <c r="E100" s="36">
        <f t="shared" si="12"/>
        <v>1.3862333333333299E-2</v>
      </c>
      <c r="F100" s="126" t="s">
        <v>228</v>
      </c>
      <c r="G100" s="302"/>
      <c r="H100" s="302"/>
      <c r="I100" s="302"/>
      <c r="J100" s="302"/>
      <c r="K100" s="302"/>
      <c r="L100" s="302"/>
      <c r="M100" s="302"/>
      <c r="N100" s="302"/>
      <c r="O100" s="302"/>
      <c r="P100" s="100"/>
      <c r="Q100" s="302"/>
      <c r="R100" s="302"/>
      <c r="S100" s="302"/>
      <c r="T100" s="302"/>
      <c r="U100" s="302"/>
      <c r="V100" s="302"/>
      <c r="W100" s="302"/>
      <c r="X100" s="302"/>
      <c r="Y100" s="100"/>
      <c r="Z100" s="100"/>
      <c r="AA100" s="100"/>
      <c r="AB100" s="100"/>
      <c r="AC100" s="100"/>
      <c r="AD100" s="100"/>
      <c r="AE100" s="100"/>
      <c r="AF100" s="302"/>
      <c r="AG100" s="100"/>
      <c r="AH100" s="302"/>
      <c r="AI100" s="100"/>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c r="CE100" s="302"/>
      <c r="CF100" s="302"/>
      <c r="CG100" s="302"/>
      <c r="CH100" s="302"/>
      <c r="CI100" s="302"/>
      <c r="CJ100" s="302"/>
      <c r="CK100" s="302"/>
      <c r="CL100" s="302"/>
      <c r="CM100" s="302"/>
      <c r="CN100" s="302"/>
      <c r="CO100" s="302"/>
      <c r="CP100" s="302"/>
      <c r="CQ100" s="302"/>
      <c r="CR100" s="302"/>
      <c r="CS100" s="302"/>
      <c r="CT100" s="302"/>
      <c r="CU100" s="302"/>
      <c r="CV100" s="302"/>
      <c r="CW100" s="302"/>
      <c r="CX100" s="302"/>
      <c r="CY100" s="302"/>
      <c r="CZ100" s="302"/>
      <c r="DA100" s="302"/>
      <c r="DB100" s="302"/>
      <c r="DC100" s="302"/>
      <c r="DD100" s="302"/>
      <c r="DE100" s="302"/>
      <c r="DF100" s="302"/>
      <c r="DG100" s="302"/>
      <c r="DH100" s="302"/>
      <c r="DI100" s="302"/>
      <c r="DJ100" s="302"/>
      <c r="DK100" s="302"/>
      <c r="DL100" s="302"/>
      <c r="DM100" s="302"/>
      <c r="DN100" s="302"/>
      <c r="DO100" s="302"/>
      <c r="DP100" s="302"/>
      <c r="DQ100" s="302"/>
      <c r="DR100" s="302"/>
      <c r="DS100" s="302"/>
      <c r="DT100" s="302"/>
      <c r="DU100" s="302"/>
      <c r="DV100" s="302"/>
      <c r="DW100" s="302"/>
      <c r="DX100" s="302"/>
      <c r="DY100" s="302"/>
      <c r="DZ100" s="302">
        <f>0.0138623333333333</f>
        <v>1.3862333333333299E-2</v>
      </c>
      <c r="EA100" s="302"/>
      <c r="EB100" s="302"/>
      <c r="EC100" s="302"/>
      <c r="ED100" s="302"/>
      <c r="EE100" s="302"/>
      <c r="EF100" s="302"/>
      <c r="EG100" s="302"/>
      <c r="EH100" s="302"/>
      <c r="EI100" s="302"/>
      <c r="EJ100" s="302"/>
      <c r="EK100" s="302"/>
      <c r="EL100" s="302"/>
      <c r="EM100" s="302"/>
      <c r="EN100" s="302"/>
      <c r="EO100" s="302"/>
      <c r="EP100" s="302"/>
      <c r="EQ100" s="302"/>
      <c r="ER100" s="302"/>
      <c r="ES100" s="302"/>
      <c r="ET100" s="302"/>
      <c r="EU100" s="302"/>
      <c r="EV100" s="302"/>
      <c r="EW100" s="302"/>
      <c r="EX100" s="302"/>
      <c r="EY100" s="302"/>
    </row>
    <row r="101" spans="1:155" s="27" customFormat="1" x14ac:dyDescent="0.2">
      <c r="A101" s="38"/>
      <c r="B101" s="37"/>
      <c r="C101" s="36">
        <f t="shared" si="9"/>
        <v>1.1089866666666672</v>
      </c>
      <c r="D101" s="3" t="s">
        <v>2743</v>
      </c>
      <c r="E101" s="36">
        <f t="shared" si="12"/>
        <v>6.9311666666666697E-3</v>
      </c>
      <c r="F101" s="126" t="s">
        <v>228</v>
      </c>
      <c r="G101" s="302"/>
      <c r="H101" s="302"/>
      <c r="I101" s="302"/>
      <c r="J101" s="302"/>
      <c r="K101" s="302"/>
      <c r="L101" s="302"/>
      <c r="M101" s="302"/>
      <c r="N101" s="302"/>
      <c r="O101" s="302"/>
      <c r="P101" s="100"/>
      <c r="Q101" s="302"/>
      <c r="R101" s="302"/>
      <c r="S101" s="302"/>
      <c r="T101" s="302"/>
      <c r="U101" s="302"/>
      <c r="V101" s="302"/>
      <c r="W101" s="302"/>
      <c r="X101" s="302"/>
      <c r="Y101" s="100"/>
      <c r="Z101" s="100"/>
      <c r="AA101" s="100"/>
      <c r="AB101" s="100"/>
      <c r="AC101" s="100"/>
      <c r="AD101" s="100"/>
      <c r="AE101" s="100"/>
      <c r="AF101" s="302"/>
      <c r="AG101" s="100"/>
      <c r="AH101" s="302"/>
      <c r="AI101" s="100"/>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c r="CE101" s="302"/>
      <c r="CF101" s="302"/>
      <c r="CG101" s="302"/>
      <c r="CH101" s="302"/>
      <c r="CI101" s="302"/>
      <c r="CJ101" s="302"/>
      <c r="CK101" s="302"/>
      <c r="CL101" s="302"/>
      <c r="CM101" s="302"/>
      <c r="CN101" s="302"/>
      <c r="CO101" s="302"/>
      <c r="CP101" s="302"/>
      <c r="CQ101" s="302"/>
      <c r="CR101" s="302"/>
      <c r="CS101" s="302"/>
      <c r="CT101" s="302"/>
      <c r="CU101" s="302"/>
      <c r="CV101" s="302"/>
      <c r="CW101" s="302"/>
      <c r="CX101" s="302"/>
      <c r="CY101" s="302"/>
      <c r="CZ101" s="302"/>
      <c r="DA101" s="302"/>
      <c r="DB101" s="302"/>
      <c r="DC101" s="302"/>
      <c r="DD101" s="302"/>
      <c r="DE101" s="302"/>
      <c r="DF101" s="302"/>
      <c r="DG101" s="302"/>
      <c r="DH101" s="302"/>
      <c r="DI101" s="302"/>
      <c r="DJ101" s="302"/>
      <c r="DK101" s="302"/>
      <c r="DL101" s="302"/>
      <c r="DM101" s="302"/>
      <c r="DN101" s="302"/>
      <c r="DO101" s="302"/>
      <c r="DP101" s="302"/>
      <c r="DQ101" s="302"/>
      <c r="DR101" s="302"/>
      <c r="DS101" s="302"/>
      <c r="DT101" s="302"/>
      <c r="DU101" s="302"/>
      <c r="DV101" s="302"/>
      <c r="DW101" s="302"/>
      <c r="DX101" s="302"/>
      <c r="DY101" s="302"/>
      <c r="DZ101" s="302"/>
      <c r="EA101" s="302">
        <f>0.00693116666666667</f>
        <v>6.9311666666666697E-3</v>
      </c>
      <c r="EB101" s="302"/>
      <c r="EC101" s="302"/>
      <c r="ED101" s="302"/>
      <c r="EE101" s="302"/>
      <c r="EF101" s="302"/>
      <c r="EG101" s="302"/>
      <c r="EH101" s="302"/>
      <c r="EI101" s="302"/>
      <c r="EJ101" s="302"/>
      <c r="EK101" s="302"/>
      <c r="EL101" s="302"/>
      <c r="EM101" s="302"/>
      <c r="EN101" s="302"/>
      <c r="EO101" s="302"/>
      <c r="EP101" s="302"/>
      <c r="EQ101" s="302"/>
      <c r="ER101" s="302"/>
      <c r="ES101" s="302"/>
      <c r="ET101" s="302"/>
      <c r="EU101" s="302"/>
      <c r="EV101" s="302"/>
      <c r="EW101" s="302"/>
      <c r="EX101" s="302"/>
      <c r="EY101" s="302"/>
    </row>
    <row r="102" spans="1:155" s="27" customFormat="1" x14ac:dyDescent="0.2">
      <c r="A102" s="38"/>
      <c r="B102" s="37"/>
      <c r="C102" s="36">
        <f t="shared" si="9"/>
        <v>1.1089866666666672</v>
      </c>
      <c r="D102" s="3" t="s">
        <v>2744</v>
      </c>
      <c r="E102" s="36">
        <f t="shared" si="12"/>
        <v>6.9311666666666697E-3</v>
      </c>
      <c r="F102" s="126" t="s">
        <v>228</v>
      </c>
      <c r="G102" s="302"/>
      <c r="H102" s="302"/>
      <c r="I102" s="302"/>
      <c r="J102" s="302"/>
      <c r="K102" s="302"/>
      <c r="L102" s="302"/>
      <c r="M102" s="302"/>
      <c r="N102" s="302"/>
      <c r="O102" s="302"/>
      <c r="P102" s="100"/>
      <c r="Q102" s="302"/>
      <c r="R102" s="302"/>
      <c r="S102" s="302"/>
      <c r="T102" s="302"/>
      <c r="U102" s="302"/>
      <c r="V102" s="302"/>
      <c r="W102" s="302"/>
      <c r="X102" s="302"/>
      <c r="Y102" s="100"/>
      <c r="Z102" s="100"/>
      <c r="AA102" s="100"/>
      <c r="AB102" s="100"/>
      <c r="AC102" s="100"/>
      <c r="AD102" s="100"/>
      <c r="AE102" s="100"/>
      <c r="AF102" s="302"/>
      <c r="AG102" s="100"/>
      <c r="AH102" s="302"/>
      <c r="AI102" s="100"/>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c r="CE102" s="302"/>
      <c r="CF102" s="302"/>
      <c r="CG102" s="302"/>
      <c r="CH102" s="302"/>
      <c r="CI102" s="302"/>
      <c r="CJ102" s="302"/>
      <c r="CK102" s="302"/>
      <c r="CL102" s="302"/>
      <c r="CM102" s="302"/>
      <c r="CN102" s="302"/>
      <c r="CO102" s="302"/>
      <c r="CP102" s="302"/>
      <c r="CQ102" s="302"/>
      <c r="CR102" s="302"/>
      <c r="CS102" s="302"/>
      <c r="CT102" s="302"/>
      <c r="CU102" s="302"/>
      <c r="CV102" s="302"/>
      <c r="CW102" s="302"/>
      <c r="CX102" s="302"/>
      <c r="CY102" s="302"/>
      <c r="CZ102" s="302"/>
      <c r="DA102" s="302"/>
      <c r="DB102" s="302"/>
      <c r="DC102" s="302"/>
      <c r="DD102" s="302"/>
      <c r="DE102" s="302"/>
      <c r="DF102" s="302"/>
      <c r="DG102" s="302"/>
      <c r="DH102" s="302"/>
      <c r="DI102" s="302"/>
      <c r="DJ102" s="302"/>
      <c r="DK102" s="302"/>
      <c r="DL102" s="302"/>
      <c r="DM102" s="302"/>
      <c r="DN102" s="302"/>
      <c r="DO102" s="302"/>
      <c r="DP102" s="302"/>
      <c r="DQ102" s="302"/>
      <c r="DR102" s="302"/>
      <c r="DS102" s="302"/>
      <c r="DT102" s="302"/>
      <c r="DU102" s="302"/>
      <c r="DV102" s="302"/>
      <c r="DW102" s="302"/>
      <c r="DX102" s="302"/>
      <c r="DY102" s="302"/>
      <c r="DZ102" s="302"/>
      <c r="EA102" s="302">
        <f>0.00693116666666667</f>
        <v>6.9311666666666697E-3</v>
      </c>
      <c r="EB102" s="302"/>
      <c r="EC102" s="302"/>
      <c r="ED102" s="302"/>
      <c r="EE102" s="302"/>
      <c r="EF102" s="302"/>
      <c r="EG102" s="302"/>
      <c r="EH102" s="302"/>
      <c r="EI102" s="302"/>
      <c r="EJ102" s="302"/>
      <c r="EK102" s="302"/>
      <c r="EL102" s="302"/>
      <c r="EM102" s="302"/>
      <c r="EN102" s="302"/>
      <c r="EO102" s="302"/>
      <c r="EP102" s="302"/>
      <c r="EQ102" s="302"/>
      <c r="ER102" s="302"/>
      <c r="ES102" s="302"/>
      <c r="ET102" s="302"/>
      <c r="EU102" s="302"/>
      <c r="EV102" s="302"/>
      <c r="EW102" s="302"/>
      <c r="EX102" s="302"/>
      <c r="EY102" s="302"/>
    </row>
    <row r="103" spans="1:155" s="27" customFormat="1" x14ac:dyDescent="0.2">
      <c r="A103" s="38"/>
      <c r="B103" s="37"/>
      <c r="C103" s="36">
        <f t="shared" si="9"/>
        <v>1.4359466666666665</v>
      </c>
      <c r="D103" s="335" t="s">
        <v>2244</v>
      </c>
      <c r="E103" s="36">
        <f t="shared" si="12"/>
        <v>8.9746666666666655E-3</v>
      </c>
      <c r="F103" s="126" t="s">
        <v>228</v>
      </c>
      <c r="G103" s="302"/>
      <c r="H103" s="302"/>
      <c r="I103" s="302"/>
      <c r="J103" s="302"/>
      <c r="K103" s="302"/>
      <c r="L103" s="302"/>
      <c r="M103" s="302"/>
      <c r="N103" s="302"/>
      <c r="O103" s="302"/>
      <c r="P103" s="100"/>
      <c r="Q103" s="302"/>
      <c r="R103" s="302"/>
      <c r="S103" s="302"/>
      <c r="T103" s="302"/>
      <c r="U103" s="302"/>
      <c r="V103" s="302"/>
      <c r="W103" s="302"/>
      <c r="X103" s="302"/>
      <c r="Y103" s="100"/>
      <c r="Z103" s="100"/>
      <c r="AA103" s="100"/>
      <c r="AB103" s="100"/>
      <c r="AC103" s="100"/>
      <c r="AD103" s="100"/>
      <c r="AE103" s="100"/>
      <c r="AF103" s="302"/>
      <c r="AG103" s="100"/>
      <c r="AH103" s="302"/>
      <c r="AI103" s="100"/>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c r="CE103" s="302"/>
      <c r="CF103" s="302"/>
      <c r="CG103" s="302"/>
      <c r="CH103" s="302"/>
      <c r="CI103" s="302"/>
      <c r="CJ103" s="302"/>
      <c r="CK103" s="302"/>
      <c r="CL103" s="302"/>
      <c r="CM103" s="302"/>
      <c r="CN103" s="302"/>
      <c r="CO103" s="302"/>
      <c r="CP103" s="302"/>
      <c r="CQ103" s="302"/>
      <c r="CR103" s="302"/>
      <c r="CS103" s="302"/>
      <c r="CT103" s="302"/>
      <c r="CU103" s="302"/>
      <c r="CV103" s="302"/>
      <c r="CW103" s="302"/>
      <c r="CX103" s="302"/>
      <c r="CY103" s="302"/>
      <c r="CZ103" s="302"/>
      <c r="DA103" s="302"/>
      <c r="DB103" s="302"/>
      <c r="DC103" s="302"/>
      <c r="DD103" s="302"/>
      <c r="DE103" s="302"/>
      <c r="DF103" s="302"/>
      <c r="DG103" s="302"/>
      <c r="DH103" s="302"/>
      <c r="DI103" s="302"/>
      <c r="DJ103" s="302"/>
      <c r="DK103" s="302"/>
      <c r="DL103" s="302"/>
      <c r="DM103" s="302"/>
      <c r="DN103" s="302"/>
      <c r="DO103" s="302"/>
      <c r="DP103" s="302"/>
      <c r="DQ103" s="302"/>
      <c r="DR103" s="302"/>
      <c r="DS103" s="302"/>
      <c r="DT103" s="302">
        <v>2.7724666666666665E-2</v>
      </c>
      <c r="DU103" s="302"/>
      <c r="DV103" s="302"/>
      <c r="DW103" s="302"/>
      <c r="DX103" s="302"/>
      <c r="DY103" s="302"/>
      <c r="DZ103" s="302"/>
      <c r="EA103" s="302"/>
      <c r="EB103" s="302"/>
      <c r="EC103" s="302"/>
      <c r="ED103" s="302"/>
      <c r="EE103" s="302"/>
      <c r="EF103" s="302">
        <v>-1.8749999999999999E-2</v>
      </c>
      <c r="EG103" s="302"/>
      <c r="EH103" s="302"/>
      <c r="EI103" s="302"/>
      <c r="EJ103" s="302"/>
      <c r="EK103" s="302"/>
      <c r="EL103" s="302"/>
      <c r="EM103" s="302"/>
      <c r="EN103" s="302"/>
      <c r="EO103" s="302"/>
      <c r="EP103" s="302"/>
      <c r="EQ103" s="302"/>
      <c r="ER103" s="302"/>
      <c r="ES103" s="302"/>
      <c r="ET103" s="302"/>
      <c r="EU103" s="302"/>
      <c r="EV103" s="302"/>
      <c r="EW103" s="302"/>
      <c r="EX103" s="302"/>
      <c r="EY103" s="302"/>
    </row>
    <row r="104" spans="1:155" s="27" customFormat="1" x14ac:dyDescent="0.2">
      <c r="A104" s="38"/>
      <c r="B104" s="37"/>
      <c r="C104" s="36">
        <f t="shared" si="9"/>
        <v>0</v>
      </c>
      <c r="D104" s="376" t="s">
        <v>1519</v>
      </c>
      <c r="E104" s="36">
        <f t="shared" si="12"/>
        <v>0</v>
      </c>
      <c r="F104" s="126" t="s">
        <v>228</v>
      </c>
      <c r="G104" s="302"/>
      <c r="H104" s="302"/>
      <c r="I104" s="302"/>
      <c r="J104" s="302"/>
      <c r="K104" s="302"/>
      <c r="L104" s="302"/>
      <c r="M104" s="302"/>
      <c r="N104" s="302"/>
      <c r="O104" s="302"/>
      <c r="P104" s="100"/>
      <c r="Q104" s="302"/>
      <c r="R104" s="302"/>
      <c r="S104" s="302"/>
      <c r="T104" s="302"/>
      <c r="U104" s="302"/>
      <c r="V104" s="302"/>
      <c r="W104" s="302"/>
      <c r="X104" s="302"/>
      <c r="Y104" s="100"/>
      <c r="Z104" s="100"/>
      <c r="AA104" s="100"/>
      <c r="AB104" s="100"/>
      <c r="AC104" s="100"/>
      <c r="AD104" s="100"/>
      <c r="AE104" s="100"/>
      <c r="AF104" s="302"/>
      <c r="AG104" s="100"/>
      <c r="AH104" s="302"/>
      <c r="AI104" s="100"/>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c r="CE104" s="302"/>
      <c r="CF104" s="302"/>
      <c r="CG104" s="302"/>
      <c r="CH104" s="302"/>
      <c r="CI104" s="302"/>
      <c r="CJ104" s="302"/>
      <c r="CK104" s="302"/>
      <c r="CL104" s="302"/>
      <c r="CM104" s="302"/>
      <c r="CN104" s="302"/>
      <c r="CO104" s="302"/>
      <c r="CP104" s="302"/>
      <c r="CQ104" s="302"/>
      <c r="CR104" s="302"/>
      <c r="CS104" s="302"/>
      <c r="CT104" s="302"/>
      <c r="CU104" s="302"/>
      <c r="CV104" s="302"/>
      <c r="CW104" s="302"/>
      <c r="CX104" s="302"/>
      <c r="CY104" s="302"/>
      <c r="CZ104" s="302"/>
      <c r="DA104" s="302"/>
      <c r="DB104" s="302"/>
      <c r="DC104" s="302"/>
      <c r="DD104" s="302"/>
      <c r="DE104" s="302"/>
      <c r="DF104" s="302"/>
      <c r="DG104" s="302"/>
      <c r="DH104" s="302"/>
      <c r="DI104" s="302"/>
      <c r="DJ104" s="302">
        <v>-2.7724666666666665E-2</v>
      </c>
      <c r="DK104" s="302"/>
      <c r="DL104" s="302"/>
      <c r="DM104" s="302"/>
      <c r="DN104" s="302"/>
      <c r="DO104" s="302"/>
      <c r="DP104" s="302"/>
      <c r="DQ104" s="302"/>
      <c r="DR104" s="302"/>
      <c r="DS104" s="302"/>
      <c r="DT104" s="302">
        <v>2.7724666666666665E-2</v>
      </c>
      <c r="DU104" s="302"/>
      <c r="DV104" s="302"/>
      <c r="DW104" s="302"/>
      <c r="DX104" s="302"/>
      <c r="DY104" s="302"/>
      <c r="DZ104" s="302"/>
      <c r="EA104" s="302"/>
      <c r="EB104" s="302"/>
      <c r="EC104" s="302"/>
      <c r="ED104" s="302"/>
      <c r="EE104" s="302"/>
      <c r="EF104" s="302"/>
      <c r="EG104" s="302"/>
      <c r="EH104" s="302"/>
      <c r="EI104" s="302"/>
      <c r="EJ104" s="302"/>
      <c r="EK104" s="302"/>
      <c r="EL104" s="302"/>
      <c r="EM104" s="302"/>
      <c r="EN104" s="302"/>
      <c r="EO104" s="302"/>
      <c r="EP104" s="302"/>
      <c r="EQ104" s="302"/>
      <c r="ER104" s="302"/>
      <c r="ES104" s="302"/>
      <c r="ET104" s="302"/>
      <c r="EU104" s="302"/>
      <c r="EV104" s="302"/>
      <c r="EW104" s="302"/>
      <c r="EX104" s="302"/>
      <c r="EY104" s="302"/>
    </row>
    <row r="105" spans="1:155" s="27" customFormat="1" x14ac:dyDescent="0.2">
      <c r="A105" s="38"/>
      <c r="B105" s="37" t="s">
        <v>8629</v>
      </c>
      <c r="C105" s="36">
        <f t="shared" si="9"/>
        <v>4.4359466666666663</v>
      </c>
      <c r="D105" s="20" t="s">
        <v>2745</v>
      </c>
      <c r="E105" s="36">
        <f t="shared" si="12"/>
        <v>2.7724666666666665E-2</v>
      </c>
      <c r="F105" s="126" t="s">
        <v>228</v>
      </c>
      <c r="G105" s="302"/>
      <c r="H105" s="302"/>
      <c r="I105" s="302"/>
      <c r="J105" s="302"/>
      <c r="K105" s="302"/>
      <c r="L105" s="302"/>
      <c r="M105" s="302"/>
      <c r="N105" s="302"/>
      <c r="O105" s="302"/>
      <c r="P105" s="100"/>
      <c r="Q105" s="302"/>
      <c r="R105" s="302"/>
      <c r="S105" s="302"/>
      <c r="T105" s="302"/>
      <c r="U105" s="302"/>
      <c r="V105" s="302"/>
      <c r="W105" s="302"/>
      <c r="X105" s="302"/>
      <c r="Y105" s="100"/>
      <c r="Z105" s="100"/>
      <c r="AA105" s="100"/>
      <c r="AB105" s="100"/>
      <c r="AC105" s="100"/>
      <c r="AD105" s="100"/>
      <c r="AE105" s="100"/>
      <c r="AF105" s="302"/>
      <c r="AG105" s="100"/>
      <c r="AH105" s="302"/>
      <c r="AI105" s="100"/>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c r="CE105" s="302"/>
      <c r="CF105" s="302"/>
      <c r="CG105" s="302"/>
      <c r="CH105" s="302"/>
      <c r="CI105" s="302"/>
      <c r="CJ105" s="302"/>
      <c r="CK105" s="302"/>
      <c r="CL105" s="302"/>
      <c r="CM105" s="302"/>
      <c r="CN105" s="302"/>
      <c r="CO105" s="302"/>
      <c r="CP105" s="302"/>
      <c r="CQ105" s="302"/>
      <c r="CR105" s="302"/>
      <c r="CS105" s="302"/>
      <c r="CT105" s="302"/>
      <c r="CU105" s="302"/>
      <c r="CV105" s="302"/>
      <c r="CW105" s="302"/>
      <c r="CX105" s="302"/>
      <c r="CY105" s="302"/>
      <c r="CZ105" s="302"/>
      <c r="DA105" s="302"/>
      <c r="DB105" s="302"/>
      <c r="DC105" s="302"/>
      <c r="DD105" s="302"/>
      <c r="DE105" s="302"/>
      <c r="DF105" s="302"/>
      <c r="DG105" s="302"/>
      <c r="DH105" s="302"/>
      <c r="DI105" s="302"/>
      <c r="DJ105" s="302"/>
      <c r="DK105" s="302"/>
      <c r="DL105" s="302"/>
      <c r="DM105" s="302"/>
      <c r="DN105" s="302"/>
      <c r="DO105" s="302"/>
      <c r="DP105" s="302"/>
      <c r="DQ105" s="302"/>
      <c r="DR105" s="302"/>
      <c r="DS105" s="302"/>
      <c r="DT105" s="302">
        <v>2.7724666666666665E-2</v>
      </c>
      <c r="DU105" s="302"/>
      <c r="DV105" s="302"/>
      <c r="DW105" s="302"/>
      <c r="DX105" s="302"/>
      <c r="DY105" s="302"/>
      <c r="DZ105" s="302"/>
      <c r="EA105" s="302"/>
      <c r="EB105" s="302"/>
      <c r="EC105" s="302"/>
      <c r="ED105" s="302"/>
      <c r="EE105" s="302"/>
      <c r="EF105" s="302"/>
      <c r="EG105" s="302"/>
      <c r="EH105" s="302"/>
      <c r="EI105" s="302"/>
      <c r="EJ105" s="302"/>
      <c r="EK105" s="302"/>
      <c r="EL105" s="302"/>
      <c r="EM105" s="302"/>
      <c r="EN105" s="302"/>
      <c r="EO105" s="302"/>
      <c r="EP105" s="302"/>
      <c r="EQ105" s="302"/>
      <c r="ER105" s="302"/>
      <c r="ES105" s="302"/>
      <c r="ET105" s="302"/>
      <c r="EU105" s="302"/>
      <c r="EV105" s="302"/>
      <c r="EW105" s="302"/>
      <c r="EX105" s="302"/>
      <c r="EY105" s="302"/>
    </row>
    <row r="106" spans="1:155" s="27" customFormat="1" x14ac:dyDescent="0.2">
      <c r="A106" s="38"/>
      <c r="B106" s="37"/>
      <c r="C106" s="36">
        <f t="shared" si="9"/>
        <v>0</v>
      </c>
      <c r="D106" s="375" t="s">
        <v>2165</v>
      </c>
      <c r="E106" s="36">
        <f t="shared" si="12"/>
        <v>0</v>
      </c>
      <c r="F106" s="126" t="s">
        <v>228</v>
      </c>
      <c r="G106" s="302"/>
      <c r="H106" s="302"/>
      <c r="I106" s="302"/>
      <c r="J106" s="302"/>
      <c r="K106" s="302"/>
      <c r="L106" s="302"/>
      <c r="M106" s="302"/>
      <c r="N106" s="302"/>
      <c r="O106" s="302"/>
      <c r="P106" s="100"/>
      <c r="Q106" s="302"/>
      <c r="R106" s="302"/>
      <c r="S106" s="302"/>
      <c r="T106" s="302"/>
      <c r="U106" s="302"/>
      <c r="V106" s="302"/>
      <c r="W106" s="302"/>
      <c r="X106" s="302"/>
      <c r="Y106" s="100"/>
      <c r="Z106" s="100"/>
      <c r="AA106" s="100"/>
      <c r="AB106" s="100"/>
      <c r="AC106" s="100"/>
      <c r="AD106" s="100"/>
      <c r="AE106" s="100"/>
      <c r="AF106" s="302"/>
      <c r="AG106" s="100"/>
      <c r="AH106" s="302"/>
      <c r="AI106" s="100"/>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c r="CE106" s="302"/>
      <c r="CF106" s="302"/>
      <c r="CG106" s="302"/>
      <c r="CH106" s="302"/>
      <c r="CI106" s="302"/>
      <c r="CJ106" s="302"/>
      <c r="CK106" s="302"/>
      <c r="CL106" s="302"/>
      <c r="CM106" s="302"/>
      <c r="CN106" s="302"/>
      <c r="CO106" s="302"/>
      <c r="CP106" s="302"/>
      <c r="CQ106" s="302"/>
      <c r="CR106" s="302"/>
      <c r="CS106" s="302"/>
      <c r="CT106" s="302"/>
      <c r="CU106" s="302"/>
      <c r="CV106" s="302"/>
      <c r="CW106" s="302"/>
      <c r="CX106" s="302"/>
      <c r="CY106" s="302"/>
      <c r="CZ106" s="302"/>
      <c r="DA106" s="302"/>
      <c r="DB106" s="302"/>
      <c r="DC106" s="302"/>
      <c r="DD106" s="302"/>
      <c r="DE106" s="302"/>
      <c r="DF106" s="302"/>
      <c r="DG106" s="302"/>
      <c r="DH106" s="302"/>
      <c r="DI106" s="302"/>
      <c r="DJ106" s="302"/>
      <c r="DK106" s="302"/>
      <c r="DL106" s="302"/>
      <c r="DM106" s="302"/>
      <c r="DN106" s="302"/>
      <c r="DO106" s="302"/>
      <c r="DP106" s="302"/>
      <c r="DQ106" s="302"/>
      <c r="DR106" s="302"/>
      <c r="DS106" s="302"/>
      <c r="DT106" s="302"/>
      <c r="DU106" s="302"/>
      <c r="DV106" s="302"/>
      <c r="DW106" s="302"/>
      <c r="DX106" s="302"/>
      <c r="DY106" s="302"/>
      <c r="DZ106" s="302"/>
      <c r="EA106" s="302"/>
      <c r="EB106" s="302"/>
      <c r="EC106" s="302"/>
      <c r="ED106" s="302"/>
      <c r="EE106" s="302"/>
      <c r="EF106" s="302">
        <v>1.8749999999999999E-2</v>
      </c>
      <c r="EG106" s="302"/>
      <c r="EH106" s="302"/>
      <c r="EI106" s="302"/>
      <c r="EJ106" s="302"/>
      <c r="EK106" s="302"/>
      <c r="EL106" s="302"/>
      <c r="EM106" s="302">
        <v>-1.8749999999999999E-2</v>
      </c>
      <c r="EN106" s="302"/>
      <c r="EO106" s="302"/>
      <c r="EP106" s="302"/>
      <c r="EQ106" s="302"/>
      <c r="ER106" s="302"/>
      <c r="ES106" s="302"/>
      <c r="ET106" s="302"/>
      <c r="EU106" s="302"/>
      <c r="EV106" s="302"/>
      <c r="EW106" s="302"/>
      <c r="EX106" s="302"/>
      <c r="EY106" s="302"/>
    </row>
    <row r="107" spans="1:155" s="27" customFormat="1" x14ac:dyDescent="0.2">
      <c r="A107" s="38"/>
      <c r="B107" s="37"/>
      <c r="C107" s="36">
        <f t="shared" si="9"/>
        <v>0</v>
      </c>
      <c r="D107" s="375" t="s">
        <v>2367</v>
      </c>
      <c r="E107" s="36">
        <f t="shared" si="12"/>
        <v>0</v>
      </c>
      <c r="F107" s="126" t="s">
        <v>228</v>
      </c>
      <c r="G107" s="302"/>
      <c r="H107" s="302"/>
      <c r="I107" s="302"/>
      <c r="J107" s="302"/>
      <c r="K107" s="302"/>
      <c r="L107" s="302"/>
      <c r="M107" s="302"/>
      <c r="N107" s="302"/>
      <c r="O107" s="302"/>
      <c r="P107" s="100"/>
      <c r="Q107" s="302"/>
      <c r="R107" s="302"/>
      <c r="S107" s="302"/>
      <c r="T107" s="302"/>
      <c r="U107" s="302"/>
      <c r="V107" s="302"/>
      <c r="W107" s="302"/>
      <c r="X107" s="302"/>
      <c r="Y107" s="100"/>
      <c r="Z107" s="100"/>
      <c r="AA107" s="100"/>
      <c r="AB107" s="100"/>
      <c r="AC107" s="100"/>
      <c r="AD107" s="100"/>
      <c r="AE107" s="100"/>
      <c r="AF107" s="302"/>
      <c r="AG107" s="100"/>
      <c r="AH107" s="302"/>
      <c r="AI107" s="100"/>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c r="CE107" s="302"/>
      <c r="CF107" s="302"/>
      <c r="CG107" s="302"/>
      <c r="CH107" s="302"/>
      <c r="CI107" s="302"/>
      <c r="CJ107" s="302"/>
      <c r="CK107" s="302"/>
      <c r="CL107" s="302"/>
      <c r="CM107" s="302"/>
      <c r="CN107" s="302"/>
      <c r="CO107" s="302"/>
      <c r="CP107" s="302"/>
      <c r="CQ107" s="302"/>
      <c r="CR107" s="302"/>
      <c r="CS107" s="302"/>
      <c r="CT107" s="302"/>
      <c r="CU107" s="302"/>
      <c r="CV107" s="302"/>
      <c r="CW107" s="302"/>
      <c r="CX107" s="302"/>
      <c r="CY107" s="302"/>
      <c r="CZ107" s="302"/>
      <c r="DA107" s="302"/>
      <c r="DB107" s="302"/>
      <c r="DC107" s="302"/>
      <c r="DD107" s="302"/>
      <c r="DE107" s="302"/>
      <c r="DF107" s="302"/>
      <c r="DG107" s="302"/>
      <c r="DH107" s="302"/>
      <c r="DI107" s="302"/>
      <c r="DJ107" s="302"/>
      <c r="DK107" s="302"/>
      <c r="DL107" s="302"/>
      <c r="DM107" s="302"/>
      <c r="DN107" s="302"/>
      <c r="DO107" s="302"/>
      <c r="DP107" s="302"/>
      <c r="DQ107" s="302"/>
      <c r="DR107" s="302"/>
      <c r="DS107" s="302"/>
      <c r="DT107" s="302"/>
      <c r="DU107" s="302"/>
      <c r="DV107" s="302"/>
      <c r="DW107" s="302"/>
      <c r="DX107" s="302"/>
      <c r="DY107" s="302"/>
      <c r="DZ107" s="302"/>
      <c r="EA107" s="302"/>
      <c r="EB107" s="302"/>
      <c r="EC107" s="302"/>
      <c r="ED107" s="302"/>
      <c r="EE107" s="302"/>
      <c r="EF107" s="302"/>
      <c r="EG107" s="302"/>
      <c r="EH107" s="302"/>
      <c r="EI107" s="302"/>
      <c r="EJ107" s="302"/>
      <c r="EK107" s="302"/>
      <c r="EL107" s="302"/>
      <c r="EM107" s="302">
        <v>1.8749999999999999E-2</v>
      </c>
      <c r="EN107" s="302"/>
      <c r="EO107" s="302"/>
      <c r="EP107" s="302"/>
      <c r="EQ107" s="302"/>
      <c r="ER107" s="302">
        <v>-1.8749999999999999E-2</v>
      </c>
      <c r="ES107" s="302"/>
      <c r="ET107" s="302"/>
      <c r="EU107" s="302"/>
      <c r="EV107" s="302"/>
      <c r="EW107" s="302"/>
      <c r="EX107" s="302"/>
      <c r="EY107" s="302"/>
    </row>
    <row r="108" spans="1:155" s="27" customFormat="1" ht="25.5" x14ac:dyDescent="0.2">
      <c r="A108" s="38"/>
      <c r="B108" s="37" t="s">
        <v>156</v>
      </c>
      <c r="C108" s="36">
        <f t="shared" si="9"/>
        <v>1.5</v>
      </c>
      <c r="D108" s="20" t="s">
        <v>2746</v>
      </c>
      <c r="E108" s="36">
        <f t="shared" si="12"/>
        <v>9.3749999999999997E-3</v>
      </c>
      <c r="F108" s="126" t="s">
        <v>228</v>
      </c>
      <c r="G108" s="302"/>
      <c r="H108" s="302"/>
      <c r="I108" s="302"/>
      <c r="J108" s="302"/>
      <c r="K108" s="302"/>
      <c r="L108" s="302"/>
      <c r="M108" s="302"/>
      <c r="N108" s="302"/>
      <c r="O108" s="302"/>
      <c r="P108" s="100"/>
      <c r="Q108" s="302"/>
      <c r="R108" s="302"/>
      <c r="S108" s="302"/>
      <c r="T108" s="302"/>
      <c r="U108" s="302"/>
      <c r="V108" s="302"/>
      <c r="W108" s="302"/>
      <c r="X108" s="302"/>
      <c r="Y108" s="100"/>
      <c r="Z108" s="100"/>
      <c r="AA108" s="100"/>
      <c r="AB108" s="100"/>
      <c r="AC108" s="100"/>
      <c r="AD108" s="100"/>
      <c r="AE108" s="100"/>
      <c r="AF108" s="302"/>
      <c r="AG108" s="100"/>
      <c r="AH108" s="302"/>
      <c r="AI108" s="100"/>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c r="CE108" s="302"/>
      <c r="CF108" s="302"/>
      <c r="CG108" s="302"/>
      <c r="CH108" s="302"/>
      <c r="CI108" s="302"/>
      <c r="CJ108" s="302"/>
      <c r="CK108" s="302"/>
      <c r="CL108" s="302"/>
      <c r="CM108" s="302"/>
      <c r="CN108" s="302"/>
      <c r="CO108" s="302"/>
      <c r="CP108" s="302"/>
      <c r="CQ108" s="302"/>
      <c r="CR108" s="302"/>
      <c r="CS108" s="302"/>
      <c r="CT108" s="302"/>
      <c r="CU108" s="302"/>
      <c r="CV108" s="302"/>
      <c r="CW108" s="302"/>
      <c r="CX108" s="302"/>
      <c r="CY108" s="302"/>
      <c r="CZ108" s="302"/>
      <c r="DA108" s="302"/>
      <c r="DB108" s="302"/>
      <c r="DC108" s="302"/>
      <c r="DD108" s="302"/>
      <c r="DE108" s="302"/>
      <c r="DF108" s="302"/>
      <c r="DG108" s="302"/>
      <c r="DH108" s="302"/>
      <c r="DI108" s="302"/>
      <c r="DJ108" s="302"/>
      <c r="DK108" s="302"/>
      <c r="DL108" s="302"/>
      <c r="DM108" s="302"/>
      <c r="DN108" s="302"/>
      <c r="DO108" s="302"/>
      <c r="DP108" s="302"/>
      <c r="DQ108" s="302"/>
      <c r="DR108" s="302"/>
      <c r="DS108" s="302"/>
      <c r="DT108" s="302"/>
      <c r="DU108" s="302"/>
      <c r="DV108" s="302"/>
      <c r="DW108" s="302"/>
      <c r="DX108" s="302"/>
      <c r="DY108" s="302"/>
      <c r="DZ108" s="302"/>
      <c r="EA108" s="302"/>
      <c r="EB108" s="302"/>
      <c r="EC108" s="302"/>
      <c r="ED108" s="302"/>
      <c r="EE108" s="302"/>
      <c r="EF108" s="302"/>
      <c r="EG108" s="302"/>
      <c r="EH108" s="302"/>
      <c r="EI108" s="302"/>
      <c r="EJ108" s="302"/>
      <c r="EK108" s="302"/>
      <c r="EL108" s="302"/>
      <c r="EM108" s="302"/>
      <c r="EN108" s="302"/>
      <c r="EO108" s="302"/>
      <c r="EP108" s="302"/>
      <c r="EQ108" s="302"/>
      <c r="ER108" s="302">
        <v>9.3749999999999997E-3</v>
      </c>
      <c r="ES108" s="302"/>
      <c r="ET108" s="302"/>
      <c r="EU108" s="302"/>
      <c r="EV108" s="302"/>
      <c r="EW108" s="302"/>
      <c r="EX108" s="302"/>
      <c r="EY108" s="302"/>
    </row>
    <row r="109" spans="1:155" s="27" customFormat="1" x14ac:dyDescent="0.2">
      <c r="A109" s="38"/>
      <c r="B109" s="37"/>
      <c r="C109" s="36">
        <f t="shared" si="9"/>
        <v>0</v>
      </c>
      <c r="D109" s="375" t="s">
        <v>2570</v>
      </c>
      <c r="E109" s="36">
        <f t="shared" si="12"/>
        <v>0</v>
      </c>
      <c r="F109" s="126" t="s">
        <v>228</v>
      </c>
      <c r="G109" s="302"/>
      <c r="H109" s="302"/>
      <c r="I109" s="302"/>
      <c r="J109" s="302"/>
      <c r="K109" s="302"/>
      <c r="L109" s="302"/>
      <c r="M109" s="302"/>
      <c r="N109" s="302"/>
      <c r="O109" s="302"/>
      <c r="P109" s="100"/>
      <c r="Q109" s="302"/>
      <c r="R109" s="302"/>
      <c r="S109" s="302"/>
      <c r="T109" s="302"/>
      <c r="U109" s="302"/>
      <c r="V109" s="302"/>
      <c r="W109" s="302"/>
      <c r="X109" s="302"/>
      <c r="Y109" s="100"/>
      <c r="Z109" s="100"/>
      <c r="AA109" s="100"/>
      <c r="AB109" s="100"/>
      <c r="AC109" s="100"/>
      <c r="AD109" s="100"/>
      <c r="AE109" s="100"/>
      <c r="AF109" s="302"/>
      <c r="AG109" s="100"/>
      <c r="AH109" s="302"/>
      <c r="AI109" s="100"/>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c r="CE109" s="302"/>
      <c r="CF109" s="302"/>
      <c r="CG109" s="302"/>
      <c r="CH109" s="302"/>
      <c r="CI109" s="302"/>
      <c r="CJ109" s="302"/>
      <c r="CK109" s="302"/>
      <c r="CL109" s="302"/>
      <c r="CM109" s="302"/>
      <c r="CN109" s="302"/>
      <c r="CO109" s="302"/>
      <c r="CP109" s="302"/>
      <c r="CQ109" s="302"/>
      <c r="CR109" s="302"/>
      <c r="CS109" s="302"/>
      <c r="CT109" s="302"/>
      <c r="CU109" s="302"/>
      <c r="CV109" s="302"/>
      <c r="CW109" s="302"/>
      <c r="CX109" s="302"/>
      <c r="CY109" s="302"/>
      <c r="CZ109" s="302"/>
      <c r="DA109" s="302"/>
      <c r="DB109" s="302"/>
      <c r="DC109" s="302"/>
      <c r="DD109" s="302"/>
      <c r="DE109" s="302"/>
      <c r="DF109" s="302"/>
      <c r="DG109" s="302"/>
      <c r="DH109" s="302"/>
      <c r="DI109" s="302"/>
      <c r="DJ109" s="302"/>
      <c r="DK109" s="302"/>
      <c r="DL109" s="302"/>
      <c r="DM109" s="302"/>
      <c r="DN109" s="302"/>
      <c r="DO109" s="302"/>
      <c r="DP109" s="302"/>
      <c r="DQ109" s="302"/>
      <c r="DR109" s="302"/>
      <c r="DS109" s="302"/>
      <c r="DT109" s="302"/>
      <c r="DU109" s="302"/>
      <c r="DV109" s="302"/>
      <c r="DW109" s="302"/>
      <c r="DX109" s="302"/>
      <c r="DY109" s="302"/>
      <c r="DZ109" s="302"/>
      <c r="EA109" s="302"/>
      <c r="EB109" s="302"/>
      <c r="EC109" s="302"/>
      <c r="ED109" s="302"/>
      <c r="EE109" s="302"/>
      <c r="EF109" s="302"/>
      <c r="EG109" s="302"/>
      <c r="EH109" s="302"/>
      <c r="EI109" s="302"/>
      <c r="EJ109" s="302"/>
      <c r="EK109" s="302"/>
      <c r="EL109" s="302"/>
      <c r="EM109" s="302"/>
      <c r="EN109" s="302"/>
      <c r="EO109" s="302"/>
      <c r="EP109" s="302"/>
      <c r="EQ109" s="302"/>
      <c r="ER109" s="302">
        <v>9.3749999999999997E-3</v>
      </c>
      <c r="ES109" s="302"/>
      <c r="ET109" s="302"/>
      <c r="EU109" s="302">
        <v>-4.6874999999999998E-3</v>
      </c>
      <c r="EV109" s="302">
        <v>-4.6874999999999998E-3</v>
      </c>
      <c r="EW109" s="302"/>
      <c r="EX109" s="302"/>
      <c r="EY109" s="302"/>
    </row>
    <row r="110" spans="1:155" s="27" customFormat="1" ht="25.5" x14ac:dyDescent="0.2">
      <c r="A110" s="38"/>
      <c r="B110" s="37" t="s">
        <v>156</v>
      </c>
      <c r="C110" s="36">
        <f t="shared" si="9"/>
        <v>0.75</v>
      </c>
      <c r="D110" s="20" t="s">
        <v>2747</v>
      </c>
      <c r="E110" s="36">
        <f t="shared" ref="E110:E173" si="13">SUM(G110:HS110)</f>
        <v>4.6874999999999998E-3</v>
      </c>
      <c r="F110" s="126" t="s">
        <v>228</v>
      </c>
      <c r="G110" s="302"/>
      <c r="H110" s="302"/>
      <c r="I110" s="302"/>
      <c r="J110" s="302"/>
      <c r="K110" s="302"/>
      <c r="L110" s="302"/>
      <c r="M110" s="302"/>
      <c r="N110" s="302"/>
      <c r="O110" s="302"/>
      <c r="P110" s="100"/>
      <c r="Q110" s="302"/>
      <c r="R110" s="302"/>
      <c r="S110" s="302"/>
      <c r="T110" s="302"/>
      <c r="U110" s="302"/>
      <c r="V110" s="302"/>
      <c r="W110" s="302"/>
      <c r="X110" s="302"/>
      <c r="Y110" s="100"/>
      <c r="Z110" s="100"/>
      <c r="AA110" s="100"/>
      <c r="AB110" s="100"/>
      <c r="AC110" s="100"/>
      <c r="AD110" s="100"/>
      <c r="AE110" s="100"/>
      <c r="AF110" s="302"/>
      <c r="AG110" s="100"/>
      <c r="AH110" s="302"/>
      <c r="AI110" s="100"/>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c r="CE110" s="302"/>
      <c r="CF110" s="302"/>
      <c r="CG110" s="302"/>
      <c r="CH110" s="302"/>
      <c r="CI110" s="302"/>
      <c r="CJ110" s="302"/>
      <c r="CK110" s="302"/>
      <c r="CL110" s="302"/>
      <c r="CM110" s="302"/>
      <c r="CN110" s="302"/>
      <c r="CO110" s="302"/>
      <c r="CP110" s="302"/>
      <c r="CQ110" s="302"/>
      <c r="CR110" s="302"/>
      <c r="CS110" s="302"/>
      <c r="CT110" s="302"/>
      <c r="CU110" s="302"/>
      <c r="CV110" s="302"/>
      <c r="CW110" s="302"/>
      <c r="CX110" s="302"/>
      <c r="CY110" s="302"/>
      <c r="CZ110" s="302"/>
      <c r="DA110" s="302"/>
      <c r="DB110" s="302"/>
      <c r="DC110" s="302"/>
      <c r="DD110" s="302"/>
      <c r="DE110" s="302"/>
      <c r="DF110" s="302"/>
      <c r="DG110" s="302"/>
      <c r="DH110" s="302"/>
      <c r="DI110" s="302"/>
      <c r="DJ110" s="302"/>
      <c r="DK110" s="302"/>
      <c r="DL110" s="302"/>
      <c r="DM110" s="302"/>
      <c r="DN110" s="302"/>
      <c r="DO110" s="302"/>
      <c r="DP110" s="302"/>
      <c r="DQ110" s="302"/>
      <c r="DR110" s="302"/>
      <c r="DS110" s="302"/>
      <c r="DT110" s="302"/>
      <c r="DU110" s="302"/>
      <c r="DV110" s="302"/>
      <c r="DW110" s="302"/>
      <c r="DX110" s="302"/>
      <c r="DY110" s="302"/>
      <c r="DZ110" s="302"/>
      <c r="EA110" s="302"/>
      <c r="EB110" s="302"/>
      <c r="EC110" s="302"/>
      <c r="ED110" s="302"/>
      <c r="EE110" s="302"/>
      <c r="EF110" s="302"/>
      <c r="EG110" s="302"/>
      <c r="EH110" s="302"/>
      <c r="EI110" s="302"/>
      <c r="EJ110" s="302"/>
      <c r="EK110" s="302"/>
      <c r="EL110" s="302"/>
      <c r="EM110" s="302"/>
      <c r="EN110" s="302"/>
      <c r="EO110" s="302"/>
      <c r="EP110" s="302"/>
      <c r="EQ110" s="302"/>
      <c r="ER110" s="302"/>
      <c r="ES110" s="302"/>
      <c r="ET110" s="302"/>
      <c r="EU110" s="302">
        <v>4.6874999999999998E-3</v>
      </c>
      <c r="EV110" s="302"/>
      <c r="EW110" s="302"/>
      <c r="EX110" s="302"/>
      <c r="EY110" s="302"/>
    </row>
    <row r="111" spans="1:155" s="27" customFormat="1" ht="25.5" x14ac:dyDescent="0.2">
      <c r="A111" s="38"/>
      <c r="B111" s="37" t="s">
        <v>156</v>
      </c>
      <c r="C111" s="36">
        <f t="shared" si="9"/>
        <v>0.75</v>
      </c>
      <c r="D111" s="20" t="s">
        <v>2748</v>
      </c>
      <c r="E111" s="36">
        <f t="shared" si="13"/>
        <v>4.6874999999999998E-3</v>
      </c>
      <c r="F111" s="126" t="s">
        <v>228</v>
      </c>
      <c r="G111" s="302"/>
      <c r="H111" s="302"/>
      <c r="I111" s="302"/>
      <c r="J111" s="302"/>
      <c r="K111" s="302"/>
      <c r="L111" s="302"/>
      <c r="M111" s="302"/>
      <c r="N111" s="302"/>
      <c r="O111" s="302"/>
      <c r="P111" s="100"/>
      <c r="Q111" s="302"/>
      <c r="R111" s="302"/>
      <c r="S111" s="302"/>
      <c r="T111" s="302"/>
      <c r="U111" s="302"/>
      <c r="V111" s="302"/>
      <c r="W111" s="302"/>
      <c r="X111" s="302"/>
      <c r="Y111" s="100"/>
      <c r="Z111" s="100"/>
      <c r="AA111" s="100"/>
      <c r="AB111" s="100"/>
      <c r="AC111" s="100"/>
      <c r="AD111" s="100"/>
      <c r="AE111" s="100"/>
      <c r="AF111" s="302"/>
      <c r="AG111" s="100"/>
      <c r="AH111" s="302"/>
      <c r="AI111" s="100"/>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c r="CE111" s="302"/>
      <c r="CF111" s="302"/>
      <c r="CG111" s="302"/>
      <c r="CH111" s="302"/>
      <c r="CI111" s="302"/>
      <c r="CJ111" s="302"/>
      <c r="CK111" s="302"/>
      <c r="CL111" s="302"/>
      <c r="CM111" s="302"/>
      <c r="CN111" s="302"/>
      <c r="CO111" s="302"/>
      <c r="CP111" s="302"/>
      <c r="CQ111" s="302"/>
      <c r="CR111" s="302"/>
      <c r="CS111" s="302"/>
      <c r="CT111" s="302"/>
      <c r="CU111" s="302"/>
      <c r="CV111" s="302"/>
      <c r="CW111" s="302"/>
      <c r="CX111" s="302"/>
      <c r="CY111" s="302"/>
      <c r="CZ111" s="302"/>
      <c r="DA111" s="302"/>
      <c r="DB111" s="302"/>
      <c r="DC111" s="302"/>
      <c r="DD111" s="302"/>
      <c r="DE111" s="302"/>
      <c r="DF111" s="302"/>
      <c r="DG111" s="302"/>
      <c r="DH111" s="302"/>
      <c r="DI111" s="302"/>
      <c r="DJ111" s="302"/>
      <c r="DK111" s="302"/>
      <c r="DL111" s="302"/>
      <c r="DM111" s="302"/>
      <c r="DN111" s="302"/>
      <c r="DO111" s="302"/>
      <c r="DP111" s="302"/>
      <c r="DQ111" s="302"/>
      <c r="DR111" s="302"/>
      <c r="DS111" s="302"/>
      <c r="DT111" s="302"/>
      <c r="DU111" s="302"/>
      <c r="DV111" s="302"/>
      <c r="DW111" s="302"/>
      <c r="DX111" s="302"/>
      <c r="DY111" s="302"/>
      <c r="DZ111" s="302"/>
      <c r="EA111" s="302"/>
      <c r="EB111" s="302"/>
      <c r="EC111" s="302"/>
      <c r="ED111" s="302"/>
      <c r="EE111" s="302"/>
      <c r="EF111" s="302"/>
      <c r="EG111" s="302"/>
      <c r="EH111" s="302"/>
      <c r="EI111" s="302"/>
      <c r="EJ111" s="302"/>
      <c r="EK111" s="302"/>
      <c r="EL111" s="302"/>
      <c r="EM111" s="302"/>
      <c r="EN111" s="302"/>
      <c r="EO111" s="302"/>
      <c r="EP111" s="302"/>
      <c r="EQ111" s="302"/>
      <c r="ER111" s="302"/>
      <c r="ES111" s="302"/>
      <c r="ET111" s="302"/>
      <c r="EU111" s="302"/>
      <c r="EV111" s="302">
        <v>4.6874999999999998E-3</v>
      </c>
      <c r="EW111" s="302"/>
      <c r="EX111" s="302"/>
      <c r="EY111" s="302"/>
    </row>
    <row r="112" spans="1:155" s="27" customFormat="1" x14ac:dyDescent="0.2">
      <c r="A112" s="38"/>
      <c r="B112" s="37"/>
      <c r="C112" s="36">
        <f t="shared" si="9"/>
        <v>0</v>
      </c>
      <c r="D112" s="375" t="s">
        <v>2749</v>
      </c>
      <c r="E112" s="36">
        <f t="shared" si="13"/>
        <v>0</v>
      </c>
      <c r="F112" s="126" t="s">
        <v>228</v>
      </c>
      <c r="G112" s="302"/>
      <c r="H112" s="302"/>
      <c r="I112" s="302"/>
      <c r="J112" s="302"/>
      <c r="K112" s="302"/>
      <c r="L112" s="302"/>
      <c r="M112" s="302"/>
      <c r="N112" s="302"/>
      <c r="O112" s="302"/>
      <c r="P112" s="100"/>
      <c r="Q112" s="302"/>
      <c r="R112" s="302"/>
      <c r="S112" s="302"/>
      <c r="T112" s="302"/>
      <c r="U112" s="302"/>
      <c r="V112" s="302"/>
      <c r="W112" s="302"/>
      <c r="X112" s="302"/>
      <c r="Y112" s="100"/>
      <c r="Z112" s="100"/>
      <c r="AA112" s="100"/>
      <c r="AB112" s="100"/>
      <c r="AC112" s="100"/>
      <c r="AD112" s="100"/>
      <c r="AE112" s="100"/>
      <c r="AF112" s="302"/>
      <c r="AG112" s="100"/>
      <c r="AH112" s="302"/>
      <c r="AI112" s="100"/>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c r="CE112" s="302"/>
      <c r="CF112" s="302"/>
      <c r="CG112" s="302"/>
      <c r="CH112" s="302"/>
      <c r="CI112" s="302"/>
      <c r="CJ112" s="302"/>
      <c r="CK112" s="302"/>
      <c r="CL112" s="302"/>
      <c r="CM112" s="302"/>
      <c r="CN112" s="302"/>
      <c r="CO112" s="302"/>
      <c r="CP112" s="302"/>
      <c r="CQ112" s="302"/>
      <c r="CR112" s="302"/>
      <c r="CS112" s="302"/>
      <c r="CT112" s="302"/>
      <c r="CU112" s="302"/>
      <c r="CV112" s="302"/>
      <c r="CW112" s="302"/>
      <c r="CX112" s="302"/>
      <c r="CY112" s="302"/>
      <c r="CZ112" s="302"/>
      <c r="DA112" s="302"/>
      <c r="DB112" s="302"/>
      <c r="DC112" s="302"/>
      <c r="DD112" s="302"/>
      <c r="DE112" s="302"/>
      <c r="DF112" s="302"/>
      <c r="DG112" s="302"/>
      <c r="DH112" s="302"/>
      <c r="DI112" s="302"/>
      <c r="DJ112" s="302"/>
      <c r="DK112" s="302"/>
      <c r="DL112" s="302"/>
      <c r="DM112" s="302"/>
      <c r="DN112" s="302"/>
      <c r="DO112" s="302"/>
      <c r="DP112" s="302"/>
      <c r="DQ112" s="302"/>
      <c r="DR112" s="302"/>
      <c r="DS112" s="302"/>
      <c r="DT112" s="302"/>
      <c r="DU112" s="302"/>
      <c r="DV112" s="302"/>
      <c r="DW112" s="302"/>
      <c r="DX112" s="302"/>
      <c r="DY112" s="302"/>
      <c r="DZ112" s="302"/>
      <c r="EA112" s="302"/>
      <c r="EB112" s="302"/>
      <c r="EC112" s="302"/>
      <c r="ED112" s="302"/>
      <c r="EE112" s="302"/>
      <c r="EF112" s="302"/>
      <c r="EG112" s="302"/>
      <c r="EH112" s="302"/>
      <c r="EI112" s="302"/>
      <c r="EJ112" s="302"/>
      <c r="EK112" s="302"/>
      <c r="EL112" s="302"/>
      <c r="EM112" s="302"/>
      <c r="EN112" s="302"/>
      <c r="EO112" s="302"/>
      <c r="EP112" s="302"/>
      <c r="EQ112" s="302">
        <f>0.0114773246827633</f>
        <v>1.14773246827633E-2</v>
      </c>
      <c r="ER112" s="302"/>
      <c r="ES112" s="302"/>
      <c r="ET112" s="302"/>
      <c r="EU112" s="302"/>
      <c r="EV112" s="302"/>
      <c r="EW112" s="302">
        <f>-EQ112</f>
        <v>-1.14773246827633E-2</v>
      </c>
      <c r="EX112" s="302"/>
      <c r="EY112" s="302"/>
    </row>
    <row r="113" spans="1:156" s="27" customFormat="1" x14ac:dyDescent="0.2">
      <c r="A113" s="38"/>
      <c r="B113" s="37"/>
      <c r="C113" s="36">
        <f t="shared" si="9"/>
        <v>0</v>
      </c>
      <c r="D113" s="375" t="s">
        <v>2582</v>
      </c>
      <c r="E113" s="36">
        <f t="shared" si="13"/>
        <v>0</v>
      </c>
      <c r="F113" s="126" t="s">
        <v>228</v>
      </c>
      <c r="G113" s="302"/>
      <c r="H113" s="302"/>
      <c r="I113" s="302"/>
      <c r="J113" s="302"/>
      <c r="K113" s="302"/>
      <c r="L113" s="302"/>
      <c r="M113" s="302"/>
      <c r="N113" s="302"/>
      <c r="O113" s="302"/>
      <c r="P113" s="100"/>
      <c r="Q113" s="302"/>
      <c r="R113" s="302"/>
      <c r="S113" s="302"/>
      <c r="T113" s="302"/>
      <c r="U113" s="302"/>
      <c r="V113" s="302"/>
      <c r="W113" s="302"/>
      <c r="X113" s="302"/>
      <c r="Y113" s="100"/>
      <c r="Z113" s="100"/>
      <c r="AA113" s="100"/>
      <c r="AB113" s="100"/>
      <c r="AC113" s="100"/>
      <c r="AD113" s="100"/>
      <c r="AE113" s="100"/>
      <c r="AF113" s="302"/>
      <c r="AG113" s="100"/>
      <c r="AH113" s="302"/>
      <c r="AI113" s="100"/>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2"/>
      <c r="CH113" s="302"/>
      <c r="CI113" s="302"/>
      <c r="CJ113" s="302"/>
      <c r="CK113" s="302"/>
      <c r="CL113" s="302"/>
      <c r="CM113" s="302"/>
      <c r="CN113" s="302"/>
      <c r="CO113" s="302"/>
      <c r="CP113" s="302"/>
      <c r="CQ113" s="302"/>
      <c r="CR113" s="302"/>
      <c r="CS113" s="302"/>
      <c r="CT113" s="302"/>
      <c r="CU113" s="302"/>
      <c r="CV113" s="302"/>
      <c r="CW113" s="302"/>
      <c r="CX113" s="302"/>
      <c r="CY113" s="302"/>
      <c r="CZ113" s="302"/>
      <c r="DA113" s="302"/>
      <c r="DB113" s="302"/>
      <c r="DC113" s="302"/>
      <c r="DD113" s="302"/>
      <c r="DE113" s="302"/>
      <c r="DF113" s="302"/>
      <c r="DG113" s="302"/>
      <c r="DH113" s="302"/>
      <c r="DI113" s="302"/>
      <c r="DJ113" s="302"/>
      <c r="DK113" s="302"/>
      <c r="DL113" s="302"/>
      <c r="DM113" s="302"/>
      <c r="DN113" s="302"/>
      <c r="DO113" s="302"/>
      <c r="DP113" s="302"/>
      <c r="DQ113" s="302"/>
      <c r="DR113" s="302"/>
      <c r="DS113" s="302"/>
      <c r="DT113" s="302"/>
      <c r="DU113" s="302"/>
      <c r="DV113" s="302"/>
      <c r="DW113" s="302"/>
      <c r="DX113" s="302"/>
      <c r="DY113" s="302"/>
      <c r="DZ113" s="302"/>
      <c r="EA113" s="302"/>
      <c r="EB113" s="302"/>
      <c r="EC113" s="302"/>
      <c r="ED113" s="302"/>
      <c r="EE113" s="302"/>
      <c r="EF113" s="302"/>
      <c r="EG113" s="302"/>
      <c r="EH113" s="302"/>
      <c r="EI113" s="302"/>
      <c r="EJ113" s="302"/>
      <c r="EK113" s="302"/>
      <c r="EL113" s="302"/>
      <c r="EM113" s="302"/>
      <c r="EN113" s="302"/>
      <c r="EO113" s="302"/>
      <c r="EP113" s="302"/>
      <c r="EQ113" s="302"/>
      <c r="ER113" s="302"/>
      <c r="ES113" s="302"/>
      <c r="ET113" s="302"/>
      <c r="EU113" s="302"/>
      <c r="EV113" s="302"/>
      <c r="EW113" s="302">
        <f>EQ112</f>
        <v>1.14773246827633E-2</v>
      </c>
      <c r="EX113" s="302">
        <f>-EW113</f>
        <v>-1.14773246827633E-2</v>
      </c>
      <c r="EY113" s="302"/>
    </row>
    <row r="114" spans="1:156" s="27" customFormat="1" ht="25.5" x14ac:dyDescent="0.2">
      <c r="A114" s="38"/>
      <c r="B114" s="37" t="s">
        <v>156</v>
      </c>
      <c r="C114" s="36">
        <f t="shared" si="9"/>
        <v>0.54867321263998758</v>
      </c>
      <c r="D114" s="20" t="s">
        <v>2750</v>
      </c>
      <c r="E114" s="36">
        <f t="shared" si="13"/>
        <v>3.4292075789999227E-3</v>
      </c>
      <c r="F114" s="126" t="s">
        <v>228</v>
      </c>
      <c r="G114" s="302"/>
      <c r="H114" s="302"/>
      <c r="I114" s="302"/>
      <c r="J114" s="302"/>
      <c r="K114" s="302"/>
      <c r="L114" s="302"/>
      <c r="M114" s="302"/>
      <c r="N114" s="302"/>
      <c r="O114" s="302"/>
      <c r="P114" s="100"/>
      <c r="Q114" s="302"/>
      <c r="R114" s="302"/>
      <c r="S114" s="302"/>
      <c r="T114" s="302"/>
      <c r="U114" s="302"/>
      <c r="V114" s="302"/>
      <c r="W114" s="302"/>
      <c r="X114" s="302"/>
      <c r="Y114" s="100"/>
      <c r="Z114" s="100"/>
      <c r="AA114" s="100"/>
      <c r="AB114" s="100"/>
      <c r="AC114" s="100"/>
      <c r="AD114" s="100"/>
      <c r="AE114" s="100"/>
      <c r="AF114" s="302"/>
      <c r="AG114" s="100"/>
      <c r="AH114" s="302"/>
      <c r="AI114" s="100"/>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c r="CE114" s="302"/>
      <c r="CF114" s="302"/>
      <c r="CG114" s="302"/>
      <c r="CH114" s="302"/>
      <c r="CI114" s="302"/>
      <c r="CJ114" s="302"/>
      <c r="CK114" s="302"/>
      <c r="CL114" s="302"/>
      <c r="CM114" s="302"/>
      <c r="CN114" s="302"/>
      <c r="CO114" s="302"/>
      <c r="CP114" s="302"/>
      <c r="CQ114" s="302"/>
      <c r="CR114" s="302"/>
      <c r="CS114" s="302"/>
      <c r="CT114" s="302"/>
      <c r="CU114" s="302"/>
      <c r="CV114" s="302"/>
      <c r="CW114" s="302"/>
      <c r="CX114" s="302"/>
      <c r="CY114" s="302"/>
      <c r="CZ114" s="302"/>
      <c r="DA114" s="302"/>
      <c r="DB114" s="302"/>
      <c r="DC114" s="302"/>
      <c r="DD114" s="302"/>
      <c r="DE114" s="302"/>
      <c r="DF114" s="302"/>
      <c r="DG114" s="302"/>
      <c r="DH114" s="302"/>
      <c r="DI114" s="302"/>
      <c r="DJ114" s="302"/>
      <c r="DK114" s="302"/>
      <c r="DL114" s="302"/>
      <c r="DM114" s="302"/>
      <c r="DN114" s="302"/>
      <c r="DO114" s="302"/>
      <c r="DP114" s="302"/>
      <c r="DQ114" s="302"/>
      <c r="DR114" s="302"/>
      <c r="DS114" s="302"/>
      <c r="DT114" s="302"/>
      <c r="DU114" s="302"/>
      <c r="DV114" s="302"/>
      <c r="DW114" s="302"/>
      <c r="DX114" s="302"/>
      <c r="DY114" s="302"/>
      <c r="DZ114" s="302"/>
      <c r="EA114" s="302"/>
      <c r="EB114" s="302"/>
      <c r="EC114" s="302"/>
      <c r="ED114" s="302"/>
      <c r="EE114" s="302"/>
      <c r="EF114" s="302"/>
      <c r="EG114" s="302"/>
      <c r="EH114" s="302"/>
      <c r="EI114" s="302"/>
      <c r="EJ114" s="302"/>
      <c r="EK114" s="302"/>
      <c r="EL114" s="302"/>
      <c r="EM114" s="302"/>
      <c r="EN114" s="302"/>
      <c r="EO114" s="302"/>
      <c r="EP114" s="302"/>
      <c r="EQ114" s="302"/>
      <c r="ER114" s="302"/>
      <c r="ES114" s="302"/>
      <c r="ET114" s="302"/>
      <c r="EU114" s="302"/>
      <c r="EV114" s="302"/>
      <c r="EW114" s="302"/>
      <c r="EX114" s="302">
        <f>(-EX113)*(0.00342940935102/0.011478)</f>
        <v>3.4292075789999227E-3</v>
      </c>
      <c r="EY114" s="302"/>
    </row>
    <row r="115" spans="1:156" s="27" customFormat="1" ht="25.5" x14ac:dyDescent="0.2">
      <c r="A115" s="38"/>
      <c r="B115" s="37" t="s">
        <v>156</v>
      </c>
      <c r="C115" s="36">
        <f t="shared" si="9"/>
        <v>1.28769873660214</v>
      </c>
      <c r="D115" s="20" t="s">
        <v>2751</v>
      </c>
      <c r="E115" s="36">
        <f t="shared" si="13"/>
        <v>8.0481171037633751E-3</v>
      </c>
      <c r="F115" s="126" t="s">
        <v>228</v>
      </c>
      <c r="G115" s="302"/>
      <c r="H115" s="302"/>
      <c r="I115" s="302"/>
      <c r="J115" s="302"/>
      <c r="K115" s="302"/>
      <c r="L115" s="302"/>
      <c r="M115" s="302"/>
      <c r="N115" s="302"/>
      <c r="O115" s="302"/>
      <c r="P115" s="100"/>
      <c r="Q115" s="302"/>
      <c r="R115" s="302"/>
      <c r="S115" s="302"/>
      <c r="T115" s="302"/>
      <c r="U115" s="302"/>
      <c r="V115" s="302"/>
      <c r="W115" s="302"/>
      <c r="X115" s="302"/>
      <c r="Y115" s="100"/>
      <c r="Z115" s="100"/>
      <c r="AA115" s="100"/>
      <c r="AB115" s="100"/>
      <c r="AC115" s="100"/>
      <c r="AD115" s="100"/>
      <c r="AE115" s="100"/>
      <c r="AF115" s="302"/>
      <c r="AG115" s="100"/>
      <c r="AH115" s="302"/>
      <c r="AI115" s="100"/>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c r="CE115" s="302"/>
      <c r="CF115" s="302"/>
      <c r="CG115" s="302"/>
      <c r="CH115" s="302"/>
      <c r="CI115" s="302"/>
      <c r="CJ115" s="302"/>
      <c r="CK115" s="302"/>
      <c r="CL115" s="302"/>
      <c r="CM115" s="302"/>
      <c r="CN115" s="302"/>
      <c r="CO115" s="302"/>
      <c r="CP115" s="302"/>
      <c r="CQ115" s="302"/>
      <c r="CR115" s="302"/>
      <c r="CS115" s="302"/>
      <c r="CT115" s="302"/>
      <c r="CU115" s="302"/>
      <c r="CV115" s="302"/>
      <c r="CW115" s="302"/>
      <c r="CX115" s="302"/>
      <c r="CY115" s="302"/>
      <c r="CZ115" s="302"/>
      <c r="DA115" s="302"/>
      <c r="DB115" s="302"/>
      <c r="DC115" s="302"/>
      <c r="DD115" s="302"/>
      <c r="DE115" s="302"/>
      <c r="DF115" s="302"/>
      <c r="DG115" s="302"/>
      <c r="DH115" s="302"/>
      <c r="DI115" s="302"/>
      <c r="DJ115" s="302"/>
      <c r="DK115" s="302"/>
      <c r="DL115" s="302"/>
      <c r="DM115" s="302"/>
      <c r="DN115" s="302"/>
      <c r="DO115" s="302"/>
      <c r="DP115" s="302"/>
      <c r="DQ115" s="302"/>
      <c r="DR115" s="302"/>
      <c r="DS115" s="302"/>
      <c r="DT115" s="302"/>
      <c r="DU115" s="302"/>
      <c r="DV115" s="302"/>
      <c r="DW115" s="302"/>
      <c r="DX115" s="302"/>
      <c r="DY115" s="302"/>
      <c r="DZ115" s="302"/>
      <c r="EA115" s="302"/>
      <c r="EB115" s="302"/>
      <c r="EC115" s="302"/>
      <c r="ED115" s="302"/>
      <c r="EE115" s="302"/>
      <c r="EF115" s="302"/>
      <c r="EG115" s="302"/>
      <c r="EH115" s="302"/>
      <c r="EI115" s="302"/>
      <c r="EJ115" s="302"/>
      <c r="EK115" s="302"/>
      <c r="EL115" s="302"/>
      <c r="EM115" s="302"/>
      <c r="EN115" s="302"/>
      <c r="EO115" s="302"/>
      <c r="EP115" s="302"/>
      <c r="EQ115" s="302"/>
      <c r="ER115" s="302"/>
      <c r="ES115" s="302"/>
      <c r="ET115" s="302"/>
      <c r="EU115" s="302"/>
      <c r="EV115" s="302"/>
      <c r="EW115" s="302"/>
      <c r="EX115" s="302">
        <f>(-EX113)*(0.00804859064898/0.011478)</f>
        <v>8.0481171037633751E-3</v>
      </c>
      <c r="EY115" s="302"/>
    </row>
    <row r="116" spans="1:156" s="27" customFormat="1" ht="25.5" x14ac:dyDescent="0.2">
      <c r="A116" s="38"/>
      <c r="B116" s="37" t="s">
        <v>156</v>
      </c>
      <c r="C116" s="36">
        <f t="shared" si="9"/>
        <v>0.20215548283573598</v>
      </c>
      <c r="D116" s="20" t="s">
        <v>164</v>
      </c>
      <c r="E116" s="36">
        <f t="shared" si="13"/>
        <v>1.2634717677233499E-3</v>
      </c>
      <c r="F116" s="126" t="s">
        <v>228</v>
      </c>
      <c r="G116" s="302"/>
      <c r="H116" s="302"/>
      <c r="I116" s="302"/>
      <c r="J116" s="302"/>
      <c r="K116" s="302"/>
      <c r="L116" s="302"/>
      <c r="M116" s="302"/>
      <c r="N116" s="302"/>
      <c r="O116" s="302"/>
      <c r="P116" s="100"/>
      <c r="Q116" s="302"/>
      <c r="R116" s="302"/>
      <c r="S116" s="302"/>
      <c r="T116" s="302"/>
      <c r="U116" s="302"/>
      <c r="V116" s="302"/>
      <c r="W116" s="302"/>
      <c r="X116" s="302"/>
      <c r="Y116" s="100"/>
      <c r="Z116" s="100"/>
      <c r="AA116" s="100"/>
      <c r="AB116" s="100"/>
      <c r="AC116" s="100"/>
      <c r="AD116" s="100"/>
      <c r="AE116" s="100"/>
      <c r="AF116" s="302"/>
      <c r="AG116" s="100"/>
      <c r="AH116" s="302"/>
      <c r="AI116" s="100"/>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c r="CE116" s="302"/>
      <c r="CF116" s="302"/>
      <c r="CG116" s="302"/>
      <c r="CH116" s="302"/>
      <c r="CI116" s="302"/>
      <c r="CJ116" s="302"/>
      <c r="CK116" s="302"/>
      <c r="CL116" s="302"/>
      <c r="CM116" s="302"/>
      <c r="CN116" s="302"/>
      <c r="CO116" s="302"/>
      <c r="CP116" s="302"/>
      <c r="CQ116" s="302"/>
      <c r="CR116" s="302"/>
      <c r="CS116" s="302"/>
      <c r="CT116" s="302"/>
      <c r="CU116" s="302"/>
      <c r="CV116" s="302"/>
      <c r="CW116" s="302"/>
      <c r="CX116" s="302"/>
      <c r="CY116" s="302"/>
      <c r="CZ116" s="302"/>
      <c r="DA116" s="302"/>
      <c r="DB116" s="302"/>
      <c r="DC116" s="302"/>
      <c r="DD116" s="302"/>
      <c r="DE116" s="302"/>
      <c r="DF116" s="302"/>
      <c r="DG116" s="302"/>
      <c r="DH116" s="302"/>
      <c r="DI116" s="302"/>
      <c r="DJ116" s="302"/>
      <c r="DK116" s="302"/>
      <c r="DL116" s="302"/>
      <c r="DM116" s="302"/>
      <c r="DN116" s="302"/>
      <c r="DO116" s="302"/>
      <c r="DP116" s="302"/>
      <c r="DQ116" s="302"/>
      <c r="DR116" s="302"/>
      <c r="DS116" s="302"/>
      <c r="DT116" s="302"/>
      <c r="DU116" s="302"/>
      <c r="DV116" s="302"/>
      <c r="DW116" s="302"/>
      <c r="DX116" s="302"/>
      <c r="DY116" s="302"/>
      <c r="DZ116" s="302"/>
      <c r="EA116" s="302"/>
      <c r="EB116" s="302"/>
      <c r="EC116" s="302"/>
      <c r="ED116" s="302">
        <v>1.2634717677233499E-3</v>
      </c>
      <c r="EE116" s="302"/>
      <c r="EF116" s="302"/>
      <c r="EG116" s="302"/>
      <c r="EH116" s="302"/>
      <c r="EI116" s="302"/>
      <c r="EJ116" s="302"/>
      <c r="EK116" s="302"/>
      <c r="EL116" s="302"/>
      <c r="EM116" s="302"/>
      <c r="EN116" s="302"/>
      <c r="EO116" s="302"/>
      <c r="EP116" s="302"/>
      <c r="EQ116" s="302"/>
      <c r="ER116" s="302"/>
      <c r="ES116" s="302"/>
      <c r="ET116" s="302"/>
      <c r="EU116" s="302"/>
      <c r="EV116" s="302"/>
      <c r="EW116" s="302"/>
      <c r="EX116" s="302"/>
      <c r="EY116" s="302"/>
    </row>
    <row r="117" spans="1:156" s="27" customFormat="1" ht="25.5" x14ac:dyDescent="0.2">
      <c r="A117" s="38"/>
      <c r="B117" s="37" t="s">
        <v>156</v>
      </c>
      <c r="C117" s="36">
        <f t="shared" si="9"/>
        <v>0.40416000000000002</v>
      </c>
      <c r="D117" s="20" t="s">
        <v>2752</v>
      </c>
      <c r="E117" s="36">
        <f t="shared" si="13"/>
        <v>2.526E-3</v>
      </c>
      <c r="F117" s="126" t="s">
        <v>228</v>
      </c>
      <c r="G117" s="302"/>
      <c r="H117" s="302"/>
      <c r="I117" s="302"/>
      <c r="J117" s="302"/>
      <c r="K117" s="302"/>
      <c r="L117" s="302"/>
      <c r="M117" s="302"/>
      <c r="N117" s="302"/>
      <c r="O117" s="302"/>
      <c r="P117" s="100"/>
      <c r="Q117" s="302"/>
      <c r="R117" s="302"/>
      <c r="S117" s="302"/>
      <c r="T117" s="302"/>
      <c r="U117" s="302"/>
      <c r="V117" s="302"/>
      <c r="W117" s="302"/>
      <c r="X117" s="302"/>
      <c r="Y117" s="100"/>
      <c r="Z117" s="100"/>
      <c r="AA117" s="100"/>
      <c r="AB117" s="100"/>
      <c r="AC117" s="100"/>
      <c r="AD117" s="100"/>
      <c r="AE117" s="100"/>
      <c r="AF117" s="302"/>
      <c r="AG117" s="100"/>
      <c r="AH117" s="302"/>
      <c r="AI117" s="100"/>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c r="CE117" s="302"/>
      <c r="CF117" s="302"/>
      <c r="CG117" s="302"/>
      <c r="CH117" s="302"/>
      <c r="CI117" s="302"/>
      <c r="CJ117" s="302"/>
      <c r="CK117" s="302"/>
      <c r="CL117" s="302"/>
      <c r="CM117" s="302"/>
      <c r="CN117" s="302"/>
      <c r="CO117" s="302"/>
      <c r="CP117" s="302"/>
      <c r="CQ117" s="302"/>
      <c r="CR117" s="302"/>
      <c r="CS117" s="302"/>
      <c r="CT117" s="302"/>
      <c r="CU117" s="302"/>
      <c r="CV117" s="302"/>
      <c r="CW117" s="302"/>
      <c r="CX117" s="302"/>
      <c r="CY117" s="302"/>
      <c r="CZ117" s="302"/>
      <c r="DA117" s="302"/>
      <c r="DB117" s="302"/>
      <c r="DC117" s="302"/>
      <c r="DD117" s="302"/>
      <c r="DE117" s="302"/>
      <c r="DF117" s="302"/>
      <c r="DG117" s="302"/>
      <c r="DH117" s="302"/>
      <c r="DI117" s="302"/>
      <c r="DJ117" s="302"/>
      <c r="DK117" s="302"/>
      <c r="DL117" s="302"/>
      <c r="DM117" s="302"/>
      <c r="DN117" s="302"/>
      <c r="DO117" s="302"/>
      <c r="DP117" s="302"/>
      <c r="DQ117" s="302"/>
      <c r="DR117" s="302"/>
      <c r="DS117" s="302"/>
      <c r="DT117" s="302"/>
      <c r="DU117" s="302"/>
      <c r="DV117" s="302"/>
      <c r="DW117" s="302"/>
      <c r="DX117" s="302"/>
      <c r="DY117" s="302"/>
      <c r="DZ117" s="302"/>
      <c r="EA117" s="302"/>
      <c r="EB117" s="302"/>
      <c r="EC117" s="302"/>
      <c r="ED117" s="302"/>
      <c r="EE117" s="302"/>
      <c r="EF117" s="302"/>
      <c r="EG117" s="302"/>
      <c r="EH117" s="302"/>
      <c r="EI117" s="302"/>
      <c r="EJ117" s="302"/>
      <c r="EK117" s="302"/>
      <c r="EL117" s="302"/>
      <c r="EM117" s="302"/>
      <c r="EN117" s="302"/>
      <c r="EO117" s="302"/>
      <c r="EP117" s="302"/>
      <c r="EQ117" s="302"/>
      <c r="ER117" s="302"/>
      <c r="ES117" s="302">
        <v>2.526E-3</v>
      </c>
      <c r="ET117" s="302"/>
      <c r="EU117" s="302"/>
      <c r="EV117" s="302"/>
      <c r="EW117" s="302"/>
      <c r="EX117" s="302"/>
      <c r="EY117" s="302"/>
    </row>
    <row r="118" spans="1:156" s="27" customFormat="1" x14ac:dyDescent="0.2">
      <c r="A118" s="38"/>
      <c r="B118" s="37"/>
      <c r="C118" s="36">
        <f t="shared" si="9"/>
        <v>2.9310298389915808</v>
      </c>
      <c r="D118" s="20" t="s">
        <v>2753</v>
      </c>
      <c r="E118" s="36">
        <f t="shared" si="13"/>
        <v>1.8318936493697379E-2</v>
      </c>
      <c r="F118" s="126" t="s">
        <v>228</v>
      </c>
      <c r="G118" s="302"/>
      <c r="H118" s="302"/>
      <c r="I118" s="302"/>
      <c r="J118" s="302"/>
      <c r="K118" s="302"/>
      <c r="L118" s="302"/>
      <c r="M118" s="302"/>
      <c r="N118" s="302"/>
      <c r="O118" s="302"/>
      <c r="P118" s="100"/>
      <c r="Q118" s="302"/>
      <c r="R118" s="302"/>
      <c r="S118" s="302"/>
      <c r="T118" s="302"/>
      <c r="U118" s="302"/>
      <c r="V118" s="302"/>
      <c r="W118" s="302"/>
      <c r="X118" s="302"/>
      <c r="Y118" s="100"/>
      <c r="Z118" s="100"/>
      <c r="AA118" s="100"/>
      <c r="AB118" s="100"/>
      <c r="AC118" s="100"/>
      <c r="AD118" s="100"/>
      <c r="AE118" s="100"/>
      <c r="AF118" s="302"/>
      <c r="AG118" s="100"/>
      <c r="AH118" s="302"/>
      <c r="AI118" s="100"/>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c r="CE118" s="302"/>
      <c r="CF118" s="302"/>
      <c r="CG118" s="302"/>
      <c r="CH118" s="302"/>
      <c r="CI118" s="302"/>
      <c r="CJ118" s="302"/>
      <c r="CK118" s="302"/>
      <c r="CL118" s="302"/>
      <c r="CM118" s="302"/>
      <c r="CN118" s="302"/>
      <c r="CO118" s="302"/>
      <c r="CP118" s="302"/>
      <c r="CQ118" s="302"/>
      <c r="CR118" s="302"/>
      <c r="CS118" s="302"/>
      <c r="CT118" s="302"/>
      <c r="CU118" s="302"/>
      <c r="CV118" s="302"/>
      <c r="CW118" s="302"/>
      <c r="CX118" s="302"/>
      <c r="CY118" s="302"/>
      <c r="CZ118" s="302"/>
      <c r="DA118" s="302"/>
      <c r="DB118" s="302"/>
      <c r="DC118" s="302"/>
      <c r="DD118" s="302"/>
      <c r="DE118" s="302"/>
      <c r="DF118" s="302"/>
      <c r="DG118" s="302"/>
      <c r="DH118" s="302"/>
      <c r="DI118" s="302"/>
      <c r="DJ118" s="302"/>
      <c r="DK118" s="302"/>
      <c r="DL118" s="302"/>
      <c r="DM118" s="302"/>
      <c r="DN118" s="302"/>
      <c r="DO118" s="302"/>
      <c r="DP118" s="302"/>
      <c r="DQ118" s="302"/>
      <c r="DR118" s="302"/>
      <c r="DS118" s="302"/>
      <c r="DT118" s="302"/>
      <c r="DU118" s="302"/>
      <c r="DV118" s="302"/>
      <c r="DW118" s="302"/>
      <c r="DX118" s="302"/>
      <c r="DY118" s="302"/>
      <c r="DZ118" s="302"/>
      <c r="EA118" s="302"/>
      <c r="EB118" s="302"/>
      <c r="EC118" s="302"/>
      <c r="ED118" s="302"/>
      <c r="EE118" s="302"/>
      <c r="EF118" s="302"/>
      <c r="EG118" s="302"/>
      <c r="EH118" s="302"/>
      <c r="EI118" s="302"/>
      <c r="EJ118" s="302"/>
      <c r="EK118" s="302"/>
      <c r="EL118" s="302"/>
      <c r="EM118" s="302"/>
      <c r="EN118" s="302"/>
      <c r="EO118" s="302"/>
      <c r="EP118" s="302"/>
      <c r="EQ118" s="302"/>
      <c r="ER118" s="302"/>
      <c r="ES118" s="302"/>
      <c r="ET118" s="302"/>
      <c r="EU118" s="302"/>
      <c r="EV118" s="302"/>
      <c r="EW118" s="302"/>
      <c r="EX118" s="302"/>
      <c r="EY118" s="302"/>
      <c r="EZ118" s="27">
        <f>DH88</f>
        <v>1.8318936493697379E-2</v>
      </c>
    </row>
    <row r="119" spans="1:156" s="27" customFormat="1" x14ac:dyDescent="0.2">
      <c r="A119" s="38"/>
      <c r="B119" s="37"/>
      <c r="C119" s="36">
        <f t="shared" ref="C119:C182" si="14">E119*D$5</f>
        <v>5.4106266666666674</v>
      </c>
      <c r="D119" s="20" t="s">
        <v>2754</v>
      </c>
      <c r="E119" s="36">
        <f t="shared" si="13"/>
        <v>3.3816416666666668E-2</v>
      </c>
      <c r="F119" s="126" t="s">
        <v>228</v>
      </c>
      <c r="G119" s="302"/>
      <c r="H119" s="302"/>
      <c r="I119" s="302"/>
      <c r="J119" s="302"/>
      <c r="K119" s="302"/>
      <c r="L119" s="302"/>
      <c r="M119" s="302"/>
      <c r="N119" s="302"/>
      <c r="O119" s="302"/>
      <c r="P119" s="100"/>
      <c r="Q119" s="302"/>
      <c r="R119" s="302"/>
      <c r="S119" s="302"/>
      <c r="T119" s="302"/>
      <c r="U119" s="302"/>
      <c r="V119" s="302"/>
      <c r="W119" s="302"/>
      <c r="X119" s="302"/>
      <c r="Y119" s="100"/>
      <c r="Z119" s="100"/>
      <c r="AA119" s="100"/>
      <c r="AB119" s="100"/>
      <c r="AC119" s="100"/>
      <c r="AD119" s="100"/>
      <c r="AE119" s="100"/>
      <c r="AF119" s="302"/>
      <c r="AG119" s="100"/>
      <c r="AH119" s="302"/>
      <c r="AI119" s="100"/>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c r="CE119" s="302"/>
      <c r="CF119" s="302"/>
      <c r="CG119" s="302"/>
      <c r="CH119" s="302"/>
      <c r="CI119" s="302"/>
      <c r="CJ119" s="302"/>
      <c r="CK119" s="302"/>
      <c r="CL119" s="302"/>
      <c r="CM119" s="302"/>
      <c r="CN119" s="302"/>
      <c r="CO119" s="302"/>
      <c r="CP119" s="302"/>
      <c r="CQ119" s="302"/>
      <c r="CR119" s="302"/>
      <c r="CS119" s="302"/>
      <c r="CT119" s="302"/>
      <c r="CU119" s="302"/>
      <c r="CV119" s="302"/>
      <c r="CW119" s="302"/>
      <c r="CX119" s="302"/>
      <c r="CY119" s="302"/>
      <c r="CZ119" s="302"/>
      <c r="DA119" s="302"/>
      <c r="DB119" s="302"/>
      <c r="DC119" s="302"/>
      <c r="DD119" s="302"/>
      <c r="DE119" s="302"/>
      <c r="DF119" s="302"/>
      <c r="DG119" s="302"/>
      <c r="DH119" s="302"/>
      <c r="DI119" s="302"/>
      <c r="DJ119" s="302"/>
      <c r="DK119" s="302"/>
      <c r="DL119" s="302"/>
      <c r="DM119" s="302"/>
      <c r="DN119" s="302"/>
      <c r="DO119" s="302"/>
      <c r="DP119" s="302"/>
      <c r="DQ119" s="302"/>
      <c r="DR119" s="302"/>
      <c r="DS119" s="302"/>
      <c r="DT119" s="302"/>
      <c r="DU119" s="302"/>
      <c r="DV119" s="302"/>
      <c r="DW119" s="302"/>
      <c r="DX119" s="302"/>
      <c r="DY119" s="302"/>
      <c r="DZ119" s="302"/>
      <c r="EA119" s="302"/>
      <c r="EB119" s="302"/>
      <c r="EC119" s="302">
        <v>3.3816416666666668E-2</v>
      </c>
      <c r="ED119" s="302"/>
      <c r="EE119" s="302"/>
      <c r="EF119" s="302"/>
      <c r="EG119" s="302"/>
      <c r="EH119" s="302"/>
      <c r="EI119" s="302"/>
      <c r="EJ119" s="302"/>
      <c r="EK119" s="302"/>
      <c r="EL119" s="302"/>
      <c r="EM119" s="302"/>
      <c r="EN119" s="302"/>
      <c r="EO119" s="302"/>
      <c r="EP119" s="302"/>
      <c r="EQ119" s="302"/>
      <c r="ER119" s="302"/>
      <c r="ES119" s="302"/>
      <c r="ET119" s="302"/>
      <c r="EU119" s="302"/>
      <c r="EV119" s="302"/>
      <c r="EW119" s="302"/>
      <c r="EX119" s="302"/>
      <c r="EY119" s="302"/>
    </row>
    <row r="120" spans="1:156" s="27" customFormat="1" x14ac:dyDescent="0.2">
      <c r="A120" s="38"/>
      <c r="B120" s="37"/>
      <c r="C120" s="36">
        <f t="shared" si="14"/>
        <v>5.4106266666666674</v>
      </c>
      <c r="D120" s="20" t="s">
        <v>2755</v>
      </c>
      <c r="E120" s="36">
        <f t="shared" si="13"/>
        <v>3.3816416666666668E-2</v>
      </c>
      <c r="F120" s="126" t="s">
        <v>228</v>
      </c>
      <c r="G120" s="302"/>
      <c r="H120" s="302"/>
      <c r="I120" s="302"/>
      <c r="J120" s="302"/>
      <c r="K120" s="302"/>
      <c r="L120" s="302"/>
      <c r="M120" s="302"/>
      <c r="N120" s="302"/>
      <c r="O120" s="302"/>
      <c r="P120" s="100"/>
      <c r="Q120" s="302"/>
      <c r="R120" s="302"/>
      <c r="S120" s="302"/>
      <c r="T120" s="302"/>
      <c r="U120" s="302"/>
      <c r="V120" s="302"/>
      <c r="W120" s="302"/>
      <c r="X120" s="302"/>
      <c r="Y120" s="100"/>
      <c r="Z120" s="100"/>
      <c r="AA120" s="100"/>
      <c r="AB120" s="100"/>
      <c r="AC120" s="100"/>
      <c r="AD120" s="100"/>
      <c r="AE120" s="100"/>
      <c r="AF120" s="302"/>
      <c r="AG120" s="100"/>
      <c r="AH120" s="302"/>
      <c r="AI120" s="100"/>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c r="CE120" s="302"/>
      <c r="CF120" s="302"/>
      <c r="CG120" s="302"/>
      <c r="CH120" s="302"/>
      <c r="CI120" s="302"/>
      <c r="CJ120" s="302"/>
      <c r="CK120" s="302"/>
      <c r="CL120" s="302"/>
      <c r="CM120" s="302"/>
      <c r="CN120" s="302"/>
      <c r="CO120" s="302"/>
      <c r="CP120" s="302"/>
      <c r="CQ120" s="302"/>
      <c r="CR120" s="302"/>
      <c r="CS120" s="302"/>
      <c r="CT120" s="302"/>
      <c r="CU120" s="302"/>
      <c r="CV120" s="302"/>
      <c r="CW120" s="302"/>
      <c r="CX120" s="302"/>
      <c r="CY120" s="302"/>
      <c r="CZ120" s="302"/>
      <c r="DA120" s="302"/>
      <c r="DB120" s="302"/>
      <c r="DC120" s="302"/>
      <c r="DD120" s="302"/>
      <c r="DE120" s="302"/>
      <c r="DF120" s="302"/>
      <c r="DG120" s="302"/>
      <c r="DH120" s="302"/>
      <c r="DI120" s="302"/>
      <c r="DJ120" s="302"/>
      <c r="DK120" s="302"/>
      <c r="DL120" s="302"/>
      <c r="DM120" s="302"/>
      <c r="DN120" s="302"/>
      <c r="DO120" s="302"/>
      <c r="DP120" s="302"/>
      <c r="DQ120" s="302"/>
      <c r="DR120" s="302"/>
      <c r="DS120" s="302"/>
      <c r="DT120" s="302"/>
      <c r="DU120" s="302"/>
      <c r="DV120" s="302"/>
      <c r="DW120" s="302"/>
      <c r="DX120" s="302"/>
      <c r="DY120" s="302"/>
      <c r="DZ120" s="302"/>
      <c r="EA120" s="302"/>
      <c r="EB120" s="302"/>
      <c r="EC120" s="302">
        <v>3.3816416666666668E-2</v>
      </c>
      <c r="ED120" s="302"/>
      <c r="EE120" s="302"/>
      <c r="EF120" s="302"/>
      <c r="EG120" s="302"/>
      <c r="EH120" s="302"/>
      <c r="EI120" s="302"/>
      <c r="EJ120" s="302"/>
      <c r="EK120" s="302"/>
      <c r="EL120" s="302"/>
      <c r="EM120" s="302"/>
      <c r="EN120" s="302"/>
      <c r="EO120" s="302"/>
      <c r="EP120" s="302"/>
      <c r="EQ120" s="302"/>
      <c r="ER120" s="302"/>
      <c r="ES120" s="302"/>
      <c r="ET120" s="302"/>
      <c r="EU120" s="302"/>
      <c r="EV120" s="302"/>
      <c r="EW120" s="302"/>
      <c r="EX120" s="302"/>
      <c r="EY120" s="302"/>
    </row>
    <row r="121" spans="1:156" s="27" customFormat="1" ht="25.5" x14ac:dyDescent="0.2">
      <c r="A121" s="38"/>
      <c r="B121" s="37" t="s">
        <v>156</v>
      </c>
      <c r="C121" s="36">
        <f t="shared" si="14"/>
        <v>5.4106266666666674</v>
      </c>
      <c r="D121" s="20" t="s">
        <v>2756</v>
      </c>
      <c r="E121" s="36">
        <f t="shared" si="13"/>
        <v>3.3816416666666668E-2</v>
      </c>
      <c r="F121" s="126" t="s">
        <v>228</v>
      </c>
      <c r="G121" s="302"/>
      <c r="H121" s="302"/>
      <c r="I121" s="302"/>
      <c r="J121" s="302"/>
      <c r="K121" s="302"/>
      <c r="L121" s="302"/>
      <c r="M121" s="302"/>
      <c r="N121" s="302"/>
      <c r="O121" s="302"/>
      <c r="P121" s="100"/>
      <c r="Q121" s="302"/>
      <c r="R121" s="302"/>
      <c r="S121" s="302"/>
      <c r="T121" s="302"/>
      <c r="U121" s="302"/>
      <c r="V121" s="302"/>
      <c r="W121" s="302"/>
      <c r="X121" s="302"/>
      <c r="Y121" s="100"/>
      <c r="Z121" s="100"/>
      <c r="AA121" s="100"/>
      <c r="AB121" s="100"/>
      <c r="AC121" s="100"/>
      <c r="AD121" s="100"/>
      <c r="AE121" s="100"/>
      <c r="AF121" s="302"/>
      <c r="AG121" s="100"/>
      <c r="AH121" s="302"/>
      <c r="AI121" s="100"/>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c r="CE121" s="302"/>
      <c r="CF121" s="302"/>
      <c r="CG121" s="302"/>
      <c r="CH121" s="302"/>
      <c r="CI121" s="302"/>
      <c r="CJ121" s="302"/>
      <c r="CK121" s="302"/>
      <c r="CL121" s="302"/>
      <c r="CM121" s="302"/>
      <c r="CN121" s="302"/>
      <c r="CO121" s="302"/>
      <c r="CP121" s="302"/>
      <c r="CQ121" s="302"/>
      <c r="CR121" s="302"/>
      <c r="CS121" s="302"/>
      <c r="CT121" s="302"/>
      <c r="CU121" s="302"/>
      <c r="CV121" s="302"/>
      <c r="CW121" s="302"/>
      <c r="CX121" s="302"/>
      <c r="CY121" s="302"/>
      <c r="CZ121" s="302"/>
      <c r="DA121" s="302"/>
      <c r="DB121" s="302"/>
      <c r="DC121" s="302"/>
      <c r="DD121" s="302"/>
      <c r="DE121" s="302"/>
      <c r="DF121" s="302"/>
      <c r="DG121" s="302"/>
      <c r="DH121" s="302"/>
      <c r="DI121" s="302"/>
      <c r="DJ121" s="302"/>
      <c r="DK121" s="302"/>
      <c r="DL121" s="302"/>
      <c r="DM121" s="302"/>
      <c r="DN121" s="302"/>
      <c r="DO121" s="302"/>
      <c r="DP121" s="302"/>
      <c r="DQ121" s="302"/>
      <c r="DR121" s="302"/>
      <c r="DS121" s="302"/>
      <c r="DT121" s="302"/>
      <c r="DU121" s="302"/>
      <c r="DV121" s="302"/>
      <c r="DW121" s="302"/>
      <c r="DX121" s="302"/>
      <c r="DY121" s="302"/>
      <c r="DZ121" s="302"/>
      <c r="EA121" s="302"/>
      <c r="EB121" s="302"/>
      <c r="EC121" s="302">
        <v>3.3816416666666668E-2</v>
      </c>
      <c r="ED121" s="302"/>
      <c r="EE121" s="302"/>
      <c r="EF121" s="302"/>
      <c r="EG121" s="302"/>
      <c r="EH121" s="302"/>
      <c r="EI121" s="302"/>
      <c r="EJ121" s="302"/>
      <c r="EK121" s="302"/>
      <c r="EL121" s="302"/>
      <c r="EM121" s="302"/>
      <c r="EN121" s="302"/>
      <c r="EO121" s="302"/>
      <c r="EP121" s="302"/>
      <c r="EQ121" s="302"/>
      <c r="ER121" s="302"/>
      <c r="ES121" s="302"/>
      <c r="ET121" s="302"/>
      <c r="EU121" s="302"/>
      <c r="EV121" s="302"/>
      <c r="EW121" s="302"/>
      <c r="EX121" s="302"/>
      <c r="EY121" s="302"/>
    </row>
    <row r="122" spans="1:156" s="27" customFormat="1" x14ac:dyDescent="0.2">
      <c r="A122" s="38"/>
      <c r="B122" s="37"/>
      <c r="C122" s="36">
        <f t="shared" si="14"/>
        <v>1.1594200000000001</v>
      </c>
      <c r="D122" s="20" t="s">
        <v>2757</v>
      </c>
      <c r="E122" s="36">
        <f t="shared" si="13"/>
        <v>7.2463750000000002E-3</v>
      </c>
      <c r="F122" s="126" t="s">
        <v>228</v>
      </c>
      <c r="G122" s="302"/>
      <c r="H122" s="302"/>
      <c r="I122" s="302"/>
      <c r="J122" s="302"/>
      <c r="K122" s="302"/>
      <c r="L122" s="302"/>
      <c r="M122" s="302"/>
      <c r="N122" s="302"/>
      <c r="O122" s="302"/>
      <c r="P122" s="100"/>
      <c r="Q122" s="302"/>
      <c r="R122" s="302"/>
      <c r="S122" s="302"/>
      <c r="T122" s="302"/>
      <c r="U122" s="302"/>
      <c r="V122" s="302"/>
      <c r="W122" s="302"/>
      <c r="X122" s="302"/>
      <c r="Y122" s="100"/>
      <c r="Z122" s="100"/>
      <c r="AA122" s="100"/>
      <c r="AB122" s="100"/>
      <c r="AC122" s="100"/>
      <c r="AD122" s="100"/>
      <c r="AE122" s="100"/>
      <c r="AF122" s="302"/>
      <c r="AG122" s="100"/>
      <c r="AH122" s="302"/>
      <c r="AI122" s="100"/>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c r="CE122" s="302"/>
      <c r="CF122" s="302"/>
      <c r="CG122" s="302"/>
      <c r="CH122" s="302"/>
      <c r="CI122" s="302"/>
      <c r="CJ122" s="302"/>
      <c r="CK122" s="302"/>
      <c r="CL122" s="302"/>
      <c r="CM122" s="302"/>
      <c r="CN122" s="302"/>
      <c r="CO122" s="302"/>
      <c r="CP122" s="302"/>
      <c r="CQ122" s="302"/>
      <c r="CR122" s="302"/>
      <c r="CS122" s="302"/>
      <c r="CT122" s="302"/>
      <c r="CU122" s="302"/>
      <c r="CV122" s="302"/>
      <c r="CW122" s="302"/>
      <c r="CX122" s="302"/>
      <c r="CY122" s="302"/>
      <c r="CZ122" s="302"/>
      <c r="DA122" s="302"/>
      <c r="DB122" s="302"/>
      <c r="DC122" s="302"/>
      <c r="DD122" s="302"/>
      <c r="DE122" s="302"/>
      <c r="DF122" s="302"/>
      <c r="DG122" s="302"/>
      <c r="DH122" s="302"/>
      <c r="DI122" s="302"/>
      <c r="DJ122" s="302"/>
      <c r="DK122" s="302"/>
      <c r="DL122" s="302"/>
      <c r="DM122" s="302"/>
      <c r="DN122" s="302"/>
      <c r="DO122" s="302"/>
      <c r="DP122" s="302"/>
      <c r="DQ122" s="302"/>
      <c r="DR122" s="302"/>
      <c r="DS122" s="302"/>
      <c r="DT122" s="302"/>
      <c r="DU122" s="302"/>
      <c r="DV122" s="302"/>
      <c r="DW122" s="302"/>
      <c r="DX122" s="302"/>
      <c r="DY122" s="302"/>
      <c r="DZ122" s="302"/>
      <c r="EA122" s="302"/>
      <c r="EB122" s="302"/>
      <c r="EC122" s="302">
        <v>7.2463750000000002E-3</v>
      </c>
      <c r="ED122" s="302"/>
      <c r="EE122" s="302"/>
      <c r="EF122" s="302"/>
      <c r="EG122" s="302"/>
      <c r="EH122" s="302"/>
      <c r="EI122" s="302"/>
      <c r="EJ122" s="302"/>
      <c r="EK122" s="302"/>
      <c r="EL122" s="302"/>
      <c r="EM122" s="302"/>
      <c r="EN122" s="302"/>
      <c r="EO122" s="302"/>
      <c r="EP122" s="302"/>
      <c r="EQ122" s="302"/>
      <c r="ER122" s="302"/>
      <c r="ES122" s="302"/>
      <c r="ET122" s="302"/>
      <c r="EU122" s="302"/>
      <c r="EV122" s="302"/>
      <c r="EW122" s="302"/>
      <c r="EX122" s="302"/>
      <c r="EY122" s="302"/>
    </row>
    <row r="123" spans="1:156" s="27" customFormat="1" x14ac:dyDescent="0.2">
      <c r="A123" s="38"/>
      <c r="B123" s="37"/>
      <c r="C123" s="36">
        <f t="shared" si="14"/>
        <v>1.1594200000000001</v>
      </c>
      <c r="D123" s="20" t="s">
        <v>2758</v>
      </c>
      <c r="E123" s="36">
        <f t="shared" si="13"/>
        <v>7.2463750000000002E-3</v>
      </c>
      <c r="F123" s="126" t="s">
        <v>228</v>
      </c>
      <c r="G123" s="302"/>
      <c r="H123" s="302"/>
      <c r="I123" s="302"/>
      <c r="J123" s="302"/>
      <c r="K123" s="302"/>
      <c r="L123" s="302"/>
      <c r="M123" s="302"/>
      <c r="N123" s="302"/>
      <c r="O123" s="302"/>
      <c r="P123" s="100"/>
      <c r="Q123" s="302"/>
      <c r="R123" s="302"/>
      <c r="S123" s="302"/>
      <c r="T123" s="302"/>
      <c r="U123" s="302"/>
      <c r="V123" s="302"/>
      <c r="W123" s="302"/>
      <c r="X123" s="302"/>
      <c r="Y123" s="100"/>
      <c r="Z123" s="100"/>
      <c r="AA123" s="100"/>
      <c r="AB123" s="100"/>
      <c r="AC123" s="100"/>
      <c r="AD123" s="100"/>
      <c r="AE123" s="100"/>
      <c r="AF123" s="302"/>
      <c r="AG123" s="100"/>
      <c r="AH123" s="302"/>
      <c r="AI123" s="100"/>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c r="CE123" s="302"/>
      <c r="CF123" s="302"/>
      <c r="CG123" s="302"/>
      <c r="CH123" s="302"/>
      <c r="CI123" s="302"/>
      <c r="CJ123" s="302"/>
      <c r="CK123" s="302"/>
      <c r="CL123" s="302"/>
      <c r="CM123" s="302"/>
      <c r="CN123" s="302"/>
      <c r="CO123" s="302"/>
      <c r="CP123" s="302"/>
      <c r="CQ123" s="302"/>
      <c r="CR123" s="302"/>
      <c r="CS123" s="302"/>
      <c r="CT123" s="302"/>
      <c r="CU123" s="302"/>
      <c r="CV123" s="302"/>
      <c r="CW123" s="302"/>
      <c r="CX123" s="302"/>
      <c r="CY123" s="302"/>
      <c r="CZ123" s="302"/>
      <c r="DA123" s="302"/>
      <c r="DB123" s="302"/>
      <c r="DC123" s="302"/>
      <c r="DD123" s="302"/>
      <c r="DE123" s="302"/>
      <c r="DF123" s="302"/>
      <c r="DG123" s="302"/>
      <c r="DH123" s="302"/>
      <c r="DI123" s="302"/>
      <c r="DJ123" s="302"/>
      <c r="DK123" s="302"/>
      <c r="DL123" s="302"/>
      <c r="DM123" s="302"/>
      <c r="DN123" s="302"/>
      <c r="DO123" s="302"/>
      <c r="DP123" s="302"/>
      <c r="DQ123" s="302"/>
      <c r="DR123" s="302"/>
      <c r="DS123" s="302"/>
      <c r="DT123" s="302"/>
      <c r="DU123" s="302"/>
      <c r="DV123" s="302"/>
      <c r="DW123" s="302"/>
      <c r="DX123" s="302"/>
      <c r="DY123" s="302"/>
      <c r="DZ123" s="302"/>
      <c r="EA123" s="302"/>
      <c r="EB123" s="302"/>
      <c r="EC123" s="302">
        <v>7.2463750000000002E-3</v>
      </c>
      <c r="ED123" s="302"/>
      <c r="EE123" s="302"/>
      <c r="EF123" s="302"/>
      <c r="EG123" s="302"/>
      <c r="EH123" s="302"/>
      <c r="EI123" s="302"/>
      <c r="EJ123" s="302"/>
      <c r="EK123" s="302"/>
      <c r="EL123" s="302"/>
      <c r="EM123" s="302"/>
      <c r="EN123" s="302"/>
      <c r="EO123" s="302"/>
      <c r="EP123" s="302"/>
      <c r="EQ123" s="302"/>
      <c r="ER123" s="302"/>
      <c r="ES123" s="302"/>
      <c r="ET123" s="302"/>
      <c r="EU123" s="302"/>
      <c r="EV123" s="302"/>
      <c r="EW123" s="302"/>
      <c r="EX123" s="302"/>
      <c r="EY123" s="302"/>
    </row>
    <row r="124" spans="1:156" s="27" customFormat="1" x14ac:dyDescent="0.2">
      <c r="A124" s="38"/>
      <c r="B124" s="37"/>
      <c r="C124" s="36">
        <f t="shared" si="14"/>
        <v>5.0520000000000002E-2</v>
      </c>
      <c r="D124" s="20" t="s">
        <v>2759</v>
      </c>
      <c r="E124" s="36">
        <f t="shared" si="13"/>
        <v>3.1575E-4</v>
      </c>
      <c r="F124" s="126" t="s">
        <v>228</v>
      </c>
      <c r="G124" s="302"/>
      <c r="H124" s="302"/>
      <c r="I124" s="302"/>
      <c r="J124" s="302"/>
      <c r="K124" s="302"/>
      <c r="L124" s="302"/>
      <c r="M124" s="302"/>
      <c r="N124" s="302"/>
      <c r="O124" s="302"/>
      <c r="P124" s="100"/>
      <c r="Q124" s="302"/>
      <c r="R124" s="302"/>
      <c r="S124" s="302"/>
      <c r="T124" s="302"/>
      <c r="U124" s="302"/>
      <c r="V124" s="302"/>
      <c r="W124" s="302"/>
      <c r="X124" s="302"/>
      <c r="Y124" s="100"/>
      <c r="Z124" s="100"/>
      <c r="AA124" s="100"/>
      <c r="AB124" s="100"/>
      <c r="AC124" s="100"/>
      <c r="AD124" s="100"/>
      <c r="AE124" s="100"/>
      <c r="AF124" s="302"/>
      <c r="AG124" s="100"/>
      <c r="AH124" s="302"/>
      <c r="AI124" s="100"/>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c r="CE124" s="302"/>
      <c r="CF124" s="302"/>
      <c r="CG124" s="302"/>
      <c r="CH124" s="302"/>
      <c r="CI124" s="302"/>
      <c r="CJ124" s="302"/>
      <c r="CK124" s="302"/>
      <c r="CL124" s="302"/>
      <c r="CM124" s="302"/>
      <c r="CN124" s="302"/>
      <c r="CO124" s="302"/>
      <c r="CP124" s="302"/>
      <c r="CQ124" s="302"/>
      <c r="CR124" s="302"/>
      <c r="CS124" s="302"/>
      <c r="CT124" s="302"/>
      <c r="CU124" s="302"/>
      <c r="CV124" s="302"/>
      <c r="CW124" s="302"/>
      <c r="CX124" s="302"/>
      <c r="CY124" s="302"/>
      <c r="CZ124" s="302"/>
      <c r="DA124" s="302"/>
      <c r="DB124" s="302"/>
      <c r="DC124" s="302"/>
      <c r="DD124" s="302"/>
      <c r="DE124" s="302"/>
      <c r="DF124" s="302"/>
      <c r="DG124" s="302"/>
      <c r="DH124" s="302"/>
      <c r="DI124" s="302"/>
      <c r="DJ124" s="302"/>
      <c r="DK124" s="302"/>
      <c r="DL124" s="302"/>
      <c r="DM124" s="302"/>
      <c r="DN124" s="302"/>
      <c r="DO124" s="302"/>
      <c r="DP124" s="302"/>
      <c r="DQ124" s="302"/>
      <c r="DR124" s="302"/>
      <c r="DS124" s="302"/>
      <c r="DT124" s="302"/>
      <c r="DU124" s="302"/>
      <c r="DV124" s="302"/>
      <c r="DW124" s="302"/>
      <c r="DX124" s="302"/>
      <c r="DY124" s="302"/>
      <c r="DZ124" s="302"/>
      <c r="EA124" s="302"/>
      <c r="EB124" s="302"/>
      <c r="EC124" s="302"/>
      <c r="ED124" s="302"/>
      <c r="EE124" s="302"/>
      <c r="EF124" s="302"/>
      <c r="EG124" s="302"/>
      <c r="EH124" s="302"/>
      <c r="EI124" s="302"/>
      <c r="EJ124" s="302">
        <v>3.1575E-4</v>
      </c>
      <c r="EK124" s="302"/>
      <c r="EL124" s="302"/>
      <c r="EM124" s="302"/>
      <c r="EN124" s="302"/>
      <c r="EO124" s="302"/>
      <c r="EP124" s="302"/>
      <c r="EQ124" s="302"/>
      <c r="ER124" s="302"/>
      <c r="ES124" s="302"/>
      <c r="ET124" s="302"/>
      <c r="EU124" s="302"/>
      <c r="EV124" s="302"/>
      <c r="EW124" s="302"/>
      <c r="EX124" s="302"/>
      <c r="EY124" s="302"/>
    </row>
    <row r="125" spans="1:156" s="27" customFormat="1" x14ac:dyDescent="0.2">
      <c r="A125" s="38"/>
      <c r="B125" s="37"/>
      <c r="C125" s="36">
        <f t="shared" si="14"/>
        <v>5.0520000000000002E-2</v>
      </c>
      <c r="D125" s="20" t="s">
        <v>2760</v>
      </c>
      <c r="E125" s="36">
        <f t="shared" si="13"/>
        <v>3.1575E-4</v>
      </c>
      <c r="F125" s="126" t="s">
        <v>228</v>
      </c>
      <c r="G125" s="302"/>
      <c r="H125" s="302"/>
      <c r="I125" s="302"/>
      <c r="J125" s="302"/>
      <c r="K125" s="302"/>
      <c r="L125" s="302"/>
      <c r="M125" s="302"/>
      <c r="N125" s="302"/>
      <c r="O125" s="302"/>
      <c r="P125" s="100"/>
      <c r="Q125" s="302"/>
      <c r="R125" s="302"/>
      <c r="S125" s="302"/>
      <c r="T125" s="302"/>
      <c r="U125" s="302"/>
      <c r="V125" s="302"/>
      <c r="W125" s="302"/>
      <c r="X125" s="302"/>
      <c r="Y125" s="100"/>
      <c r="Z125" s="100"/>
      <c r="AA125" s="100"/>
      <c r="AB125" s="100"/>
      <c r="AC125" s="100"/>
      <c r="AD125" s="100"/>
      <c r="AE125" s="100"/>
      <c r="AF125" s="302"/>
      <c r="AG125" s="100"/>
      <c r="AH125" s="302"/>
      <c r="AI125" s="100"/>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c r="CE125" s="302"/>
      <c r="CF125" s="302"/>
      <c r="CG125" s="302"/>
      <c r="CH125" s="302"/>
      <c r="CI125" s="302"/>
      <c r="CJ125" s="302"/>
      <c r="CK125" s="302"/>
      <c r="CL125" s="302"/>
      <c r="CM125" s="302"/>
      <c r="CN125" s="302"/>
      <c r="CO125" s="302"/>
      <c r="CP125" s="302"/>
      <c r="CQ125" s="302"/>
      <c r="CR125" s="302"/>
      <c r="CS125" s="302"/>
      <c r="CT125" s="302"/>
      <c r="CU125" s="302"/>
      <c r="CV125" s="302"/>
      <c r="CW125" s="302"/>
      <c r="CX125" s="302"/>
      <c r="CY125" s="302"/>
      <c r="CZ125" s="302"/>
      <c r="DA125" s="302"/>
      <c r="DB125" s="302"/>
      <c r="DC125" s="302"/>
      <c r="DD125" s="302"/>
      <c r="DE125" s="302"/>
      <c r="DF125" s="302"/>
      <c r="DG125" s="302"/>
      <c r="DH125" s="302"/>
      <c r="DI125" s="302"/>
      <c r="DJ125" s="302"/>
      <c r="DK125" s="302"/>
      <c r="DL125" s="302"/>
      <c r="DM125" s="302"/>
      <c r="DN125" s="302"/>
      <c r="DO125" s="302"/>
      <c r="DP125" s="302"/>
      <c r="DQ125" s="302"/>
      <c r="DR125" s="302"/>
      <c r="DS125" s="302"/>
      <c r="DT125" s="302"/>
      <c r="DU125" s="302"/>
      <c r="DV125" s="302"/>
      <c r="DW125" s="302"/>
      <c r="DX125" s="302"/>
      <c r="DY125" s="302"/>
      <c r="DZ125" s="302"/>
      <c r="EA125" s="302"/>
      <c r="EB125" s="302"/>
      <c r="EC125" s="302"/>
      <c r="ED125" s="302"/>
      <c r="EE125" s="302"/>
      <c r="EF125" s="302"/>
      <c r="EG125" s="302"/>
      <c r="EH125" s="302"/>
      <c r="EI125" s="302"/>
      <c r="EJ125" s="302">
        <v>3.1575E-4</v>
      </c>
      <c r="EK125" s="302"/>
      <c r="EL125" s="302"/>
      <c r="EM125" s="302"/>
      <c r="EN125" s="302"/>
      <c r="EO125" s="302"/>
      <c r="EP125" s="302"/>
      <c r="EQ125" s="302"/>
      <c r="ER125" s="302"/>
      <c r="ES125" s="302"/>
      <c r="ET125" s="302"/>
      <c r="EU125" s="302"/>
      <c r="EV125" s="302"/>
      <c r="EW125" s="302"/>
      <c r="EX125" s="302"/>
      <c r="EY125" s="302"/>
    </row>
    <row r="126" spans="1:156" s="27" customFormat="1" x14ac:dyDescent="0.2">
      <c r="A126" s="38"/>
      <c r="B126" s="37"/>
      <c r="C126" s="36">
        <f t="shared" si="14"/>
        <v>5.0520000000000002E-2</v>
      </c>
      <c r="D126" s="20" t="s">
        <v>2761</v>
      </c>
      <c r="E126" s="36">
        <f t="shared" si="13"/>
        <v>3.1575E-4</v>
      </c>
      <c r="F126" s="126" t="s">
        <v>228</v>
      </c>
      <c r="G126" s="302"/>
      <c r="H126" s="302"/>
      <c r="I126" s="302"/>
      <c r="J126" s="302"/>
      <c r="K126" s="302"/>
      <c r="L126" s="302"/>
      <c r="M126" s="302"/>
      <c r="N126" s="302"/>
      <c r="O126" s="302"/>
      <c r="P126" s="100"/>
      <c r="Q126" s="302"/>
      <c r="R126" s="302"/>
      <c r="S126" s="302"/>
      <c r="T126" s="302"/>
      <c r="U126" s="302"/>
      <c r="V126" s="302"/>
      <c r="W126" s="302"/>
      <c r="X126" s="302"/>
      <c r="Y126" s="100"/>
      <c r="Z126" s="100"/>
      <c r="AA126" s="100"/>
      <c r="AB126" s="100"/>
      <c r="AC126" s="100"/>
      <c r="AD126" s="100"/>
      <c r="AE126" s="100"/>
      <c r="AF126" s="302"/>
      <c r="AG126" s="100"/>
      <c r="AH126" s="302"/>
      <c r="AI126" s="100"/>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c r="CE126" s="302"/>
      <c r="CF126" s="302"/>
      <c r="CG126" s="302"/>
      <c r="CH126" s="302"/>
      <c r="CI126" s="302"/>
      <c r="CJ126" s="302"/>
      <c r="CK126" s="302"/>
      <c r="CL126" s="302"/>
      <c r="CM126" s="302"/>
      <c r="CN126" s="302"/>
      <c r="CO126" s="302"/>
      <c r="CP126" s="302"/>
      <c r="CQ126" s="302"/>
      <c r="CR126" s="302"/>
      <c r="CS126" s="302"/>
      <c r="CT126" s="302"/>
      <c r="CU126" s="302"/>
      <c r="CV126" s="302"/>
      <c r="CW126" s="302"/>
      <c r="CX126" s="302"/>
      <c r="CY126" s="302"/>
      <c r="CZ126" s="302"/>
      <c r="DA126" s="302"/>
      <c r="DB126" s="302"/>
      <c r="DC126" s="302"/>
      <c r="DD126" s="302"/>
      <c r="DE126" s="302"/>
      <c r="DF126" s="302"/>
      <c r="DG126" s="302"/>
      <c r="DH126" s="302"/>
      <c r="DI126" s="302"/>
      <c r="DJ126" s="302"/>
      <c r="DK126" s="302"/>
      <c r="DL126" s="302"/>
      <c r="DM126" s="302"/>
      <c r="DN126" s="302"/>
      <c r="DO126" s="302"/>
      <c r="DP126" s="302"/>
      <c r="DQ126" s="302"/>
      <c r="DR126" s="302"/>
      <c r="DS126" s="302"/>
      <c r="DT126" s="302"/>
      <c r="DU126" s="302"/>
      <c r="DV126" s="302"/>
      <c r="DW126" s="302"/>
      <c r="DX126" s="302"/>
      <c r="DY126" s="302"/>
      <c r="DZ126" s="302"/>
      <c r="EA126" s="302"/>
      <c r="EB126" s="302"/>
      <c r="EC126" s="302"/>
      <c r="ED126" s="302"/>
      <c r="EE126" s="302"/>
      <c r="EF126" s="302"/>
      <c r="EG126" s="302"/>
      <c r="EH126" s="302"/>
      <c r="EI126" s="302"/>
      <c r="EJ126" s="302">
        <v>3.1575E-4</v>
      </c>
      <c r="EK126" s="302"/>
      <c r="EL126" s="302"/>
      <c r="EM126" s="302"/>
      <c r="EN126" s="302"/>
      <c r="EO126" s="302"/>
      <c r="EP126" s="302"/>
      <c r="EQ126" s="302"/>
      <c r="ER126" s="302"/>
      <c r="ES126" s="302"/>
      <c r="ET126" s="302"/>
      <c r="EU126" s="302"/>
      <c r="EV126" s="302"/>
      <c r="EW126" s="302"/>
      <c r="EX126" s="302"/>
      <c r="EY126" s="302"/>
    </row>
    <row r="127" spans="1:156" s="27" customFormat="1" x14ac:dyDescent="0.2">
      <c r="A127" s="38"/>
      <c r="B127" s="37"/>
      <c r="C127" s="36">
        <f t="shared" si="14"/>
        <v>5.0520000000000002E-2</v>
      </c>
      <c r="D127" s="20" t="s">
        <v>2762</v>
      </c>
      <c r="E127" s="36">
        <f t="shared" si="13"/>
        <v>3.1575E-4</v>
      </c>
      <c r="F127" s="126" t="s">
        <v>228</v>
      </c>
      <c r="G127" s="302"/>
      <c r="H127" s="302"/>
      <c r="I127" s="302"/>
      <c r="J127" s="302"/>
      <c r="K127" s="302"/>
      <c r="L127" s="302"/>
      <c r="M127" s="302"/>
      <c r="N127" s="302"/>
      <c r="O127" s="302"/>
      <c r="P127" s="100"/>
      <c r="Q127" s="302"/>
      <c r="R127" s="302"/>
      <c r="S127" s="302"/>
      <c r="T127" s="302"/>
      <c r="U127" s="302"/>
      <c r="V127" s="302"/>
      <c r="W127" s="302"/>
      <c r="X127" s="302"/>
      <c r="Y127" s="100"/>
      <c r="Z127" s="100"/>
      <c r="AA127" s="100"/>
      <c r="AB127" s="100"/>
      <c r="AC127" s="100"/>
      <c r="AD127" s="100"/>
      <c r="AE127" s="100"/>
      <c r="AF127" s="302"/>
      <c r="AG127" s="100"/>
      <c r="AH127" s="302"/>
      <c r="AI127" s="100"/>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c r="CE127" s="302"/>
      <c r="CF127" s="302"/>
      <c r="CG127" s="302"/>
      <c r="CH127" s="302"/>
      <c r="CI127" s="302"/>
      <c r="CJ127" s="302"/>
      <c r="CK127" s="302"/>
      <c r="CL127" s="302"/>
      <c r="CM127" s="302"/>
      <c r="CN127" s="302"/>
      <c r="CO127" s="302"/>
      <c r="CP127" s="302"/>
      <c r="CQ127" s="302"/>
      <c r="CR127" s="302"/>
      <c r="CS127" s="302"/>
      <c r="CT127" s="302"/>
      <c r="CU127" s="302"/>
      <c r="CV127" s="302"/>
      <c r="CW127" s="302"/>
      <c r="CX127" s="302"/>
      <c r="CY127" s="302"/>
      <c r="CZ127" s="302"/>
      <c r="DA127" s="302"/>
      <c r="DB127" s="302"/>
      <c r="DC127" s="302"/>
      <c r="DD127" s="302"/>
      <c r="DE127" s="302"/>
      <c r="DF127" s="302"/>
      <c r="DG127" s="302"/>
      <c r="DH127" s="302"/>
      <c r="DI127" s="302"/>
      <c r="DJ127" s="302"/>
      <c r="DK127" s="302"/>
      <c r="DL127" s="302"/>
      <c r="DM127" s="302"/>
      <c r="DN127" s="302"/>
      <c r="DO127" s="302"/>
      <c r="DP127" s="302"/>
      <c r="DQ127" s="302"/>
      <c r="DR127" s="302"/>
      <c r="DS127" s="302"/>
      <c r="DT127" s="302"/>
      <c r="DU127" s="302"/>
      <c r="DV127" s="302"/>
      <c r="DW127" s="302"/>
      <c r="DX127" s="302"/>
      <c r="DY127" s="302"/>
      <c r="DZ127" s="302"/>
      <c r="EA127" s="302"/>
      <c r="EB127" s="302"/>
      <c r="EC127" s="302"/>
      <c r="ED127" s="302"/>
      <c r="EE127" s="302"/>
      <c r="EF127" s="302"/>
      <c r="EG127" s="302"/>
      <c r="EH127" s="302"/>
      <c r="EI127" s="302"/>
      <c r="EJ127" s="302">
        <v>3.1575E-4</v>
      </c>
      <c r="EK127" s="302"/>
      <c r="EL127" s="302"/>
      <c r="EM127" s="302"/>
      <c r="EN127" s="302"/>
      <c r="EO127" s="302"/>
      <c r="EP127" s="302"/>
      <c r="EQ127" s="302"/>
      <c r="ER127" s="302"/>
      <c r="ES127" s="302"/>
      <c r="ET127" s="302"/>
      <c r="EU127" s="302"/>
      <c r="EV127" s="302"/>
      <c r="EW127" s="302"/>
      <c r="EX127" s="302"/>
      <c r="EY127" s="302"/>
    </row>
    <row r="128" spans="1:156" s="27" customFormat="1" x14ac:dyDescent="0.2">
      <c r="A128" s="38"/>
      <c r="B128" s="37"/>
      <c r="C128" s="36">
        <f t="shared" si="14"/>
        <v>0</v>
      </c>
      <c r="D128" s="20"/>
      <c r="E128" s="36">
        <f t="shared" si="13"/>
        <v>0</v>
      </c>
      <c r="F128" s="126" t="s">
        <v>228</v>
      </c>
      <c r="G128" s="302"/>
      <c r="H128" s="302"/>
      <c r="I128" s="302"/>
      <c r="J128" s="302"/>
      <c r="K128" s="302"/>
      <c r="L128" s="302"/>
      <c r="M128" s="302"/>
      <c r="N128" s="302"/>
      <c r="O128" s="302"/>
      <c r="P128" s="100"/>
      <c r="Q128" s="302"/>
      <c r="R128" s="302"/>
      <c r="S128" s="302"/>
      <c r="T128" s="302"/>
      <c r="U128" s="302"/>
      <c r="V128" s="302"/>
      <c r="W128" s="302"/>
      <c r="X128" s="302"/>
      <c r="Y128" s="100"/>
      <c r="Z128" s="100"/>
      <c r="AA128" s="100"/>
      <c r="AB128" s="100"/>
      <c r="AC128" s="100"/>
      <c r="AD128" s="100"/>
      <c r="AE128" s="100"/>
      <c r="AF128" s="302"/>
      <c r="AG128" s="100"/>
      <c r="AH128" s="302"/>
      <c r="AI128" s="100"/>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2"/>
      <c r="CH128" s="302"/>
      <c r="CI128" s="302"/>
      <c r="CJ128" s="302"/>
      <c r="CK128" s="302"/>
      <c r="CL128" s="302"/>
      <c r="CM128" s="302"/>
      <c r="CN128" s="302"/>
      <c r="CO128" s="302"/>
      <c r="CP128" s="302"/>
      <c r="CQ128" s="302"/>
      <c r="CR128" s="302"/>
      <c r="CS128" s="302"/>
      <c r="CT128" s="302"/>
      <c r="CU128" s="302"/>
      <c r="CV128" s="302"/>
      <c r="CW128" s="302"/>
      <c r="CX128" s="302"/>
      <c r="CY128" s="302"/>
      <c r="CZ128" s="302"/>
      <c r="DA128" s="302"/>
      <c r="DB128" s="302"/>
      <c r="DC128" s="302"/>
      <c r="DD128" s="302"/>
      <c r="DE128" s="302"/>
      <c r="DF128" s="302"/>
      <c r="DG128" s="302"/>
      <c r="DH128" s="302"/>
      <c r="DI128" s="302"/>
      <c r="DJ128" s="302"/>
      <c r="DK128" s="302"/>
      <c r="DL128" s="302"/>
      <c r="DM128" s="302"/>
      <c r="DN128" s="302"/>
      <c r="DO128" s="302"/>
      <c r="DP128" s="302"/>
      <c r="DQ128" s="302"/>
      <c r="DR128" s="302"/>
      <c r="DS128" s="302"/>
      <c r="DT128" s="302"/>
      <c r="DU128" s="302"/>
      <c r="DV128" s="302"/>
      <c r="DW128" s="302"/>
      <c r="DX128" s="302"/>
      <c r="DY128" s="302"/>
      <c r="DZ128" s="302"/>
      <c r="EA128" s="302"/>
      <c r="EB128" s="302"/>
      <c r="EC128" s="302"/>
      <c r="ED128" s="302"/>
      <c r="EE128" s="302"/>
      <c r="EF128" s="302"/>
      <c r="EG128" s="302"/>
      <c r="EH128" s="302"/>
      <c r="EI128" s="302"/>
      <c r="EJ128" s="302"/>
      <c r="EK128" s="302"/>
      <c r="EL128" s="302"/>
      <c r="EM128" s="302"/>
      <c r="EN128" s="302"/>
      <c r="EO128" s="302"/>
      <c r="EP128" s="302"/>
      <c r="EQ128" s="302"/>
      <c r="ER128" s="302"/>
      <c r="ES128" s="302"/>
      <c r="ET128" s="302"/>
      <c r="EU128" s="302"/>
      <c r="EV128" s="302"/>
      <c r="EW128" s="302"/>
      <c r="EX128" s="302"/>
      <c r="EY128" s="302"/>
    </row>
    <row r="129" spans="1:155" s="27" customFormat="1" x14ac:dyDescent="0.2">
      <c r="A129" s="38"/>
      <c r="B129" s="37"/>
      <c r="C129" s="36">
        <f t="shared" si="14"/>
        <v>0</v>
      </c>
      <c r="D129" s="20"/>
      <c r="E129" s="36">
        <f t="shared" si="13"/>
        <v>0</v>
      </c>
      <c r="F129" s="126" t="s">
        <v>228</v>
      </c>
      <c r="G129" s="302"/>
      <c r="H129" s="302"/>
      <c r="I129" s="302"/>
      <c r="J129" s="302"/>
      <c r="K129" s="302"/>
      <c r="L129" s="302"/>
      <c r="M129" s="302"/>
      <c r="N129" s="302"/>
      <c r="O129" s="302"/>
      <c r="P129" s="100"/>
      <c r="Q129" s="302"/>
      <c r="R129" s="302"/>
      <c r="S129" s="302"/>
      <c r="T129" s="302"/>
      <c r="U129" s="302"/>
      <c r="V129" s="302"/>
      <c r="W129" s="302"/>
      <c r="X129" s="302"/>
      <c r="Y129" s="100"/>
      <c r="Z129" s="100"/>
      <c r="AA129" s="100"/>
      <c r="AB129" s="100"/>
      <c r="AC129" s="100"/>
      <c r="AD129" s="100"/>
      <c r="AE129" s="100"/>
      <c r="AF129" s="302"/>
      <c r="AG129" s="100"/>
      <c r="AH129" s="302"/>
      <c r="AI129" s="100"/>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c r="CE129" s="302"/>
      <c r="CF129" s="302"/>
      <c r="CG129" s="302"/>
      <c r="CH129" s="302"/>
      <c r="CI129" s="302"/>
      <c r="CJ129" s="302"/>
      <c r="CK129" s="302"/>
      <c r="CL129" s="302"/>
      <c r="CM129" s="302"/>
      <c r="CN129" s="302"/>
      <c r="CO129" s="302"/>
      <c r="CP129" s="302"/>
      <c r="CQ129" s="302"/>
      <c r="CR129" s="302"/>
      <c r="CS129" s="302"/>
      <c r="CT129" s="302"/>
      <c r="CU129" s="302"/>
      <c r="CV129" s="302"/>
      <c r="CW129" s="302"/>
      <c r="CX129" s="302"/>
      <c r="CY129" s="302"/>
      <c r="CZ129" s="302"/>
      <c r="DA129" s="302"/>
      <c r="DB129" s="302"/>
      <c r="DC129" s="302"/>
      <c r="DD129" s="302"/>
      <c r="DE129" s="302"/>
      <c r="DF129" s="302"/>
      <c r="DG129" s="302"/>
      <c r="DH129" s="302"/>
      <c r="DI129" s="302"/>
      <c r="DJ129" s="302"/>
      <c r="DK129" s="302"/>
      <c r="DL129" s="302"/>
      <c r="DM129" s="302"/>
      <c r="DN129" s="302"/>
      <c r="DO129" s="302"/>
      <c r="DP129" s="302"/>
      <c r="DQ129" s="302"/>
      <c r="DR129" s="302"/>
      <c r="DS129" s="302"/>
      <c r="DT129" s="302"/>
      <c r="DU129" s="302"/>
      <c r="DV129" s="302"/>
      <c r="DW129" s="302"/>
      <c r="DX129" s="302"/>
      <c r="DY129" s="302"/>
      <c r="DZ129" s="302"/>
      <c r="EA129" s="302"/>
      <c r="EB129" s="302"/>
      <c r="EC129" s="302"/>
      <c r="ED129" s="302"/>
      <c r="EE129" s="302"/>
      <c r="EF129" s="302"/>
      <c r="EG129" s="302"/>
      <c r="EH129" s="302"/>
      <c r="EI129" s="302"/>
      <c r="EJ129" s="302"/>
      <c r="EK129" s="302"/>
      <c r="EL129" s="302"/>
      <c r="EM129" s="302"/>
      <c r="EN129" s="302"/>
      <c r="EO129" s="302"/>
      <c r="EP129" s="302"/>
      <c r="EQ129" s="302"/>
      <c r="ER129" s="302"/>
      <c r="ES129" s="302"/>
      <c r="ET129" s="302"/>
      <c r="EU129" s="302"/>
      <c r="EV129" s="302"/>
      <c r="EW129" s="302"/>
      <c r="EX129" s="302"/>
      <c r="EY129" s="302"/>
    </row>
    <row r="130" spans="1:155" s="27" customFormat="1" x14ac:dyDescent="0.2">
      <c r="A130" s="38"/>
      <c r="B130" s="37"/>
      <c r="C130" s="36">
        <f t="shared" si="14"/>
        <v>0</v>
      </c>
      <c r="D130" s="20"/>
      <c r="E130" s="36">
        <f t="shared" si="13"/>
        <v>0</v>
      </c>
      <c r="F130" s="126" t="s">
        <v>228</v>
      </c>
      <c r="G130" s="302"/>
      <c r="H130" s="302"/>
      <c r="I130" s="302"/>
      <c r="J130" s="302"/>
      <c r="K130" s="302"/>
      <c r="L130" s="302"/>
      <c r="M130" s="302"/>
      <c r="N130" s="302"/>
      <c r="O130" s="302"/>
      <c r="P130" s="100"/>
      <c r="Q130" s="302"/>
      <c r="R130" s="302"/>
      <c r="S130" s="302"/>
      <c r="T130" s="302"/>
      <c r="U130" s="302"/>
      <c r="V130" s="302"/>
      <c r="W130" s="302"/>
      <c r="X130" s="302"/>
      <c r="Y130" s="100"/>
      <c r="Z130" s="100"/>
      <c r="AA130" s="100"/>
      <c r="AB130" s="100"/>
      <c r="AC130" s="100"/>
      <c r="AD130" s="100"/>
      <c r="AE130" s="100"/>
      <c r="AF130" s="302"/>
      <c r="AG130" s="100"/>
      <c r="AH130" s="302"/>
      <c r="AI130" s="100"/>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c r="CE130" s="302"/>
      <c r="CF130" s="302"/>
      <c r="CG130" s="302"/>
      <c r="CH130" s="302"/>
      <c r="CI130" s="302"/>
      <c r="CJ130" s="302"/>
      <c r="CK130" s="302"/>
      <c r="CL130" s="302"/>
      <c r="CM130" s="302"/>
      <c r="CN130" s="302"/>
      <c r="CO130" s="302"/>
      <c r="CP130" s="302"/>
      <c r="CQ130" s="302"/>
      <c r="CR130" s="302"/>
      <c r="CS130" s="302"/>
      <c r="CT130" s="302"/>
      <c r="CU130" s="302"/>
      <c r="CV130" s="302"/>
      <c r="CW130" s="302"/>
      <c r="CX130" s="302"/>
      <c r="CY130" s="302"/>
      <c r="CZ130" s="302"/>
      <c r="DA130" s="302"/>
      <c r="DB130" s="302"/>
      <c r="DC130" s="302"/>
      <c r="DD130" s="302"/>
      <c r="DE130" s="302"/>
      <c r="DF130" s="302"/>
      <c r="DG130" s="302"/>
      <c r="DH130" s="302"/>
      <c r="DI130" s="302"/>
      <c r="DJ130" s="302"/>
      <c r="DK130" s="302"/>
      <c r="DL130" s="302"/>
      <c r="DM130" s="302"/>
      <c r="DN130" s="302"/>
      <c r="DO130" s="302"/>
      <c r="DP130" s="302"/>
      <c r="DQ130" s="302"/>
      <c r="DR130" s="302"/>
      <c r="DS130" s="302"/>
      <c r="DT130" s="302"/>
      <c r="DU130" s="302"/>
      <c r="DV130" s="302"/>
      <c r="DW130" s="302"/>
      <c r="DX130" s="302"/>
      <c r="DY130" s="302"/>
      <c r="DZ130" s="302"/>
      <c r="EA130" s="302"/>
      <c r="EB130" s="302"/>
      <c r="EC130" s="302"/>
      <c r="ED130" s="302"/>
      <c r="EE130" s="302"/>
      <c r="EF130" s="302"/>
      <c r="EG130" s="302"/>
      <c r="EH130" s="302"/>
      <c r="EI130" s="302"/>
      <c r="EJ130" s="302"/>
      <c r="EK130" s="302"/>
      <c r="EL130" s="302"/>
      <c r="EM130" s="302"/>
      <c r="EN130" s="302"/>
      <c r="EO130" s="302"/>
      <c r="EP130" s="302"/>
      <c r="EQ130" s="302"/>
      <c r="ER130" s="302"/>
      <c r="ES130" s="302"/>
      <c r="ET130" s="302"/>
      <c r="EU130" s="302"/>
      <c r="EV130" s="302"/>
      <c r="EW130" s="302"/>
      <c r="EX130" s="302"/>
      <c r="EY130" s="302"/>
    </row>
    <row r="131" spans="1:155" s="27" customFormat="1" x14ac:dyDescent="0.2">
      <c r="A131" s="38"/>
      <c r="B131" s="37"/>
      <c r="C131" s="36">
        <f t="shared" si="14"/>
        <v>0</v>
      </c>
      <c r="D131" s="20"/>
      <c r="E131" s="36">
        <f t="shared" si="13"/>
        <v>0</v>
      </c>
      <c r="F131" s="126" t="s">
        <v>228</v>
      </c>
      <c r="G131" s="302"/>
      <c r="H131" s="302"/>
      <c r="I131" s="302"/>
      <c r="J131" s="302"/>
      <c r="K131" s="302"/>
      <c r="L131" s="302"/>
      <c r="M131" s="302"/>
      <c r="N131" s="302"/>
      <c r="O131" s="302"/>
      <c r="P131" s="100"/>
      <c r="Q131" s="302"/>
      <c r="R131" s="302"/>
      <c r="S131" s="302"/>
      <c r="T131" s="302"/>
      <c r="U131" s="302"/>
      <c r="V131" s="302"/>
      <c r="W131" s="302"/>
      <c r="X131" s="302"/>
      <c r="Y131" s="100"/>
      <c r="Z131" s="100"/>
      <c r="AA131" s="100"/>
      <c r="AB131" s="100"/>
      <c r="AC131" s="100"/>
      <c r="AD131" s="100"/>
      <c r="AE131" s="100"/>
      <c r="AF131" s="302"/>
      <c r="AG131" s="100"/>
      <c r="AH131" s="302"/>
      <c r="AI131" s="100"/>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c r="CE131" s="302"/>
      <c r="CF131" s="302"/>
      <c r="CG131" s="302"/>
      <c r="CH131" s="302"/>
      <c r="CI131" s="302"/>
      <c r="CJ131" s="302"/>
      <c r="CK131" s="302"/>
      <c r="CL131" s="302"/>
      <c r="CM131" s="302"/>
      <c r="CN131" s="302"/>
      <c r="CO131" s="302"/>
      <c r="CP131" s="302"/>
      <c r="CQ131" s="302"/>
      <c r="CR131" s="302"/>
      <c r="CS131" s="302"/>
      <c r="CT131" s="302"/>
      <c r="CU131" s="302"/>
      <c r="CV131" s="302"/>
      <c r="CW131" s="302"/>
      <c r="CX131" s="302"/>
      <c r="CY131" s="302"/>
      <c r="CZ131" s="302"/>
      <c r="DA131" s="302"/>
      <c r="DB131" s="302"/>
      <c r="DC131" s="302"/>
      <c r="DD131" s="302"/>
      <c r="DE131" s="302"/>
      <c r="DF131" s="302"/>
      <c r="DG131" s="302"/>
      <c r="DH131" s="302"/>
      <c r="DI131" s="302"/>
      <c r="DJ131" s="302"/>
      <c r="DK131" s="302"/>
      <c r="DL131" s="302"/>
      <c r="DM131" s="302"/>
      <c r="DN131" s="302"/>
      <c r="DO131" s="302"/>
      <c r="DP131" s="302"/>
      <c r="DQ131" s="302"/>
      <c r="DR131" s="302"/>
      <c r="DS131" s="302"/>
      <c r="DT131" s="302"/>
      <c r="DU131" s="302"/>
      <c r="DV131" s="302"/>
      <c r="DW131" s="302"/>
      <c r="DX131" s="302"/>
      <c r="DY131" s="302"/>
      <c r="DZ131" s="302"/>
      <c r="EA131" s="302"/>
      <c r="EB131" s="302"/>
      <c r="EC131" s="302"/>
      <c r="ED131" s="302"/>
      <c r="EE131" s="302"/>
      <c r="EF131" s="302"/>
      <c r="EG131" s="302"/>
      <c r="EH131" s="302"/>
      <c r="EI131" s="302"/>
      <c r="EJ131" s="302"/>
      <c r="EK131" s="302"/>
      <c r="EL131" s="302"/>
      <c r="EM131" s="302"/>
      <c r="EN131" s="302"/>
      <c r="EO131" s="302"/>
      <c r="EP131" s="302"/>
      <c r="EQ131" s="302"/>
      <c r="ER131" s="302"/>
      <c r="ES131" s="302"/>
      <c r="ET131" s="302"/>
      <c r="EU131" s="302"/>
      <c r="EV131" s="302"/>
      <c r="EW131" s="302"/>
      <c r="EX131" s="302"/>
      <c r="EY131" s="302"/>
    </row>
    <row r="132" spans="1:155" s="27" customFormat="1" x14ac:dyDescent="0.2">
      <c r="A132" s="38"/>
      <c r="B132" s="37"/>
      <c r="C132" s="36">
        <f t="shared" si="14"/>
        <v>0</v>
      </c>
      <c r="D132" s="20"/>
      <c r="E132" s="36">
        <f t="shared" si="13"/>
        <v>0</v>
      </c>
      <c r="F132" s="126" t="s">
        <v>228</v>
      </c>
      <c r="G132" s="302"/>
      <c r="H132" s="302"/>
      <c r="I132" s="302"/>
      <c r="J132" s="302"/>
      <c r="K132" s="302"/>
      <c r="L132" s="302"/>
      <c r="M132" s="302"/>
      <c r="N132" s="302"/>
      <c r="O132" s="302"/>
      <c r="P132" s="100"/>
      <c r="Q132" s="302"/>
      <c r="R132" s="302"/>
      <c r="S132" s="302"/>
      <c r="T132" s="302"/>
      <c r="U132" s="302"/>
      <c r="V132" s="302"/>
      <c r="W132" s="302"/>
      <c r="X132" s="302"/>
      <c r="Y132" s="100"/>
      <c r="Z132" s="100"/>
      <c r="AA132" s="100"/>
      <c r="AB132" s="100"/>
      <c r="AC132" s="100"/>
      <c r="AD132" s="100"/>
      <c r="AE132" s="100"/>
      <c r="AF132" s="302"/>
      <c r="AG132" s="100"/>
      <c r="AH132" s="302"/>
      <c r="AI132" s="100"/>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c r="CE132" s="302"/>
      <c r="CF132" s="302"/>
      <c r="CG132" s="302"/>
      <c r="CH132" s="302"/>
      <c r="CI132" s="302"/>
      <c r="CJ132" s="302"/>
      <c r="CK132" s="302"/>
      <c r="CL132" s="302"/>
      <c r="CM132" s="302"/>
      <c r="CN132" s="302"/>
      <c r="CO132" s="302"/>
      <c r="CP132" s="302"/>
      <c r="CQ132" s="302"/>
      <c r="CR132" s="302"/>
      <c r="CS132" s="302"/>
      <c r="CT132" s="302"/>
      <c r="CU132" s="302"/>
      <c r="CV132" s="302"/>
      <c r="CW132" s="302"/>
      <c r="CX132" s="302"/>
      <c r="CY132" s="302"/>
      <c r="CZ132" s="302"/>
      <c r="DA132" s="302"/>
      <c r="DB132" s="302"/>
      <c r="DC132" s="302"/>
      <c r="DD132" s="302"/>
      <c r="DE132" s="302"/>
      <c r="DF132" s="302"/>
      <c r="DG132" s="302"/>
      <c r="DH132" s="302"/>
      <c r="DI132" s="302"/>
      <c r="DJ132" s="302"/>
      <c r="DK132" s="302"/>
      <c r="DL132" s="302"/>
      <c r="DM132" s="302"/>
      <c r="DN132" s="302"/>
      <c r="DO132" s="302"/>
      <c r="DP132" s="302"/>
      <c r="DQ132" s="302"/>
      <c r="DR132" s="302"/>
      <c r="DS132" s="302"/>
      <c r="DT132" s="302"/>
      <c r="DU132" s="302"/>
      <c r="DV132" s="302"/>
      <c r="DW132" s="302"/>
      <c r="DX132" s="302"/>
      <c r="DY132" s="302"/>
      <c r="DZ132" s="302"/>
      <c r="EA132" s="302"/>
      <c r="EB132" s="302"/>
      <c r="EC132" s="302"/>
      <c r="ED132" s="302"/>
      <c r="EE132" s="302"/>
      <c r="EF132" s="302"/>
      <c r="EG132" s="302"/>
      <c r="EH132" s="302"/>
      <c r="EI132" s="302"/>
      <c r="EJ132" s="302"/>
      <c r="EK132" s="302"/>
      <c r="EL132" s="302"/>
      <c r="EM132" s="302"/>
      <c r="EN132" s="302"/>
      <c r="EO132" s="302"/>
      <c r="EP132" s="302"/>
      <c r="EQ132" s="302"/>
      <c r="ER132" s="302"/>
      <c r="ES132" s="302"/>
      <c r="ET132" s="302"/>
      <c r="EU132" s="302"/>
      <c r="EV132" s="302"/>
      <c r="EW132" s="302"/>
      <c r="EX132" s="302"/>
      <c r="EY132" s="302"/>
    </row>
    <row r="133" spans="1:155" s="27" customFormat="1" x14ac:dyDescent="0.2">
      <c r="A133" s="38"/>
      <c r="B133" s="37"/>
      <c r="C133" s="36">
        <f t="shared" si="14"/>
        <v>0</v>
      </c>
      <c r="D133" s="20"/>
      <c r="E133" s="36">
        <f t="shared" si="13"/>
        <v>0</v>
      </c>
      <c r="F133" s="126" t="s">
        <v>228</v>
      </c>
      <c r="G133" s="302"/>
      <c r="H133" s="302"/>
      <c r="I133" s="302"/>
      <c r="J133" s="302"/>
      <c r="K133" s="302"/>
      <c r="L133" s="302"/>
      <c r="M133" s="302"/>
      <c r="N133" s="302"/>
      <c r="O133" s="302"/>
      <c r="P133" s="100"/>
      <c r="Q133" s="302"/>
      <c r="R133" s="302"/>
      <c r="S133" s="302"/>
      <c r="T133" s="302"/>
      <c r="U133" s="302"/>
      <c r="V133" s="302"/>
      <c r="W133" s="302"/>
      <c r="X133" s="302"/>
      <c r="Y133" s="100"/>
      <c r="Z133" s="100"/>
      <c r="AA133" s="100"/>
      <c r="AB133" s="100"/>
      <c r="AC133" s="100"/>
      <c r="AD133" s="100"/>
      <c r="AE133" s="100"/>
      <c r="AF133" s="302"/>
      <c r="AG133" s="100"/>
      <c r="AH133" s="302"/>
      <c r="AI133" s="100"/>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c r="CE133" s="302"/>
      <c r="CF133" s="302"/>
      <c r="CG133" s="302"/>
      <c r="CH133" s="302"/>
      <c r="CI133" s="302"/>
      <c r="CJ133" s="302"/>
      <c r="CK133" s="302"/>
      <c r="CL133" s="302"/>
      <c r="CM133" s="302"/>
      <c r="CN133" s="302"/>
      <c r="CO133" s="302"/>
      <c r="CP133" s="302"/>
      <c r="CQ133" s="302"/>
      <c r="CR133" s="302"/>
      <c r="CS133" s="302"/>
      <c r="CT133" s="302"/>
      <c r="CU133" s="302"/>
      <c r="CV133" s="302"/>
      <c r="CW133" s="302"/>
      <c r="CX133" s="302"/>
      <c r="CY133" s="302"/>
      <c r="CZ133" s="302"/>
      <c r="DA133" s="302"/>
      <c r="DB133" s="302"/>
      <c r="DC133" s="302"/>
      <c r="DD133" s="302"/>
      <c r="DE133" s="302"/>
      <c r="DF133" s="302"/>
      <c r="DG133" s="302"/>
      <c r="DH133" s="302"/>
      <c r="DI133" s="302"/>
      <c r="DJ133" s="302"/>
      <c r="DK133" s="302"/>
      <c r="DL133" s="302"/>
      <c r="DM133" s="302"/>
      <c r="DN133" s="302"/>
      <c r="DO133" s="302"/>
      <c r="DP133" s="302"/>
      <c r="DQ133" s="302"/>
      <c r="DR133" s="302"/>
      <c r="DS133" s="302"/>
      <c r="DT133" s="302"/>
      <c r="DU133" s="302"/>
      <c r="DV133" s="302"/>
      <c r="DW133" s="302"/>
      <c r="DX133" s="302"/>
      <c r="DY133" s="302"/>
      <c r="DZ133" s="302"/>
      <c r="EA133" s="302"/>
      <c r="EB133" s="302"/>
      <c r="EC133" s="302"/>
      <c r="ED133" s="302"/>
      <c r="EE133" s="302"/>
      <c r="EF133" s="302"/>
      <c r="EG133" s="302"/>
      <c r="EH133" s="302"/>
      <c r="EI133" s="302"/>
      <c r="EJ133" s="302"/>
      <c r="EK133" s="302"/>
      <c r="EL133" s="302"/>
      <c r="EM133" s="302"/>
      <c r="EN133" s="302"/>
      <c r="EO133" s="302"/>
      <c r="EP133" s="302"/>
      <c r="EQ133" s="302"/>
      <c r="ER133" s="302"/>
      <c r="ES133" s="302"/>
      <c r="ET133" s="302"/>
      <c r="EU133" s="302"/>
      <c r="EV133" s="302"/>
      <c r="EW133" s="302"/>
      <c r="EX133" s="302"/>
      <c r="EY133" s="302"/>
    </row>
    <row r="134" spans="1:155" s="27" customFormat="1" x14ac:dyDescent="0.2">
      <c r="A134" s="38"/>
      <c r="B134" s="37"/>
      <c r="C134" s="36">
        <f t="shared" si="14"/>
        <v>0</v>
      </c>
      <c r="D134" s="20"/>
      <c r="E134" s="36">
        <f t="shared" si="13"/>
        <v>0</v>
      </c>
      <c r="F134" s="126" t="s">
        <v>228</v>
      </c>
      <c r="G134" s="302"/>
      <c r="H134" s="302"/>
      <c r="I134" s="302"/>
      <c r="J134" s="302"/>
      <c r="K134" s="302"/>
      <c r="L134" s="302"/>
      <c r="M134" s="302"/>
      <c r="N134" s="302"/>
      <c r="O134" s="302"/>
      <c r="P134" s="100"/>
      <c r="Q134" s="302"/>
      <c r="R134" s="302"/>
      <c r="S134" s="302"/>
      <c r="T134" s="302"/>
      <c r="U134" s="302"/>
      <c r="V134" s="302"/>
      <c r="W134" s="302"/>
      <c r="X134" s="302"/>
      <c r="Y134" s="100"/>
      <c r="Z134" s="100"/>
      <c r="AA134" s="100"/>
      <c r="AB134" s="100"/>
      <c r="AC134" s="100"/>
      <c r="AD134" s="100"/>
      <c r="AE134" s="100"/>
      <c r="AF134" s="302"/>
      <c r="AG134" s="100"/>
      <c r="AH134" s="302"/>
      <c r="AI134" s="100"/>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c r="CE134" s="302"/>
      <c r="CF134" s="302"/>
      <c r="CG134" s="302"/>
      <c r="CH134" s="302"/>
      <c r="CI134" s="302"/>
      <c r="CJ134" s="302"/>
      <c r="CK134" s="302"/>
      <c r="CL134" s="302"/>
      <c r="CM134" s="302"/>
      <c r="CN134" s="302"/>
      <c r="CO134" s="302"/>
      <c r="CP134" s="302"/>
      <c r="CQ134" s="302"/>
      <c r="CR134" s="302"/>
      <c r="CS134" s="302"/>
      <c r="CT134" s="302"/>
      <c r="CU134" s="302"/>
      <c r="CV134" s="302"/>
      <c r="CW134" s="302"/>
      <c r="CX134" s="302"/>
      <c r="CY134" s="302"/>
      <c r="CZ134" s="302"/>
      <c r="DA134" s="302"/>
      <c r="DB134" s="302"/>
      <c r="DC134" s="302"/>
      <c r="DD134" s="302"/>
      <c r="DE134" s="302"/>
      <c r="DF134" s="302"/>
      <c r="DG134" s="302"/>
      <c r="DH134" s="302"/>
      <c r="DI134" s="302"/>
      <c r="DJ134" s="302"/>
      <c r="DK134" s="302"/>
      <c r="DL134" s="302"/>
      <c r="DM134" s="302"/>
      <c r="DN134" s="302"/>
      <c r="DO134" s="302"/>
      <c r="DP134" s="302"/>
      <c r="DQ134" s="302"/>
      <c r="DR134" s="302"/>
      <c r="DS134" s="302"/>
      <c r="DT134" s="302"/>
      <c r="DU134" s="302"/>
      <c r="DV134" s="302"/>
      <c r="DW134" s="302"/>
      <c r="DX134" s="302"/>
      <c r="DY134" s="302"/>
      <c r="DZ134" s="302"/>
      <c r="EA134" s="302"/>
      <c r="EB134" s="302"/>
      <c r="EC134" s="302"/>
      <c r="ED134" s="302"/>
      <c r="EE134" s="302"/>
      <c r="EF134" s="302"/>
      <c r="EG134" s="302"/>
      <c r="EH134" s="302"/>
      <c r="EI134" s="302"/>
      <c r="EJ134" s="302"/>
      <c r="EK134" s="302"/>
      <c r="EL134" s="302"/>
      <c r="EM134" s="302"/>
      <c r="EN134" s="302"/>
      <c r="EO134" s="302"/>
      <c r="EP134" s="302"/>
      <c r="EQ134" s="302"/>
      <c r="ER134" s="302"/>
      <c r="ES134" s="302"/>
      <c r="ET134" s="302"/>
      <c r="EU134" s="302"/>
      <c r="EV134" s="302"/>
      <c r="EW134" s="302"/>
      <c r="EX134" s="302"/>
      <c r="EY134" s="302"/>
    </row>
    <row r="135" spans="1:155" s="27" customFormat="1" x14ac:dyDescent="0.2">
      <c r="A135" s="38"/>
      <c r="B135" s="37"/>
      <c r="C135" s="36">
        <f t="shared" si="14"/>
        <v>0</v>
      </c>
      <c r="D135" s="20"/>
      <c r="E135" s="36">
        <f t="shared" si="13"/>
        <v>0</v>
      </c>
      <c r="F135" s="126" t="s">
        <v>228</v>
      </c>
      <c r="G135" s="302"/>
      <c r="H135" s="302"/>
      <c r="I135" s="302"/>
      <c r="J135" s="302"/>
      <c r="K135" s="302"/>
      <c r="L135" s="302"/>
      <c r="M135" s="302"/>
      <c r="N135" s="302"/>
      <c r="O135" s="302"/>
      <c r="P135" s="100"/>
      <c r="Q135" s="302"/>
      <c r="R135" s="302"/>
      <c r="S135" s="302"/>
      <c r="T135" s="302"/>
      <c r="U135" s="302"/>
      <c r="V135" s="302"/>
      <c r="W135" s="302"/>
      <c r="X135" s="302"/>
      <c r="Y135" s="100"/>
      <c r="Z135" s="100"/>
      <c r="AA135" s="100"/>
      <c r="AB135" s="100"/>
      <c r="AC135" s="100"/>
      <c r="AD135" s="100"/>
      <c r="AE135" s="100"/>
      <c r="AF135" s="302"/>
      <c r="AG135" s="100"/>
      <c r="AH135" s="302"/>
      <c r="AI135" s="100"/>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c r="CE135" s="302"/>
      <c r="CF135" s="302"/>
      <c r="CG135" s="302"/>
      <c r="CH135" s="302"/>
      <c r="CI135" s="302"/>
      <c r="CJ135" s="302"/>
      <c r="CK135" s="302"/>
      <c r="CL135" s="302"/>
      <c r="CM135" s="302"/>
      <c r="CN135" s="302"/>
      <c r="CO135" s="302"/>
      <c r="CP135" s="302"/>
      <c r="CQ135" s="302"/>
      <c r="CR135" s="302"/>
      <c r="CS135" s="302"/>
      <c r="CT135" s="302"/>
      <c r="CU135" s="302"/>
      <c r="CV135" s="302"/>
      <c r="CW135" s="302"/>
      <c r="CX135" s="302"/>
      <c r="CY135" s="302"/>
      <c r="CZ135" s="302"/>
      <c r="DA135" s="302"/>
      <c r="DB135" s="302"/>
      <c r="DC135" s="302"/>
      <c r="DD135" s="302"/>
      <c r="DE135" s="302"/>
      <c r="DF135" s="302"/>
      <c r="DG135" s="302"/>
      <c r="DH135" s="302"/>
      <c r="DI135" s="302"/>
      <c r="DJ135" s="302"/>
      <c r="DK135" s="302"/>
      <c r="DL135" s="302"/>
      <c r="DM135" s="302"/>
      <c r="DN135" s="302"/>
      <c r="DO135" s="302"/>
      <c r="DP135" s="302"/>
      <c r="DQ135" s="302"/>
      <c r="DR135" s="302"/>
      <c r="DS135" s="302"/>
      <c r="DT135" s="302"/>
      <c r="DU135" s="302"/>
      <c r="DV135" s="302"/>
      <c r="DW135" s="302"/>
      <c r="DX135" s="302"/>
      <c r="DY135" s="302"/>
      <c r="DZ135" s="302"/>
      <c r="EA135" s="302"/>
      <c r="EB135" s="302"/>
      <c r="EC135" s="302"/>
      <c r="ED135" s="302"/>
      <c r="EE135" s="302"/>
      <c r="EF135" s="302"/>
      <c r="EG135" s="302"/>
      <c r="EH135" s="302"/>
      <c r="EI135" s="302"/>
      <c r="EJ135" s="302"/>
      <c r="EK135" s="302"/>
      <c r="EL135" s="302"/>
      <c r="EM135" s="302"/>
      <c r="EN135" s="302"/>
      <c r="EO135" s="302"/>
      <c r="EP135" s="302"/>
      <c r="EQ135" s="302"/>
      <c r="ER135" s="302"/>
      <c r="ES135" s="302"/>
      <c r="ET135" s="302"/>
      <c r="EU135" s="302"/>
      <c r="EV135" s="302"/>
      <c r="EW135" s="302"/>
      <c r="EX135" s="302"/>
      <c r="EY135" s="302"/>
    </row>
    <row r="136" spans="1:155" s="27" customFormat="1" x14ac:dyDescent="0.2">
      <c r="A136" s="38"/>
      <c r="B136" s="37"/>
      <c r="C136" s="36">
        <f t="shared" si="14"/>
        <v>0</v>
      </c>
      <c r="D136" s="20"/>
      <c r="E136" s="36">
        <f t="shared" si="13"/>
        <v>0</v>
      </c>
      <c r="F136" s="126" t="s">
        <v>228</v>
      </c>
      <c r="G136" s="302"/>
      <c r="H136" s="302"/>
      <c r="I136" s="302"/>
      <c r="J136" s="302"/>
      <c r="K136" s="302"/>
      <c r="L136" s="302"/>
      <c r="M136" s="302"/>
      <c r="N136" s="302"/>
      <c r="O136" s="302"/>
      <c r="P136" s="100"/>
      <c r="Q136" s="302"/>
      <c r="R136" s="302"/>
      <c r="S136" s="302"/>
      <c r="T136" s="302"/>
      <c r="U136" s="302"/>
      <c r="V136" s="302"/>
      <c r="W136" s="302"/>
      <c r="X136" s="302"/>
      <c r="Y136" s="100"/>
      <c r="Z136" s="100"/>
      <c r="AA136" s="100"/>
      <c r="AB136" s="100"/>
      <c r="AC136" s="100"/>
      <c r="AD136" s="100"/>
      <c r="AE136" s="100"/>
      <c r="AF136" s="302"/>
      <c r="AG136" s="100"/>
      <c r="AH136" s="302"/>
      <c r="AI136" s="100"/>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c r="CE136" s="302"/>
      <c r="CF136" s="302"/>
      <c r="CG136" s="302"/>
      <c r="CH136" s="302"/>
      <c r="CI136" s="302"/>
      <c r="CJ136" s="302"/>
      <c r="CK136" s="302"/>
      <c r="CL136" s="302"/>
      <c r="CM136" s="302"/>
      <c r="CN136" s="302"/>
      <c r="CO136" s="302"/>
      <c r="CP136" s="302"/>
      <c r="CQ136" s="302"/>
      <c r="CR136" s="302"/>
      <c r="CS136" s="302"/>
      <c r="CT136" s="302"/>
      <c r="CU136" s="302"/>
      <c r="CV136" s="302"/>
      <c r="CW136" s="302"/>
      <c r="CX136" s="302"/>
      <c r="CY136" s="302"/>
      <c r="CZ136" s="302"/>
      <c r="DA136" s="302"/>
      <c r="DB136" s="302"/>
      <c r="DC136" s="302"/>
      <c r="DD136" s="302"/>
      <c r="DE136" s="302"/>
      <c r="DF136" s="302"/>
      <c r="DG136" s="302"/>
      <c r="DH136" s="302"/>
      <c r="DI136" s="302"/>
      <c r="DJ136" s="302"/>
      <c r="DK136" s="302"/>
      <c r="DL136" s="302"/>
      <c r="DM136" s="302"/>
      <c r="DN136" s="302"/>
      <c r="DO136" s="302"/>
      <c r="DP136" s="302"/>
      <c r="DQ136" s="302"/>
      <c r="DR136" s="302"/>
      <c r="DS136" s="302"/>
      <c r="DT136" s="302"/>
      <c r="DU136" s="302"/>
      <c r="DV136" s="302"/>
      <c r="DW136" s="302"/>
      <c r="DX136" s="302"/>
      <c r="DY136" s="302"/>
      <c r="DZ136" s="302"/>
      <c r="EA136" s="302"/>
      <c r="EB136" s="302"/>
      <c r="EC136" s="302"/>
      <c r="ED136" s="302"/>
      <c r="EE136" s="302"/>
      <c r="EF136" s="302"/>
      <c r="EG136" s="302"/>
      <c r="EH136" s="302"/>
      <c r="EI136" s="302"/>
      <c r="EJ136" s="302"/>
      <c r="EK136" s="302"/>
      <c r="EL136" s="302"/>
      <c r="EM136" s="302"/>
      <c r="EN136" s="302"/>
      <c r="EO136" s="302"/>
      <c r="EP136" s="302"/>
      <c r="EQ136" s="302"/>
      <c r="ER136" s="302"/>
      <c r="ES136" s="302"/>
      <c r="ET136" s="302"/>
      <c r="EU136" s="302"/>
      <c r="EV136" s="302"/>
      <c r="EW136" s="302"/>
      <c r="EX136" s="302"/>
      <c r="EY136" s="302"/>
    </row>
    <row r="137" spans="1:155" s="27" customFormat="1" x14ac:dyDescent="0.2">
      <c r="A137" s="38"/>
      <c r="B137" s="37"/>
      <c r="C137" s="36">
        <f t="shared" si="14"/>
        <v>0</v>
      </c>
      <c r="D137" s="20"/>
      <c r="E137" s="36">
        <f t="shared" si="13"/>
        <v>0</v>
      </c>
      <c r="F137" s="126" t="s">
        <v>228</v>
      </c>
      <c r="G137" s="302"/>
      <c r="H137" s="302"/>
      <c r="I137" s="302"/>
      <c r="J137" s="302"/>
      <c r="K137" s="302"/>
      <c r="L137" s="302"/>
      <c r="M137" s="302"/>
      <c r="N137" s="302"/>
      <c r="O137" s="302"/>
      <c r="P137" s="100"/>
      <c r="Q137" s="302"/>
      <c r="R137" s="302"/>
      <c r="S137" s="302"/>
      <c r="T137" s="302"/>
      <c r="U137" s="302"/>
      <c r="V137" s="302"/>
      <c r="W137" s="302"/>
      <c r="X137" s="302"/>
      <c r="Y137" s="100"/>
      <c r="Z137" s="100"/>
      <c r="AA137" s="100"/>
      <c r="AB137" s="100"/>
      <c r="AC137" s="100"/>
      <c r="AD137" s="100"/>
      <c r="AE137" s="100"/>
      <c r="AF137" s="302"/>
      <c r="AG137" s="100"/>
      <c r="AH137" s="302"/>
      <c r="AI137" s="100"/>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c r="CE137" s="302"/>
      <c r="CF137" s="302"/>
      <c r="CG137" s="302"/>
      <c r="CH137" s="302"/>
      <c r="CI137" s="302"/>
      <c r="CJ137" s="302"/>
      <c r="CK137" s="302"/>
      <c r="CL137" s="302"/>
      <c r="CM137" s="302"/>
      <c r="CN137" s="302"/>
      <c r="CO137" s="302"/>
      <c r="CP137" s="302"/>
      <c r="CQ137" s="302"/>
      <c r="CR137" s="302"/>
      <c r="CS137" s="302"/>
      <c r="CT137" s="302"/>
      <c r="CU137" s="302"/>
      <c r="CV137" s="302"/>
      <c r="CW137" s="302"/>
      <c r="CX137" s="302"/>
      <c r="CY137" s="302"/>
      <c r="CZ137" s="302"/>
      <c r="DA137" s="302"/>
      <c r="DB137" s="302"/>
      <c r="DC137" s="302"/>
      <c r="DD137" s="302"/>
      <c r="DE137" s="302"/>
      <c r="DF137" s="302"/>
      <c r="DG137" s="302"/>
      <c r="DH137" s="302"/>
      <c r="DI137" s="302"/>
      <c r="DJ137" s="302"/>
      <c r="DK137" s="302"/>
      <c r="DL137" s="302"/>
      <c r="DM137" s="302"/>
      <c r="DN137" s="302"/>
      <c r="DO137" s="302"/>
      <c r="DP137" s="302"/>
      <c r="DQ137" s="302"/>
      <c r="DR137" s="302"/>
      <c r="DS137" s="302"/>
      <c r="DT137" s="302"/>
      <c r="DU137" s="302"/>
      <c r="DV137" s="302"/>
      <c r="DW137" s="302"/>
      <c r="DX137" s="302"/>
      <c r="DY137" s="302"/>
      <c r="DZ137" s="302"/>
      <c r="EA137" s="302"/>
      <c r="EB137" s="302"/>
      <c r="EC137" s="302"/>
      <c r="ED137" s="302"/>
      <c r="EE137" s="302"/>
      <c r="EF137" s="302"/>
      <c r="EG137" s="302"/>
      <c r="EH137" s="302"/>
      <c r="EI137" s="302"/>
      <c r="EJ137" s="302"/>
      <c r="EK137" s="302"/>
      <c r="EL137" s="302"/>
      <c r="EM137" s="302"/>
      <c r="EN137" s="302"/>
      <c r="EO137" s="302"/>
      <c r="EP137" s="302"/>
      <c r="EQ137" s="302"/>
      <c r="ER137" s="302"/>
      <c r="ES137" s="302"/>
      <c r="ET137" s="302"/>
      <c r="EU137" s="302"/>
      <c r="EV137" s="302"/>
      <c r="EW137" s="302"/>
      <c r="EX137" s="302"/>
      <c r="EY137" s="302"/>
    </row>
    <row r="138" spans="1:155" s="27" customFormat="1" x14ac:dyDescent="0.2">
      <c r="A138" s="38"/>
      <c r="B138" s="37"/>
      <c r="C138" s="36">
        <f t="shared" si="14"/>
        <v>0</v>
      </c>
      <c r="D138" s="20"/>
      <c r="E138" s="36">
        <f t="shared" si="13"/>
        <v>0</v>
      </c>
      <c r="F138" s="126" t="s">
        <v>228</v>
      </c>
      <c r="G138" s="302"/>
      <c r="H138" s="302"/>
      <c r="I138" s="302"/>
      <c r="J138" s="302"/>
      <c r="K138" s="302"/>
      <c r="L138" s="302"/>
      <c r="M138" s="302"/>
      <c r="N138" s="302"/>
      <c r="O138" s="302"/>
      <c r="P138" s="100"/>
      <c r="Q138" s="302"/>
      <c r="R138" s="302"/>
      <c r="S138" s="302"/>
      <c r="T138" s="302"/>
      <c r="U138" s="302"/>
      <c r="V138" s="302"/>
      <c r="W138" s="302"/>
      <c r="X138" s="302"/>
      <c r="Y138" s="100"/>
      <c r="Z138" s="100"/>
      <c r="AA138" s="100"/>
      <c r="AB138" s="100"/>
      <c r="AC138" s="100"/>
      <c r="AD138" s="100"/>
      <c r="AE138" s="100"/>
      <c r="AF138" s="302"/>
      <c r="AG138" s="100"/>
      <c r="AH138" s="302"/>
      <c r="AI138" s="100"/>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c r="CE138" s="302"/>
      <c r="CF138" s="302"/>
      <c r="CG138" s="302"/>
      <c r="CH138" s="302"/>
      <c r="CI138" s="302"/>
      <c r="CJ138" s="302"/>
      <c r="CK138" s="302"/>
      <c r="CL138" s="302"/>
      <c r="CM138" s="302"/>
      <c r="CN138" s="302"/>
      <c r="CO138" s="302"/>
      <c r="CP138" s="302"/>
      <c r="CQ138" s="302"/>
      <c r="CR138" s="302"/>
      <c r="CS138" s="302"/>
      <c r="CT138" s="302"/>
      <c r="CU138" s="302"/>
      <c r="CV138" s="302"/>
      <c r="CW138" s="302"/>
      <c r="CX138" s="302"/>
      <c r="CY138" s="302"/>
      <c r="CZ138" s="302"/>
      <c r="DA138" s="302"/>
      <c r="DB138" s="302"/>
      <c r="DC138" s="302"/>
      <c r="DD138" s="302"/>
      <c r="DE138" s="302"/>
      <c r="DF138" s="302"/>
      <c r="DG138" s="302"/>
      <c r="DH138" s="302"/>
      <c r="DI138" s="302"/>
      <c r="DJ138" s="302"/>
      <c r="DK138" s="302"/>
      <c r="DL138" s="302"/>
      <c r="DM138" s="302"/>
      <c r="DN138" s="302"/>
      <c r="DO138" s="302"/>
      <c r="DP138" s="302"/>
      <c r="DQ138" s="302"/>
      <c r="DR138" s="302"/>
      <c r="DS138" s="302"/>
      <c r="DT138" s="302"/>
      <c r="DU138" s="302"/>
      <c r="DV138" s="302"/>
      <c r="DW138" s="302"/>
      <c r="DX138" s="302"/>
      <c r="DY138" s="302"/>
      <c r="DZ138" s="302"/>
      <c r="EA138" s="302"/>
      <c r="EB138" s="302"/>
      <c r="EC138" s="302"/>
      <c r="ED138" s="302"/>
      <c r="EE138" s="302"/>
      <c r="EF138" s="302"/>
      <c r="EG138" s="302"/>
      <c r="EH138" s="302"/>
      <c r="EI138" s="302"/>
      <c r="EJ138" s="302"/>
      <c r="EK138" s="302"/>
      <c r="EL138" s="302"/>
      <c r="EM138" s="302"/>
      <c r="EN138" s="302"/>
      <c r="EO138" s="302"/>
      <c r="EP138" s="302"/>
      <c r="EQ138" s="302"/>
      <c r="ER138" s="302"/>
      <c r="ES138" s="302"/>
      <c r="ET138" s="302"/>
      <c r="EU138" s="302"/>
      <c r="EV138" s="302"/>
      <c r="EW138" s="302"/>
      <c r="EX138" s="302"/>
      <c r="EY138" s="302"/>
    </row>
    <row r="139" spans="1:155" s="27" customFormat="1" x14ac:dyDescent="0.2">
      <c r="A139" s="38"/>
      <c r="B139" s="37"/>
      <c r="C139" s="36">
        <f t="shared" si="14"/>
        <v>0</v>
      </c>
      <c r="D139" s="20"/>
      <c r="E139" s="36">
        <f t="shared" si="13"/>
        <v>0</v>
      </c>
      <c r="F139" s="126" t="s">
        <v>228</v>
      </c>
      <c r="G139" s="302"/>
      <c r="H139" s="302"/>
      <c r="I139" s="302"/>
      <c r="J139" s="302"/>
      <c r="K139" s="302"/>
      <c r="L139" s="302"/>
      <c r="M139" s="302"/>
      <c r="N139" s="302"/>
      <c r="O139" s="302"/>
      <c r="P139" s="100"/>
      <c r="Q139" s="302"/>
      <c r="R139" s="302"/>
      <c r="S139" s="302"/>
      <c r="T139" s="302"/>
      <c r="U139" s="302"/>
      <c r="V139" s="302"/>
      <c r="W139" s="302"/>
      <c r="X139" s="302"/>
      <c r="Y139" s="100"/>
      <c r="Z139" s="100"/>
      <c r="AA139" s="100"/>
      <c r="AB139" s="100"/>
      <c r="AC139" s="100"/>
      <c r="AD139" s="100"/>
      <c r="AE139" s="100"/>
      <c r="AF139" s="302"/>
      <c r="AG139" s="100"/>
      <c r="AH139" s="302"/>
      <c r="AI139" s="100"/>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c r="CE139" s="302"/>
      <c r="CF139" s="302"/>
      <c r="CG139" s="302"/>
      <c r="CH139" s="302"/>
      <c r="CI139" s="302"/>
      <c r="CJ139" s="302"/>
      <c r="CK139" s="302"/>
      <c r="CL139" s="302"/>
      <c r="CM139" s="302"/>
      <c r="CN139" s="302"/>
      <c r="CO139" s="302"/>
      <c r="CP139" s="302"/>
      <c r="CQ139" s="302"/>
      <c r="CR139" s="302"/>
      <c r="CS139" s="302"/>
      <c r="CT139" s="302"/>
      <c r="CU139" s="302"/>
      <c r="CV139" s="302"/>
      <c r="CW139" s="302"/>
      <c r="CX139" s="302"/>
      <c r="CY139" s="302"/>
      <c r="CZ139" s="302"/>
      <c r="DA139" s="302"/>
      <c r="DB139" s="302"/>
      <c r="DC139" s="302"/>
      <c r="DD139" s="302"/>
      <c r="DE139" s="302"/>
      <c r="DF139" s="302"/>
      <c r="DG139" s="302"/>
      <c r="DH139" s="302"/>
      <c r="DI139" s="302"/>
      <c r="DJ139" s="302"/>
      <c r="DK139" s="302"/>
      <c r="DL139" s="302"/>
      <c r="DM139" s="302"/>
      <c r="DN139" s="302"/>
      <c r="DO139" s="302"/>
      <c r="DP139" s="302"/>
      <c r="DQ139" s="302"/>
      <c r="DR139" s="302"/>
      <c r="DS139" s="302"/>
      <c r="DT139" s="302"/>
      <c r="DU139" s="302"/>
      <c r="DV139" s="302"/>
      <c r="DW139" s="302"/>
      <c r="DX139" s="302"/>
      <c r="DY139" s="302"/>
      <c r="DZ139" s="302"/>
      <c r="EA139" s="302"/>
      <c r="EB139" s="302"/>
      <c r="EC139" s="302"/>
      <c r="ED139" s="302"/>
      <c r="EE139" s="302"/>
      <c r="EF139" s="302"/>
      <c r="EG139" s="302"/>
      <c r="EH139" s="302"/>
      <c r="EI139" s="302"/>
      <c r="EJ139" s="302"/>
      <c r="EK139" s="302"/>
      <c r="EL139" s="302"/>
      <c r="EM139" s="302"/>
      <c r="EN139" s="302"/>
      <c r="EO139" s="302"/>
      <c r="EP139" s="302"/>
      <c r="EQ139" s="302"/>
      <c r="ER139" s="302"/>
      <c r="ES139" s="302"/>
      <c r="ET139" s="302"/>
      <c r="EU139" s="302"/>
      <c r="EV139" s="302"/>
      <c r="EW139" s="302"/>
      <c r="EX139" s="302"/>
      <c r="EY139" s="302"/>
    </row>
    <row r="140" spans="1:155" s="27" customFormat="1" x14ac:dyDescent="0.2">
      <c r="A140" s="38"/>
      <c r="B140" s="37"/>
      <c r="C140" s="36">
        <f t="shared" si="14"/>
        <v>0</v>
      </c>
      <c r="D140" s="20"/>
      <c r="E140" s="36">
        <f t="shared" si="13"/>
        <v>0</v>
      </c>
      <c r="F140" s="126" t="s">
        <v>228</v>
      </c>
      <c r="G140" s="302"/>
      <c r="H140" s="302"/>
      <c r="I140" s="302"/>
      <c r="J140" s="302"/>
      <c r="K140" s="302"/>
      <c r="L140" s="302"/>
      <c r="M140" s="302"/>
      <c r="N140" s="302"/>
      <c r="O140" s="302"/>
      <c r="P140" s="100"/>
      <c r="Q140" s="302"/>
      <c r="R140" s="302"/>
      <c r="S140" s="302"/>
      <c r="T140" s="302"/>
      <c r="U140" s="302"/>
      <c r="V140" s="302"/>
      <c r="W140" s="302"/>
      <c r="X140" s="302"/>
      <c r="Y140" s="100"/>
      <c r="Z140" s="100"/>
      <c r="AA140" s="100"/>
      <c r="AB140" s="100"/>
      <c r="AC140" s="100"/>
      <c r="AD140" s="100"/>
      <c r="AE140" s="100"/>
      <c r="AF140" s="302"/>
      <c r="AG140" s="100"/>
      <c r="AH140" s="302"/>
      <c r="AI140" s="100"/>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c r="CE140" s="302"/>
      <c r="CF140" s="302"/>
      <c r="CG140" s="302"/>
      <c r="CH140" s="302"/>
      <c r="CI140" s="302"/>
      <c r="CJ140" s="302"/>
      <c r="CK140" s="302"/>
      <c r="CL140" s="302"/>
      <c r="CM140" s="302"/>
      <c r="CN140" s="302"/>
      <c r="CO140" s="302"/>
      <c r="CP140" s="302"/>
      <c r="CQ140" s="302"/>
      <c r="CR140" s="302"/>
      <c r="CS140" s="302"/>
      <c r="CT140" s="302"/>
      <c r="CU140" s="302"/>
      <c r="CV140" s="302"/>
      <c r="CW140" s="302"/>
      <c r="CX140" s="302"/>
      <c r="CY140" s="302"/>
      <c r="CZ140" s="302"/>
      <c r="DA140" s="302"/>
      <c r="DB140" s="302"/>
      <c r="DC140" s="302"/>
      <c r="DD140" s="302"/>
      <c r="DE140" s="302"/>
      <c r="DF140" s="302"/>
      <c r="DG140" s="302"/>
      <c r="DH140" s="302"/>
      <c r="DI140" s="302"/>
      <c r="DJ140" s="302"/>
      <c r="DK140" s="302"/>
      <c r="DL140" s="302"/>
      <c r="DM140" s="302"/>
      <c r="DN140" s="302"/>
      <c r="DO140" s="302"/>
      <c r="DP140" s="302"/>
      <c r="DQ140" s="302"/>
      <c r="DR140" s="302"/>
      <c r="DS140" s="302"/>
      <c r="DT140" s="302"/>
      <c r="DU140" s="302"/>
      <c r="DV140" s="302"/>
      <c r="DW140" s="302"/>
      <c r="DX140" s="302"/>
      <c r="DY140" s="302"/>
      <c r="DZ140" s="302"/>
      <c r="EA140" s="302"/>
      <c r="EB140" s="302"/>
      <c r="EC140" s="302"/>
      <c r="ED140" s="302"/>
      <c r="EE140" s="302"/>
      <c r="EF140" s="302"/>
      <c r="EG140" s="302"/>
      <c r="EH140" s="302"/>
      <c r="EI140" s="302"/>
      <c r="EJ140" s="302"/>
      <c r="EK140" s="302"/>
      <c r="EL140" s="302"/>
      <c r="EM140" s="302"/>
      <c r="EN140" s="302"/>
      <c r="EO140" s="302"/>
      <c r="EP140" s="302"/>
      <c r="EQ140" s="302"/>
      <c r="ER140" s="302"/>
      <c r="ES140" s="302"/>
      <c r="ET140" s="302"/>
      <c r="EU140" s="302"/>
      <c r="EV140" s="302"/>
      <c r="EW140" s="302"/>
      <c r="EX140" s="302"/>
      <c r="EY140" s="302"/>
    </row>
    <row r="141" spans="1:155" s="27" customFormat="1" x14ac:dyDescent="0.2">
      <c r="A141" s="38"/>
      <c r="B141" s="37"/>
      <c r="C141" s="36">
        <f t="shared" si="14"/>
        <v>0</v>
      </c>
      <c r="D141" s="20"/>
      <c r="E141" s="36">
        <f t="shared" si="13"/>
        <v>0</v>
      </c>
      <c r="F141" s="126" t="s">
        <v>228</v>
      </c>
      <c r="G141" s="302"/>
      <c r="H141" s="302"/>
      <c r="I141" s="302"/>
      <c r="J141" s="302"/>
      <c r="K141" s="302"/>
      <c r="L141" s="302"/>
      <c r="M141" s="302"/>
      <c r="N141" s="302"/>
      <c r="O141" s="302"/>
      <c r="P141" s="100"/>
      <c r="Q141" s="302"/>
      <c r="R141" s="302"/>
      <c r="S141" s="302"/>
      <c r="T141" s="302"/>
      <c r="U141" s="302"/>
      <c r="V141" s="302"/>
      <c r="W141" s="302"/>
      <c r="X141" s="302"/>
      <c r="Y141" s="100"/>
      <c r="Z141" s="100"/>
      <c r="AA141" s="100"/>
      <c r="AB141" s="100"/>
      <c r="AC141" s="100"/>
      <c r="AD141" s="100"/>
      <c r="AE141" s="100"/>
      <c r="AF141" s="302"/>
      <c r="AG141" s="100"/>
      <c r="AH141" s="302"/>
      <c r="AI141" s="100"/>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c r="CE141" s="302"/>
      <c r="CF141" s="302"/>
      <c r="CG141" s="302"/>
      <c r="CH141" s="302"/>
      <c r="CI141" s="302"/>
      <c r="CJ141" s="302"/>
      <c r="CK141" s="302"/>
      <c r="CL141" s="302"/>
      <c r="CM141" s="302"/>
      <c r="CN141" s="302"/>
      <c r="CO141" s="302"/>
      <c r="CP141" s="302"/>
      <c r="CQ141" s="302"/>
      <c r="CR141" s="302"/>
      <c r="CS141" s="302"/>
      <c r="CT141" s="302"/>
      <c r="CU141" s="302"/>
      <c r="CV141" s="302"/>
      <c r="CW141" s="302"/>
      <c r="CX141" s="302"/>
      <c r="CY141" s="302"/>
      <c r="CZ141" s="302"/>
      <c r="DA141" s="302"/>
      <c r="DB141" s="302"/>
      <c r="DC141" s="302"/>
      <c r="DD141" s="302"/>
      <c r="DE141" s="302"/>
      <c r="DF141" s="302"/>
      <c r="DG141" s="302"/>
      <c r="DH141" s="302"/>
      <c r="DI141" s="302"/>
      <c r="DJ141" s="302"/>
      <c r="DK141" s="302"/>
      <c r="DL141" s="302"/>
      <c r="DM141" s="302"/>
      <c r="DN141" s="302"/>
      <c r="DO141" s="302"/>
      <c r="DP141" s="302"/>
      <c r="DQ141" s="302"/>
      <c r="DR141" s="302"/>
      <c r="DS141" s="302"/>
      <c r="DT141" s="302"/>
      <c r="DU141" s="302"/>
      <c r="DV141" s="302"/>
      <c r="DW141" s="302"/>
      <c r="DX141" s="302"/>
      <c r="DY141" s="302"/>
      <c r="DZ141" s="302"/>
      <c r="EA141" s="302"/>
      <c r="EB141" s="302"/>
      <c r="EC141" s="302"/>
      <c r="ED141" s="302"/>
      <c r="EE141" s="302"/>
      <c r="EF141" s="302"/>
      <c r="EG141" s="302"/>
      <c r="EH141" s="302"/>
      <c r="EI141" s="302"/>
      <c r="EJ141" s="302"/>
      <c r="EK141" s="302"/>
      <c r="EL141" s="302"/>
      <c r="EM141" s="302"/>
      <c r="EN141" s="302"/>
      <c r="EO141" s="302"/>
      <c r="EP141" s="302"/>
      <c r="EQ141" s="302"/>
      <c r="ER141" s="302"/>
      <c r="ES141" s="302"/>
      <c r="ET141" s="302"/>
      <c r="EU141" s="302"/>
      <c r="EV141" s="302"/>
      <c r="EW141" s="302"/>
      <c r="EX141" s="302"/>
      <c r="EY141" s="302"/>
    </row>
    <row r="142" spans="1:155" s="27" customFormat="1" x14ac:dyDescent="0.2">
      <c r="A142" s="38"/>
      <c r="B142" s="37"/>
      <c r="C142" s="36">
        <f t="shared" si="14"/>
        <v>0</v>
      </c>
      <c r="D142" s="20"/>
      <c r="E142" s="36">
        <f t="shared" si="13"/>
        <v>0</v>
      </c>
      <c r="F142" s="126" t="s">
        <v>228</v>
      </c>
      <c r="G142" s="302"/>
      <c r="H142" s="302"/>
      <c r="I142" s="302"/>
      <c r="J142" s="302"/>
      <c r="K142" s="302"/>
      <c r="L142" s="302"/>
      <c r="M142" s="302"/>
      <c r="N142" s="302"/>
      <c r="O142" s="302"/>
      <c r="P142" s="100"/>
      <c r="Q142" s="302"/>
      <c r="R142" s="302"/>
      <c r="S142" s="302"/>
      <c r="T142" s="302"/>
      <c r="U142" s="302"/>
      <c r="V142" s="302"/>
      <c r="W142" s="302"/>
      <c r="X142" s="302"/>
      <c r="Y142" s="100"/>
      <c r="Z142" s="100"/>
      <c r="AA142" s="100"/>
      <c r="AB142" s="100"/>
      <c r="AC142" s="100"/>
      <c r="AD142" s="100"/>
      <c r="AE142" s="100"/>
      <c r="AF142" s="302"/>
      <c r="AG142" s="100"/>
      <c r="AH142" s="302"/>
      <c r="AI142" s="100"/>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c r="CE142" s="302"/>
      <c r="CF142" s="302"/>
      <c r="CG142" s="302"/>
      <c r="CH142" s="302"/>
      <c r="CI142" s="302"/>
      <c r="CJ142" s="302"/>
      <c r="CK142" s="302"/>
      <c r="CL142" s="302"/>
      <c r="CM142" s="302"/>
      <c r="CN142" s="302"/>
      <c r="CO142" s="302"/>
      <c r="CP142" s="302"/>
      <c r="CQ142" s="302"/>
      <c r="CR142" s="302"/>
      <c r="CS142" s="302"/>
      <c r="CT142" s="302"/>
      <c r="CU142" s="302"/>
      <c r="CV142" s="302"/>
      <c r="CW142" s="302"/>
      <c r="CX142" s="302"/>
      <c r="CY142" s="302"/>
      <c r="CZ142" s="302"/>
      <c r="DA142" s="302"/>
      <c r="DB142" s="302"/>
      <c r="DC142" s="302"/>
      <c r="DD142" s="302"/>
      <c r="DE142" s="302"/>
      <c r="DF142" s="302"/>
      <c r="DG142" s="302"/>
      <c r="DH142" s="302"/>
      <c r="DI142" s="302"/>
      <c r="DJ142" s="302"/>
      <c r="DK142" s="302"/>
      <c r="DL142" s="302"/>
      <c r="DM142" s="302"/>
      <c r="DN142" s="302"/>
      <c r="DO142" s="302"/>
      <c r="DP142" s="302"/>
      <c r="DQ142" s="302"/>
      <c r="DR142" s="302"/>
      <c r="DS142" s="302"/>
      <c r="DT142" s="302"/>
      <c r="DU142" s="302"/>
      <c r="DV142" s="302"/>
      <c r="DW142" s="302"/>
      <c r="DX142" s="302"/>
      <c r="DY142" s="302"/>
      <c r="DZ142" s="302"/>
      <c r="EA142" s="302"/>
      <c r="EB142" s="302"/>
      <c r="EC142" s="302"/>
      <c r="ED142" s="302"/>
      <c r="EE142" s="302"/>
      <c r="EF142" s="302"/>
      <c r="EG142" s="302"/>
      <c r="EH142" s="302"/>
      <c r="EI142" s="302"/>
      <c r="EJ142" s="302"/>
      <c r="EK142" s="302"/>
      <c r="EL142" s="302"/>
      <c r="EM142" s="302"/>
      <c r="EN142" s="302"/>
      <c r="EO142" s="302"/>
      <c r="EP142" s="302"/>
      <c r="EQ142" s="302"/>
      <c r="ER142" s="302"/>
      <c r="ES142" s="302"/>
      <c r="ET142" s="302"/>
      <c r="EU142" s="302"/>
      <c r="EV142" s="302"/>
      <c r="EW142" s="302"/>
      <c r="EX142" s="302"/>
      <c r="EY142" s="302"/>
    </row>
    <row r="143" spans="1:155" s="27" customFormat="1" x14ac:dyDescent="0.2">
      <c r="A143" s="38"/>
      <c r="B143" s="37"/>
      <c r="C143" s="36">
        <f t="shared" si="14"/>
        <v>0</v>
      </c>
      <c r="D143" s="20"/>
      <c r="E143" s="36">
        <f t="shared" si="13"/>
        <v>0</v>
      </c>
      <c r="F143" s="126" t="s">
        <v>228</v>
      </c>
      <c r="G143" s="302"/>
      <c r="H143" s="302"/>
      <c r="I143" s="302"/>
      <c r="J143" s="302"/>
      <c r="K143" s="302"/>
      <c r="L143" s="302"/>
      <c r="M143" s="302"/>
      <c r="N143" s="302"/>
      <c r="O143" s="302"/>
      <c r="P143" s="100"/>
      <c r="Q143" s="302"/>
      <c r="R143" s="302"/>
      <c r="S143" s="302"/>
      <c r="T143" s="302"/>
      <c r="U143" s="302"/>
      <c r="V143" s="302"/>
      <c r="W143" s="302"/>
      <c r="X143" s="302"/>
      <c r="Y143" s="100"/>
      <c r="Z143" s="100"/>
      <c r="AA143" s="100"/>
      <c r="AB143" s="100"/>
      <c r="AC143" s="100"/>
      <c r="AD143" s="100"/>
      <c r="AE143" s="100"/>
      <c r="AF143" s="302"/>
      <c r="AG143" s="100"/>
      <c r="AH143" s="302"/>
      <c r="AI143" s="100"/>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c r="CE143" s="302"/>
      <c r="CF143" s="302"/>
      <c r="CG143" s="302"/>
      <c r="CH143" s="302"/>
      <c r="CI143" s="302"/>
      <c r="CJ143" s="302"/>
      <c r="CK143" s="302"/>
      <c r="CL143" s="302"/>
      <c r="CM143" s="302"/>
      <c r="CN143" s="302"/>
      <c r="CO143" s="302"/>
      <c r="CP143" s="302"/>
      <c r="CQ143" s="302"/>
      <c r="CR143" s="302"/>
      <c r="CS143" s="302"/>
      <c r="CT143" s="302"/>
      <c r="CU143" s="302"/>
      <c r="CV143" s="302"/>
      <c r="CW143" s="302"/>
      <c r="CX143" s="302"/>
      <c r="CY143" s="302"/>
      <c r="CZ143" s="302"/>
      <c r="DA143" s="302"/>
      <c r="DB143" s="302"/>
      <c r="DC143" s="302"/>
      <c r="DD143" s="302"/>
      <c r="DE143" s="302"/>
      <c r="DF143" s="302"/>
      <c r="DG143" s="302"/>
      <c r="DH143" s="302"/>
      <c r="DI143" s="302"/>
      <c r="DJ143" s="302"/>
      <c r="DK143" s="302"/>
      <c r="DL143" s="302"/>
      <c r="DM143" s="302"/>
      <c r="DN143" s="302"/>
      <c r="DO143" s="302"/>
      <c r="DP143" s="302"/>
      <c r="DQ143" s="302"/>
      <c r="DR143" s="302"/>
      <c r="DS143" s="302"/>
      <c r="DT143" s="302"/>
      <c r="DU143" s="302"/>
      <c r="DV143" s="302"/>
      <c r="DW143" s="302"/>
      <c r="DX143" s="302"/>
      <c r="DY143" s="302"/>
      <c r="DZ143" s="302"/>
      <c r="EA143" s="302"/>
      <c r="EB143" s="302"/>
      <c r="EC143" s="302"/>
      <c r="ED143" s="302"/>
      <c r="EE143" s="302"/>
      <c r="EF143" s="302"/>
      <c r="EG143" s="302"/>
      <c r="EH143" s="302"/>
      <c r="EI143" s="302"/>
      <c r="EJ143" s="302"/>
      <c r="EK143" s="302"/>
      <c r="EL143" s="302"/>
      <c r="EM143" s="302"/>
      <c r="EN143" s="302"/>
      <c r="EO143" s="302"/>
      <c r="EP143" s="302"/>
      <c r="EQ143" s="302"/>
      <c r="ER143" s="302"/>
      <c r="ES143" s="302"/>
      <c r="ET143" s="302"/>
      <c r="EU143" s="302"/>
      <c r="EV143" s="302"/>
      <c r="EW143" s="302"/>
      <c r="EX143" s="302"/>
      <c r="EY143" s="302"/>
    </row>
    <row r="144" spans="1:155" s="27" customFormat="1" x14ac:dyDescent="0.2">
      <c r="A144" s="38"/>
      <c r="B144" s="37"/>
      <c r="C144" s="36">
        <f t="shared" si="14"/>
        <v>0</v>
      </c>
      <c r="D144" s="20"/>
      <c r="E144" s="36">
        <f t="shared" si="13"/>
        <v>0</v>
      </c>
      <c r="F144" s="126" t="s">
        <v>228</v>
      </c>
      <c r="G144" s="302"/>
      <c r="H144" s="302"/>
      <c r="I144" s="302"/>
      <c r="J144" s="302"/>
      <c r="K144" s="302"/>
      <c r="L144" s="302"/>
      <c r="M144" s="302"/>
      <c r="N144" s="302"/>
      <c r="O144" s="302"/>
      <c r="P144" s="100"/>
      <c r="Q144" s="302"/>
      <c r="R144" s="302"/>
      <c r="S144" s="302"/>
      <c r="T144" s="302"/>
      <c r="U144" s="302"/>
      <c r="V144" s="302"/>
      <c r="W144" s="302"/>
      <c r="X144" s="302"/>
      <c r="Y144" s="100"/>
      <c r="Z144" s="100"/>
      <c r="AA144" s="100"/>
      <c r="AB144" s="100"/>
      <c r="AC144" s="100"/>
      <c r="AD144" s="100"/>
      <c r="AE144" s="100"/>
      <c r="AF144" s="302"/>
      <c r="AG144" s="100"/>
      <c r="AH144" s="302"/>
      <c r="AI144" s="100"/>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c r="CE144" s="302"/>
      <c r="CF144" s="302"/>
      <c r="CG144" s="302"/>
      <c r="CH144" s="302"/>
      <c r="CI144" s="302"/>
      <c r="CJ144" s="302"/>
      <c r="CK144" s="302"/>
      <c r="CL144" s="302"/>
      <c r="CM144" s="302"/>
      <c r="CN144" s="302"/>
      <c r="CO144" s="302"/>
      <c r="CP144" s="302"/>
      <c r="CQ144" s="302"/>
      <c r="CR144" s="302"/>
      <c r="CS144" s="302"/>
      <c r="CT144" s="302"/>
      <c r="CU144" s="302"/>
      <c r="CV144" s="302"/>
      <c r="CW144" s="302"/>
      <c r="CX144" s="302"/>
      <c r="CY144" s="302"/>
      <c r="CZ144" s="302"/>
      <c r="DA144" s="302"/>
      <c r="DB144" s="302"/>
      <c r="DC144" s="302"/>
      <c r="DD144" s="302"/>
      <c r="DE144" s="302"/>
      <c r="DF144" s="302"/>
      <c r="DG144" s="302"/>
      <c r="DH144" s="302"/>
      <c r="DI144" s="302"/>
      <c r="DJ144" s="302"/>
      <c r="DK144" s="302"/>
      <c r="DL144" s="302"/>
      <c r="DM144" s="302"/>
      <c r="DN144" s="302"/>
      <c r="DO144" s="302"/>
      <c r="DP144" s="302"/>
      <c r="DQ144" s="302"/>
      <c r="DR144" s="302"/>
      <c r="DS144" s="302"/>
      <c r="DT144" s="302"/>
      <c r="DU144" s="302"/>
      <c r="DV144" s="302"/>
      <c r="DW144" s="302"/>
      <c r="DX144" s="302"/>
      <c r="DY144" s="302"/>
      <c r="DZ144" s="302"/>
      <c r="EA144" s="302"/>
      <c r="EB144" s="302"/>
      <c r="EC144" s="302"/>
      <c r="ED144" s="302"/>
      <c r="EE144" s="302"/>
      <c r="EF144" s="302"/>
      <c r="EG144" s="302"/>
      <c r="EH144" s="302"/>
      <c r="EI144" s="302"/>
      <c r="EJ144" s="302"/>
      <c r="EK144" s="302"/>
      <c r="EL144" s="302"/>
      <c r="EM144" s="302"/>
      <c r="EN144" s="302"/>
      <c r="EO144" s="302"/>
      <c r="EP144" s="302"/>
      <c r="EQ144" s="302"/>
      <c r="ER144" s="302"/>
      <c r="ES144" s="302"/>
      <c r="ET144" s="302"/>
      <c r="EU144" s="302"/>
      <c r="EV144" s="302"/>
      <c r="EW144" s="302"/>
      <c r="EX144" s="302"/>
      <c r="EY144" s="302"/>
    </row>
    <row r="145" spans="1:155" s="27" customFormat="1" x14ac:dyDescent="0.2">
      <c r="A145" s="38"/>
      <c r="B145" s="37"/>
      <c r="C145" s="36">
        <f t="shared" si="14"/>
        <v>0</v>
      </c>
      <c r="D145" s="20"/>
      <c r="E145" s="36">
        <f t="shared" si="13"/>
        <v>0</v>
      </c>
      <c r="F145" s="126" t="s">
        <v>228</v>
      </c>
      <c r="G145" s="302"/>
      <c r="H145" s="302"/>
      <c r="I145" s="302"/>
      <c r="J145" s="302"/>
      <c r="K145" s="302"/>
      <c r="L145" s="302"/>
      <c r="M145" s="302"/>
      <c r="N145" s="302"/>
      <c r="O145" s="302"/>
      <c r="P145" s="100"/>
      <c r="Q145" s="302"/>
      <c r="R145" s="302"/>
      <c r="S145" s="302"/>
      <c r="T145" s="302"/>
      <c r="U145" s="302"/>
      <c r="V145" s="302"/>
      <c r="W145" s="302"/>
      <c r="X145" s="302"/>
      <c r="Y145" s="100"/>
      <c r="Z145" s="100"/>
      <c r="AA145" s="100"/>
      <c r="AB145" s="100"/>
      <c r="AC145" s="100"/>
      <c r="AD145" s="100"/>
      <c r="AE145" s="100"/>
      <c r="AF145" s="302"/>
      <c r="AG145" s="100"/>
      <c r="AH145" s="302"/>
      <c r="AI145" s="100"/>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c r="CE145" s="302"/>
      <c r="CF145" s="302"/>
      <c r="CG145" s="302"/>
      <c r="CH145" s="302"/>
      <c r="CI145" s="302"/>
      <c r="CJ145" s="302"/>
      <c r="CK145" s="302"/>
      <c r="CL145" s="302"/>
      <c r="CM145" s="302"/>
      <c r="CN145" s="302"/>
      <c r="CO145" s="302"/>
      <c r="CP145" s="302"/>
      <c r="CQ145" s="302"/>
      <c r="CR145" s="302"/>
      <c r="CS145" s="302"/>
      <c r="CT145" s="302"/>
      <c r="CU145" s="302"/>
      <c r="CV145" s="302"/>
      <c r="CW145" s="302"/>
      <c r="CX145" s="302"/>
      <c r="CY145" s="302"/>
      <c r="CZ145" s="302"/>
      <c r="DA145" s="302"/>
      <c r="DB145" s="302"/>
      <c r="DC145" s="302"/>
      <c r="DD145" s="302"/>
      <c r="DE145" s="302"/>
      <c r="DF145" s="302"/>
      <c r="DG145" s="302"/>
      <c r="DH145" s="302"/>
      <c r="DI145" s="302"/>
      <c r="DJ145" s="302"/>
      <c r="DK145" s="302"/>
      <c r="DL145" s="302"/>
      <c r="DM145" s="302"/>
      <c r="DN145" s="302"/>
      <c r="DO145" s="302"/>
      <c r="DP145" s="302"/>
      <c r="DQ145" s="302"/>
      <c r="DR145" s="302"/>
      <c r="DS145" s="302"/>
      <c r="DT145" s="302"/>
      <c r="DU145" s="302"/>
      <c r="DV145" s="302"/>
      <c r="DW145" s="302"/>
      <c r="DX145" s="302"/>
      <c r="DY145" s="302"/>
      <c r="DZ145" s="302"/>
      <c r="EA145" s="302"/>
      <c r="EB145" s="302"/>
      <c r="EC145" s="302"/>
      <c r="ED145" s="302"/>
      <c r="EE145" s="302"/>
      <c r="EF145" s="302"/>
      <c r="EG145" s="302"/>
      <c r="EH145" s="302"/>
      <c r="EI145" s="302"/>
      <c r="EJ145" s="302"/>
      <c r="EK145" s="302"/>
      <c r="EL145" s="302"/>
      <c r="EM145" s="302"/>
      <c r="EN145" s="302"/>
      <c r="EO145" s="302"/>
      <c r="EP145" s="302"/>
      <c r="EQ145" s="302"/>
      <c r="ER145" s="302"/>
      <c r="ES145" s="302"/>
      <c r="ET145" s="302"/>
      <c r="EU145" s="302"/>
      <c r="EV145" s="302"/>
      <c r="EW145" s="302"/>
      <c r="EX145" s="302"/>
      <c r="EY145" s="302"/>
    </row>
    <row r="146" spans="1:155" s="27" customFormat="1" x14ac:dyDescent="0.2">
      <c r="A146" s="38"/>
      <c r="B146" s="37"/>
      <c r="C146" s="36">
        <f t="shared" si="14"/>
        <v>0</v>
      </c>
      <c r="D146" s="20"/>
      <c r="E146" s="36">
        <f t="shared" si="13"/>
        <v>0</v>
      </c>
      <c r="F146" s="126" t="s">
        <v>228</v>
      </c>
      <c r="G146" s="302"/>
      <c r="H146" s="302"/>
      <c r="I146" s="302"/>
      <c r="J146" s="302"/>
      <c r="K146" s="302"/>
      <c r="L146" s="302"/>
      <c r="M146" s="302"/>
      <c r="N146" s="302"/>
      <c r="O146" s="302"/>
      <c r="P146" s="100"/>
      <c r="Q146" s="302"/>
      <c r="R146" s="302"/>
      <c r="S146" s="302"/>
      <c r="T146" s="302"/>
      <c r="U146" s="302"/>
      <c r="V146" s="302"/>
      <c r="W146" s="302"/>
      <c r="X146" s="302"/>
      <c r="Y146" s="100"/>
      <c r="Z146" s="100"/>
      <c r="AA146" s="100"/>
      <c r="AB146" s="100"/>
      <c r="AC146" s="100"/>
      <c r="AD146" s="100"/>
      <c r="AE146" s="100"/>
      <c r="AF146" s="302"/>
      <c r="AG146" s="100"/>
      <c r="AH146" s="302"/>
      <c r="AI146" s="100"/>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2"/>
      <c r="CH146" s="302"/>
      <c r="CI146" s="302"/>
      <c r="CJ146" s="302"/>
      <c r="CK146" s="302"/>
      <c r="CL146" s="302"/>
      <c r="CM146" s="302"/>
      <c r="CN146" s="302"/>
      <c r="CO146" s="302"/>
      <c r="CP146" s="302"/>
      <c r="CQ146" s="302"/>
      <c r="CR146" s="302"/>
      <c r="CS146" s="302"/>
      <c r="CT146" s="302"/>
      <c r="CU146" s="302"/>
      <c r="CV146" s="302"/>
      <c r="CW146" s="302"/>
      <c r="CX146" s="302"/>
      <c r="CY146" s="302"/>
      <c r="CZ146" s="302"/>
      <c r="DA146" s="302"/>
      <c r="DB146" s="302"/>
      <c r="DC146" s="302"/>
      <c r="DD146" s="302"/>
      <c r="DE146" s="302"/>
      <c r="DF146" s="302"/>
      <c r="DG146" s="302"/>
      <c r="DH146" s="302"/>
      <c r="DI146" s="302"/>
      <c r="DJ146" s="302"/>
      <c r="DK146" s="302"/>
      <c r="DL146" s="302"/>
      <c r="DM146" s="302"/>
      <c r="DN146" s="302"/>
      <c r="DO146" s="302"/>
      <c r="DP146" s="302"/>
      <c r="DQ146" s="302"/>
      <c r="DR146" s="302"/>
      <c r="DS146" s="302"/>
      <c r="DT146" s="302"/>
      <c r="DU146" s="302"/>
      <c r="DV146" s="302"/>
      <c r="DW146" s="302"/>
      <c r="DX146" s="302"/>
      <c r="DY146" s="302"/>
      <c r="DZ146" s="302"/>
      <c r="EA146" s="302"/>
      <c r="EB146" s="302"/>
      <c r="EC146" s="302"/>
      <c r="ED146" s="302"/>
      <c r="EE146" s="302"/>
      <c r="EF146" s="302"/>
      <c r="EG146" s="302"/>
      <c r="EH146" s="302"/>
      <c r="EI146" s="302"/>
      <c r="EJ146" s="302"/>
      <c r="EK146" s="302"/>
      <c r="EL146" s="302"/>
      <c r="EM146" s="302"/>
      <c r="EN146" s="302"/>
      <c r="EO146" s="302"/>
      <c r="EP146" s="302"/>
      <c r="EQ146" s="302"/>
      <c r="ER146" s="302"/>
      <c r="ES146" s="302"/>
      <c r="ET146" s="302"/>
      <c r="EU146" s="302"/>
      <c r="EV146" s="302"/>
      <c r="EW146" s="302"/>
      <c r="EX146" s="302"/>
      <c r="EY146" s="302"/>
    </row>
    <row r="147" spans="1:155" s="27" customFormat="1" x14ac:dyDescent="0.2">
      <c r="A147" s="38"/>
      <c r="B147" s="37"/>
      <c r="C147" s="36">
        <f t="shared" si="14"/>
        <v>0</v>
      </c>
      <c r="D147" s="20"/>
      <c r="E147" s="36">
        <f t="shared" si="13"/>
        <v>0</v>
      </c>
      <c r="F147" s="126" t="s">
        <v>228</v>
      </c>
      <c r="G147" s="302"/>
      <c r="H147" s="302"/>
      <c r="I147" s="302"/>
      <c r="J147" s="302"/>
      <c r="K147" s="302"/>
      <c r="L147" s="302"/>
      <c r="M147" s="302"/>
      <c r="N147" s="302"/>
      <c r="O147" s="302"/>
      <c r="P147" s="100"/>
      <c r="Q147" s="302"/>
      <c r="R147" s="302"/>
      <c r="S147" s="302"/>
      <c r="T147" s="302"/>
      <c r="U147" s="302"/>
      <c r="V147" s="302"/>
      <c r="W147" s="302"/>
      <c r="X147" s="302"/>
      <c r="Y147" s="100"/>
      <c r="Z147" s="100"/>
      <c r="AA147" s="100"/>
      <c r="AB147" s="100"/>
      <c r="AC147" s="100"/>
      <c r="AD147" s="100"/>
      <c r="AE147" s="100"/>
      <c r="AF147" s="302"/>
      <c r="AG147" s="100"/>
      <c r="AH147" s="302"/>
      <c r="AI147" s="100"/>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c r="CE147" s="302"/>
      <c r="CF147" s="302"/>
      <c r="CG147" s="302"/>
      <c r="CH147" s="302"/>
      <c r="CI147" s="302"/>
      <c r="CJ147" s="302"/>
      <c r="CK147" s="302"/>
      <c r="CL147" s="302"/>
      <c r="CM147" s="302"/>
      <c r="CN147" s="302"/>
      <c r="CO147" s="302"/>
      <c r="CP147" s="302"/>
      <c r="CQ147" s="302"/>
      <c r="CR147" s="302"/>
      <c r="CS147" s="302"/>
      <c r="CT147" s="302"/>
      <c r="CU147" s="302"/>
      <c r="CV147" s="302"/>
      <c r="CW147" s="302"/>
      <c r="CX147" s="302"/>
      <c r="CY147" s="302"/>
      <c r="CZ147" s="302"/>
      <c r="DA147" s="302"/>
      <c r="DB147" s="302"/>
      <c r="DC147" s="302"/>
      <c r="DD147" s="302"/>
      <c r="DE147" s="302"/>
      <c r="DF147" s="302"/>
      <c r="DG147" s="302"/>
      <c r="DH147" s="302"/>
      <c r="DI147" s="302"/>
      <c r="DJ147" s="302"/>
      <c r="DK147" s="302"/>
      <c r="DL147" s="302"/>
      <c r="DM147" s="302"/>
      <c r="DN147" s="302"/>
      <c r="DO147" s="302"/>
      <c r="DP147" s="302"/>
      <c r="DQ147" s="302"/>
      <c r="DR147" s="302"/>
      <c r="DS147" s="302"/>
      <c r="DT147" s="302"/>
      <c r="DU147" s="302"/>
      <c r="DV147" s="302"/>
      <c r="DW147" s="302"/>
      <c r="DX147" s="302"/>
      <c r="DY147" s="302"/>
      <c r="DZ147" s="302"/>
      <c r="EA147" s="302"/>
      <c r="EB147" s="302"/>
      <c r="EC147" s="302"/>
      <c r="ED147" s="302"/>
      <c r="EE147" s="302"/>
      <c r="EF147" s="302"/>
      <c r="EG147" s="302"/>
      <c r="EH147" s="302"/>
      <c r="EI147" s="302"/>
      <c r="EJ147" s="302"/>
      <c r="EK147" s="302"/>
      <c r="EL147" s="302"/>
      <c r="EM147" s="302"/>
      <c r="EN147" s="302"/>
      <c r="EO147" s="302"/>
      <c r="EP147" s="302"/>
      <c r="EQ147" s="302"/>
      <c r="ER147" s="302"/>
      <c r="ES147" s="302"/>
      <c r="ET147" s="302"/>
      <c r="EU147" s="302"/>
      <c r="EV147" s="302"/>
      <c r="EW147" s="302"/>
      <c r="EX147" s="302"/>
      <c r="EY147" s="302"/>
    </row>
    <row r="148" spans="1:155" s="27" customFormat="1" x14ac:dyDescent="0.2">
      <c r="A148" s="38"/>
      <c r="B148" s="37"/>
      <c r="C148" s="36">
        <f t="shared" si="14"/>
        <v>0</v>
      </c>
      <c r="D148" s="20"/>
      <c r="E148" s="36">
        <f t="shared" si="13"/>
        <v>0</v>
      </c>
      <c r="F148" s="126" t="s">
        <v>228</v>
      </c>
      <c r="G148" s="302"/>
      <c r="H148" s="302"/>
      <c r="I148" s="302"/>
      <c r="J148" s="302"/>
      <c r="K148" s="302"/>
      <c r="L148" s="302"/>
      <c r="M148" s="302"/>
      <c r="N148" s="302"/>
      <c r="O148" s="302"/>
      <c r="P148" s="100"/>
      <c r="Q148" s="302"/>
      <c r="R148" s="302"/>
      <c r="S148" s="302"/>
      <c r="T148" s="302"/>
      <c r="U148" s="302"/>
      <c r="V148" s="302"/>
      <c r="W148" s="302"/>
      <c r="X148" s="302"/>
      <c r="Y148" s="100"/>
      <c r="Z148" s="100"/>
      <c r="AA148" s="100"/>
      <c r="AB148" s="100"/>
      <c r="AC148" s="100"/>
      <c r="AD148" s="100"/>
      <c r="AE148" s="100"/>
      <c r="AF148" s="302"/>
      <c r="AG148" s="100"/>
      <c r="AH148" s="302"/>
      <c r="AI148" s="100"/>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c r="CE148" s="302"/>
      <c r="CF148" s="302"/>
      <c r="CG148" s="302"/>
      <c r="CH148" s="302"/>
      <c r="CI148" s="302"/>
      <c r="CJ148" s="302"/>
      <c r="CK148" s="302"/>
      <c r="CL148" s="302"/>
      <c r="CM148" s="302"/>
      <c r="CN148" s="302"/>
      <c r="CO148" s="302"/>
      <c r="CP148" s="302"/>
      <c r="CQ148" s="302"/>
      <c r="CR148" s="302"/>
      <c r="CS148" s="302"/>
      <c r="CT148" s="302"/>
      <c r="CU148" s="302"/>
      <c r="CV148" s="302"/>
      <c r="CW148" s="302"/>
      <c r="CX148" s="302"/>
      <c r="CY148" s="302"/>
      <c r="CZ148" s="302"/>
      <c r="DA148" s="302"/>
      <c r="DB148" s="302"/>
      <c r="DC148" s="302"/>
      <c r="DD148" s="302"/>
      <c r="DE148" s="302"/>
      <c r="DF148" s="302"/>
      <c r="DG148" s="302"/>
      <c r="DH148" s="302"/>
      <c r="DI148" s="302"/>
      <c r="DJ148" s="302"/>
      <c r="DK148" s="302"/>
      <c r="DL148" s="302"/>
      <c r="DM148" s="302"/>
      <c r="DN148" s="302"/>
      <c r="DO148" s="302"/>
      <c r="DP148" s="302"/>
      <c r="DQ148" s="302"/>
      <c r="DR148" s="302"/>
      <c r="DS148" s="302"/>
      <c r="DT148" s="302"/>
      <c r="DU148" s="302"/>
      <c r="DV148" s="302"/>
      <c r="DW148" s="302"/>
      <c r="DX148" s="302"/>
      <c r="DY148" s="302"/>
      <c r="DZ148" s="302"/>
      <c r="EA148" s="302"/>
      <c r="EB148" s="302"/>
      <c r="EC148" s="302"/>
      <c r="ED148" s="302"/>
      <c r="EE148" s="302"/>
      <c r="EF148" s="302"/>
      <c r="EG148" s="302"/>
      <c r="EH148" s="302"/>
      <c r="EI148" s="302"/>
      <c r="EJ148" s="302"/>
      <c r="EK148" s="302"/>
      <c r="EL148" s="302"/>
      <c r="EM148" s="302"/>
      <c r="EN148" s="302"/>
      <c r="EO148" s="302"/>
      <c r="EP148" s="302"/>
      <c r="EQ148" s="302"/>
      <c r="ER148" s="302"/>
      <c r="ES148" s="302"/>
      <c r="ET148" s="302"/>
      <c r="EU148" s="302"/>
      <c r="EV148" s="302"/>
      <c r="EW148" s="302"/>
      <c r="EX148" s="302"/>
      <c r="EY148" s="302"/>
    </row>
    <row r="149" spans="1:155" s="27" customFormat="1" x14ac:dyDescent="0.2">
      <c r="A149" s="38"/>
      <c r="B149" s="37"/>
      <c r="C149" s="36">
        <f t="shared" si="14"/>
        <v>0</v>
      </c>
      <c r="D149" s="20"/>
      <c r="E149" s="36">
        <f t="shared" si="13"/>
        <v>0</v>
      </c>
      <c r="F149" s="126" t="s">
        <v>228</v>
      </c>
      <c r="G149" s="302"/>
      <c r="H149" s="302"/>
      <c r="I149" s="302"/>
      <c r="J149" s="302"/>
      <c r="K149" s="302"/>
      <c r="L149" s="302"/>
      <c r="M149" s="302"/>
      <c r="N149" s="302"/>
      <c r="O149" s="302"/>
      <c r="P149" s="100"/>
      <c r="Q149" s="302"/>
      <c r="R149" s="302"/>
      <c r="S149" s="302"/>
      <c r="T149" s="302"/>
      <c r="U149" s="302"/>
      <c r="V149" s="302"/>
      <c r="W149" s="302"/>
      <c r="X149" s="302"/>
      <c r="Y149" s="100"/>
      <c r="Z149" s="100"/>
      <c r="AA149" s="100"/>
      <c r="AB149" s="100"/>
      <c r="AC149" s="100"/>
      <c r="AD149" s="100"/>
      <c r="AE149" s="100"/>
      <c r="AF149" s="302"/>
      <c r="AG149" s="100"/>
      <c r="AH149" s="302"/>
      <c r="AI149" s="100"/>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c r="CE149" s="302"/>
      <c r="CF149" s="302"/>
      <c r="CG149" s="302"/>
      <c r="CH149" s="302"/>
      <c r="CI149" s="302"/>
      <c r="CJ149" s="302"/>
      <c r="CK149" s="302"/>
      <c r="CL149" s="302"/>
      <c r="CM149" s="302"/>
      <c r="CN149" s="302"/>
      <c r="CO149" s="302"/>
      <c r="CP149" s="302"/>
      <c r="CQ149" s="302"/>
      <c r="CR149" s="302"/>
      <c r="CS149" s="302"/>
      <c r="CT149" s="302"/>
      <c r="CU149" s="302"/>
      <c r="CV149" s="302"/>
      <c r="CW149" s="302"/>
      <c r="CX149" s="302"/>
      <c r="CY149" s="302"/>
      <c r="CZ149" s="302"/>
      <c r="DA149" s="302"/>
      <c r="DB149" s="302"/>
      <c r="DC149" s="302"/>
      <c r="DD149" s="302"/>
      <c r="DE149" s="302"/>
      <c r="DF149" s="302"/>
      <c r="DG149" s="302"/>
      <c r="DH149" s="302"/>
      <c r="DI149" s="302"/>
      <c r="DJ149" s="302"/>
      <c r="DK149" s="302"/>
      <c r="DL149" s="302"/>
      <c r="DM149" s="302"/>
      <c r="DN149" s="302"/>
      <c r="DO149" s="302"/>
      <c r="DP149" s="302"/>
      <c r="DQ149" s="302"/>
      <c r="DR149" s="302"/>
      <c r="DS149" s="302"/>
      <c r="DT149" s="302"/>
      <c r="DU149" s="302"/>
      <c r="DV149" s="302"/>
      <c r="DW149" s="302"/>
      <c r="DX149" s="302"/>
      <c r="DY149" s="302"/>
      <c r="DZ149" s="302"/>
      <c r="EA149" s="302"/>
      <c r="EB149" s="302"/>
      <c r="EC149" s="302"/>
      <c r="ED149" s="302"/>
      <c r="EE149" s="302"/>
      <c r="EF149" s="302"/>
      <c r="EG149" s="302"/>
      <c r="EH149" s="302"/>
      <c r="EI149" s="302"/>
      <c r="EJ149" s="302"/>
      <c r="EK149" s="302"/>
      <c r="EL149" s="302"/>
      <c r="EM149" s="302"/>
      <c r="EN149" s="302"/>
      <c r="EO149" s="302"/>
      <c r="EP149" s="302"/>
      <c r="EQ149" s="302"/>
      <c r="ER149" s="302"/>
      <c r="ES149" s="302"/>
      <c r="ET149" s="302"/>
      <c r="EU149" s="302"/>
      <c r="EV149" s="302"/>
      <c r="EW149" s="302"/>
      <c r="EX149" s="302"/>
      <c r="EY149" s="302"/>
    </row>
    <row r="150" spans="1:155" s="27" customFormat="1" x14ac:dyDescent="0.2">
      <c r="A150" s="38"/>
      <c r="B150" s="37"/>
      <c r="C150" s="36">
        <f t="shared" si="14"/>
        <v>0</v>
      </c>
      <c r="D150" s="20"/>
      <c r="E150" s="36">
        <f t="shared" si="13"/>
        <v>0</v>
      </c>
      <c r="F150" s="126" t="s">
        <v>228</v>
      </c>
      <c r="G150" s="302"/>
      <c r="H150" s="302"/>
      <c r="I150" s="302"/>
      <c r="J150" s="302"/>
      <c r="K150" s="302"/>
      <c r="L150" s="302"/>
      <c r="M150" s="302"/>
      <c r="N150" s="302"/>
      <c r="O150" s="302"/>
      <c r="P150" s="100"/>
      <c r="Q150" s="302"/>
      <c r="R150" s="302"/>
      <c r="S150" s="302"/>
      <c r="T150" s="302"/>
      <c r="U150" s="302"/>
      <c r="V150" s="302"/>
      <c r="W150" s="302"/>
      <c r="X150" s="302"/>
      <c r="Y150" s="100"/>
      <c r="Z150" s="100"/>
      <c r="AA150" s="100"/>
      <c r="AB150" s="100"/>
      <c r="AC150" s="100"/>
      <c r="AD150" s="100"/>
      <c r="AE150" s="100"/>
      <c r="AF150" s="302"/>
      <c r="AG150" s="100"/>
      <c r="AH150" s="302"/>
      <c r="AI150" s="100"/>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c r="CE150" s="302"/>
      <c r="CF150" s="302"/>
      <c r="CG150" s="302"/>
      <c r="CH150" s="302"/>
      <c r="CI150" s="302"/>
      <c r="CJ150" s="302"/>
      <c r="CK150" s="302"/>
      <c r="CL150" s="302"/>
      <c r="CM150" s="302"/>
      <c r="CN150" s="302"/>
      <c r="CO150" s="302"/>
      <c r="CP150" s="302"/>
      <c r="CQ150" s="302"/>
      <c r="CR150" s="302"/>
      <c r="CS150" s="302"/>
      <c r="CT150" s="302"/>
      <c r="CU150" s="302"/>
      <c r="CV150" s="302"/>
      <c r="CW150" s="302"/>
      <c r="CX150" s="302"/>
      <c r="CY150" s="302"/>
      <c r="CZ150" s="302"/>
      <c r="DA150" s="302"/>
      <c r="DB150" s="302"/>
      <c r="DC150" s="302"/>
      <c r="DD150" s="302"/>
      <c r="DE150" s="302"/>
      <c r="DF150" s="302"/>
      <c r="DG150" s="302"/>
      <c r="DH150" s="302"/>
      <c r="DI150" s="302"/>
      <c r="DJ150" s="302"/>
      <c r="DK150" s="302"/>
      <c r="DL150" s="302"/>
      <c r="DM150" s="302"/>
      <c r="DN150" s="302"/>
      <c r="DO150" s="302"/>
      <c r="DP150" s="302"/>
      <c r="DQ150" s="302"/>
      <c r="DR150" s="302"/>
      <c r="DS150" s="302"/>
      <c r="DT150" s="302"/>
      <c r="DU150" s="302"/>
      <c r="DV150" s="302"/>
      <c r="DW150" s="302"/>
      <c r="DX150" s="302"/>
      <c r="DY150" s="302"/>
      <c r="DZ150" s="302"/>
      <c r="EA150" s="302"/>
      <c r="EB150" s="302"/>
      <c r="EC150" s="302"/>
      <c r="ED150" s="302"/>
      <c r="EE150" s="302"/>
      <c r="EF150" s="302"/>
      <c r="EG150" s="302"/>
      <c r="EH150" s="302"/>
      <c r="EI150" s="302"/>
      <c r="EJ150" s="302"/>
      <c r="EK150" s="302"/>
      <c r="EL150" s="302"/>
      <c r="EM150" s="302"/>
      <c r="EN150" s="302"/>
      <c r="EO150" s="302"/>
      <c r="EP150" s="302"/>
      <c r="EQ150" s="302"/>
      <c r="ER150" s="302"/>
      <c r="ES150" s="302"/>
      <c r="ET150" s="302"/>
      <c r="EU150" s="302"/>
      <c r="EV150" s="302"/>
      <c r="EW150" s="302"/>
      <c r="EX150" s="302"/>
      <c r="EY150" s="302"/>
    </row>
    <row r="151" spans="1:155" s="27" customFormat="1" x14ac:dyDescent="0.2">
      <c r="A151" s="38"/>
      <c r="B151" s="37"/>
      <c r="C151" s="36">
        <f t="shared" si="14"/>
        <v>0</v>
      </c>
      <c r="D151" s="20"/>
      <c r="E151" s="36">
        <f t="shared" si="13"/>
        <v>0</v>
      </c>
      <c r="F151" s="126" t="s">
        <v>228</v>
      </c>
      <c r="G151" s="302"/>
      <c r="H151" s="302"/>
      <c r="I151" s="302"/>
      <c r="J151" s="302"/>
      <c r="K151" s="302"/>
      <c r="L151" s="302"/>
      <c r="M151" s="302"/>
      <c r="N151" s="302"/>
      <c r="O151" s="302"/>
      <c r="P151" s="100"/>
      <c r="Q151" s="302"/>
      <c r="R151" s="302"/>
      <c r="S151" s="302"/>
      <c r="T151" s="302"/>
      <c r="U151" s="302"/>
      <c r="V151" s="302"/>
      <c r="W151" s="302"/>
      <c r="X151" s="302"/>
      <c r="Y151" s="100"/>
      <c r="Z151" s="100"/>
      <c r="AA151" s="100"/>
      <c r="AB151" s="100"/>
      <c r="AC151" s="100"/>
      <c r="AD151" s="100"/>
      <c r="AE151" s="100"/>
      <c r="AF151" s="302"/>
      <c r="AG151" s="100"/>
      <c r="AH151" s="302"/>
      <c r="AI151" s="100"/>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c r="CE151" s="302"/>
      <c r="CF151" s="302"/>
      <c r="CG151" s="302"/>
      <c r="CH151" s="302"/>
      <c r="CI151" s="302"/>
      <c r="CJ151" s="302"/>
      <c r="CK151" s="302"/>
      <c r="CL151" s="302"/>
      <c r="CM151" s="302"/>
      <c r="CN151" s="302"/>
      <c r="CO151" s="302"/>
      <c r="CP151" s="302"/>
      <c r="CQ151" s="302"/>
      <c r="CR151" s="302"/>
      <c r="CS151" s="302"/>
      <c r="CT151" s="302"/>
      <c r="CU151" s="302"/>
      <c r="CV151" s="302"/>
      <c r="CW151" s="302"/>
      <c r="CX151" s="302"/>
      <c r="CY151" s="302"/>
      <c r="CZ151" s="302"/>
      <c r="DA151" s="302"/>
      <c r="DB151" s="302"/>
      <c r="DC151" s="302"/>
      <c r="DD151" s="302"/>
      <c r="DE151" s="302"/>
      <c r="DF151" s="302"/>
      <c r="DG151" s="302"/>
      <c r="DH151" s="302"/>
      <c r="DI151" s="302"/>
      <c r="DJ151" s="302"/>
      <c r="DK151" s="302"/>
      <c r="DL151" s="302"/>
      <c r="DM151" s="302"/>
      <c r="DN151" s="302"/>
      <c r="DO151" s="302"/>
      <c r="DP151" s="302"/>
      <c r="DQ151" s="302"/>
      <c r="DR151" s="302"/>
      <c r="DS151" s="302"/>
      <c r="DT151" s="302"/>
      <c r="DU151" s="302"/>
      <c r="DV151" s="302"/>
      <c r="DW151" s="302"/>
      <c r="DX151" s="302"/>
      <c r="DY151" s="302"/>
      <c r="DZ151" s="302"/>
      <c r="EA151" s="302"/>
      <c r="EB151" s="302"/>
      <c r="EC151" s="302"/>
      <c r="ED151" s="302"/>
      <c r="EE151" s="302"/>
      <c r="EF151" s="302"/>
      <c r="EG151" s="302"/>
      <c r="EH151" s="302"/>
      <c r="EI151" s="302"/>
      <c r="EJ151" s="302"/>
      <c r="EK151" s="302"/>
      <c r="EL151" s="302"/>
      <c r="EM151" s="302"/>
      <c r="EN151" s="302"/>
      <c r="EO151" s="302"/>
      <c r="EP151" s="302"/>
      <c r="EQ151" s="302"/>
      <c r="ER151" s="302"/>
      <c r="ES151" s="302"/>
      <c r="ET151" s="302"/>
      <c r="EU151" s="302"/>
      <c r="EV151" s="302"/>
      <c r="EW151" s="302"/>
      <c r="EX151" s="302"/>
      <c r="EY151" s="302"/>
    </row>
    <row r="152" spans="1:155" s="27" customFormat="1" x14ac:dyDescent="0.2">
      <c r="A152" s="38"/>
      <c r="B152" s="37"/>
      <c r="C152" s="36">
        <f t="shared" si="14"/>
        <v>0</v>
      </c>
      <c r="D152" s="20"/>
      <c r="E152" s="36">
        <f t="shared" si="13"/>
        <v>0</v>
      </c>
      <c r="F152" s="126" t="s">
        <v>228</v>
      </c>
      <c r="G152" s="302"/>
      <c r="H152" s="302"/>
      <c r="I152" s="302"/>
      <c r="J152" s="302"/>
      <c r="K152" s="302"/>
      <c r="L152" s="302"/>
      <c r="M152" s="302"/>
      <c r="N152" s="302"/>
      <c r="O152" s="302"/>
      <c r="P152" s="100"/>
      <c r="Q152" s="302"/>
      <c r="R152" s="302"/>
      <c r="S152" s="302"/>
      <c r="T152" s="302"/>
      <c r="U152" s="302"/>
      <c r="V152" s="302"/>
      <c r="W152" s="302"/>
      <c r="X152" s="302"/>
      <c r="Y152" s="100"/>
      <c r="Z152" s="100"/>
      <c r="AA152" s="100"/>
      <c r="AB152" s="100"/>
      <c r="AC152" s="100"/>
      <c r="AD152" s="100"/>
      <c r="AE152" s="100"/>
      <c r="AF152" s="302"/>
      <c r="AG152" s="100"/>
      <c r="AH152" s="302"/>
      <c r="AI152" s="100"/>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c r="CE152" s="302"/>
      <c r="CF152" s="302"/>
      <c r="CG152" s="302"/>
      <c r="CH152" s="302"/>
      <c r="CI152" s="302"/>
      <c r="CJ152" s="302"/>
      <c r="CK152" s="302"/>
      <c r="CL152" s="302"/>
      <c r="CM152" s="302"/>
      <c r="CN152" s="302"/>
      <c r="CO152" s="302"/>
      <c r="CP152" s="302"/>
      <c r="CQ152" s="302"/>
      <c r="CR152" s="302"/>
      <c r="CS152" s="302"/>
      <c r="CT152" s="302"/>
      <c r="CU152" s="302"/>
      <c r="CV152" s="302"/>
      <c r="CW152" s="302"/>
      <c r="CX152" s="302"/>
      <c r="CY152" s="302"/>
      <c r="CZ152" s="302"/>
      <c r="DA152" s="302"/>
      <c r="DB152" s="302"/>
      <c r="DC152" s="302"/>
      <c r="DD152" s="302"/>
      <c r="DE152" s="302"/>
      <c r="DF152" s="302"/>
      <c r="DG152" s="302"/>
      <c r="DH152" s="302"/>
      <c r="DI152" s="302"/>
      <c r="DJ152" s="302"/>
      <c r="DK152" s="302"/>
      <c r="DL152" s="302"/>
      <c r="DM152" s="302"/>
      <c r="DN152" s="302"/>
      <c r="DO152" s="302"/>
      <c r="DP152" s="302"/>
      <c r="DQ152" s="302"/>
      <c r="DR152" s="302"/>
      <c r="DS152" s="302"/>
      <c r="DT152" s="302"/>
      <c r="DU152" s="302"/>
      <c r="DV152" s="302"/>
      <c r="DW152" s="302"/>
      <c r="DX152" s="302"/>
      <c r="DY152" s="302"/>
      <c r="DZ152" s="302"/>
      <c r="EA152" s="302"/>
      <c r="EB152" s="302"/>
      <c r="EC152" s="302"/>
      <c r="ED152" s="302"/>
      <c r="EE152" s="302"/>
      <c r="EF152" s="302"/>
      <c r="EG152" s="302"/>
      <c r="EH152" s="302"/>
      <c r="EI152" s="302"/>
      <c r="EJ152" s="302"/>
      <c r="EK152" s="302"/>
      <c r="EL152" s="302"/>
      <c r="EM152" s="302"/>
      <c r="EN152" s="302"/>
      <c r="EO152" s="302"/>
      <c r="EP152" s="302"/>
      <c r="EQ152" s="302"/>
      <c r="ER152" s="302"/>
      <c r="ES152" s="302"/>
      <c r="ET152" s="302"/>
      <c r="EU152" s="302"/>
      <c r="EV152" s="302"/>
      <c r="EW152" s="302"/>
      <c r="EX152" s="302"/>
      <c r="EY152" s="302"/>
    </row>
    <row r="153" spans="1:155" s="27" customFormat="1" x14ac:dyDescent="0.2">
      <c r="A153" s="38"/>
      <c r="B153" s="37"/>
      <c r="C153" s="36">
        <f t="shared" si="14"/>
        <v>0</v>
      </c>
      <c r="D153" s="20"/>
      <c r="E153" s="36">
        <f t="shared" si="13"/>
        <v>0</v>
      </c>
      <c r="F153" s="126" t="s">
        <v>228</v>
      </c>
      <c r="G153" s="302"/>
      <c r="H153" s="302"/>
      <c r="I153" s="302"/>
      <c r="J153" s="302"/>
      <c r="K153" s="302"/>
      <c r="L153" s="302"/>
      <c r="M153" s="302"/>
      <c r="N153" s="302"/>
      <c r="O153" s="302"/>
      <c r="P153" s="100"/>
      <c r="Q153" s="302"/>
      <c r="R153" s="302"/>
      <c r="S153" s="302"/>
      <c r="T153" s="302"/>
      <c r="U153" s="302"/>
      <c r="V153" s="302"/>
      <c r="W153" s="302"/>
      <c r="X153" s="302"/>
      <c r="Y153" s="100"/>
      <c r="Z153" s="100"/>
      <c r="AA153" s="100"/>
      <c r="AB153" s="100"/>
      <c r="AC153" s="100"/>
      <c r="AD153" s="100"/>
      <c r="AE153" s="100"/>
      <c r="AF153" s="302"/>
      <c r="AG153" s="100"/>
      <c r="AH153" s="302"/>
      <c r="AI153" s="100"/>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c r="CE153" s="302"/>
      <c r="CF153" s="302"/>
      <c r="CG153" s="302"/>
      <c r="CH153" s="302"/>
      <c r="CI153" s="302"/>
      <c r="CJ153" s="302"/>
      <c r="CK153" s="302"/>
      <c r="CL153" s="302"/>
      <c r="CM153" s="302"/>
      <c r="CN153" s="302"/>
      <c r="CO153" s="302"/>
      <c r="CP153" s="302"/>
      <c r="CQ153" s="302"/>
      <c r="CR153" s="302"/>
      <c r="CS153" s="302"/>
      <c r="CT153" s="302"/>
      <c r="CU153" s="302"/>
      <c r="CV153" s="302"/>
      <c r="CW153" s="302"/>
      <c r="CX153" s="302"/>
      <c r="CY153" s="302"/>
      <c r="CZ153" s="302"/>
      <c r="DA153" s="302"/>
      <c r="DB153" s="302"/>
      <c r="DC153" s="302"/>
      <c r="DD153" s="302"/>
      <c r="DE153" s="302"/>
      <c r="DF153" s="302"/>
      <c r="DG153" s="302"/>
      <c r="DH153" s="302"/>
      <c r="DI153" s="302"/>
      <c r="DJ153" s="302"/>
      <c r="DK153" s="302"/>
      <c r="DL153" s="302"/>
      <c r="DM153" s="302"/>
      <c r="DN153" s="302"/>
      <c r="DO153" s="302"/>
      <c r="DP153" s="302"/>
      <c r="DQ153" s="302"/>
      <c r="DR153" s="302"/>
      <c r="DS153" s="302"/>
      <c r="DT153" s="302"/>
      <c r="DU153" s="302"/>
      <c r="DV153" s="302"/>
      <c r="DW153" s="302"/>
      <c r="DX153" s="302"/>
      <c r="DY153" s="302"/>
      <c r="DZ153" s="302"/>
      <c r="EA153" s="302"/>
      <c r="EB153" s="302"/>
      <c r="EC153" s="302"/>
      <c r="ED153" s="302"/>
      <c r="EE153" s="302"/>
      <c r="EF153" s="302"/>
      <c r="EG153" s="302"/>
      <c r="EH153" s="302"/>
      <c r="EI153" s="302"/>
      <c r="EJ153" s="302"/>
      <c r="EK153" s="302"/>
      <c r="EL153" s="302"/>
      <c r="EM153" s="302"/>
      <c r="EN153" s="302"/>
      <c r="EO153" s="302"/>
      <c r="EP153" s="302"/>
      <c r="EQ153" s="302"/>
      <c r="ER153" s="302"/>
      <c r="ES153" s="302"/>
      <c r="ET153" s="302"/>
      <c r="EU153" s="302"/>
      <c r="EV153" s="302"/>
      <c r="EW153" s="302"/>
      <c r="EX153" s="302"/>
      <c r="EY153" s="302"/>
    </row>
    <row r="154" spans="1:155" s="27" customFormat="1" x14ac:dyDescent="0.2">
      <c r="A154" s="38"/>
      <c r="B154" s="37"/>
      <c r="C154" s="36">
        <f t="shared" si="14"/>
        <v>0</v>
      </c>
      <c r="D154" s="20"/>
      <c r="E154" s="36">
        <f t="shared" si="13"/>
        <v>0</v>
      </c>
      <c r="F154" s="126" t="s">
        <v>228</v>
      </c>
      <c r="G154" s="302"/>
      <c r="H154" s="302"/>
      <c r="I154" s="302"/>
      <c r="J154" s="302"/>
      <c r="K154" s="302"/>
      <c r="L154" s="302"/>
      <c r="M154" s="302"/>
      <c r="N154" s="302"/>
      <c r="O154" s="302"/>
      <c r="P154" s="100"/>
      <c r="Q154" s="302"/>
      <c r="R154" s="302"/>
      <c r="S154" s="302"/>
      <c r="T154" s="302"/>
      <c r="U154" s="302"/>
      <c r="V154" s="302"/>
      <c r="W154" s="302"/>
      <c r="X154" s="302"/>
      <c r="Y154" s="100"/>
      <c r="Z154" s="100"/>
      <c r="AA154" s="100"/>
      <c r="AB154" s="100"/>
      <c r="AC154" s="100"/>
      <c r="AD154" s="100"/>
      <c r="AE154" s="100"/>
      <c r="AF154" s="302"/>
      <c r="AG154" s="100"/>
      <c r="AH154" s="302"/>
      <c r="AI154" s="100"/>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c r="CE154" s="302"/>
      <c r="CF154" s="302"/>
      <c r="CG154" s="302"/>
      <c r="CH154" s="302"/>
      <c r="CI154" s="302"/>
      <c r="CJ154" s="302"/>
      <c r="CK154" s="302"/>
      <c r="CL154" s="302"/>
      <c r="CM154" s="302"/>
      <c r="CN154" s="302"/>
      <c r="CO154" s="302"/>
      <c r="CP154" s="302"/>
      <c r="CQ154" s="302"/>
      <c r="CR154" s="302"/>
      <c r="CS154" s="302"/>
      <c r="CT154" s="302"/>
      <c r="CU154" s="302"/>
      <c r="CV154" s="302"/>
      <c r="CW154" s="302"/>
      <c r="CX154" s="302"/>
      <c r="CY154" s="302"/>
      <c r="CZ154" s="302"/>
      <c r="DA154" s="302"/>
      <c r="DB154" s="302"/>
      <c r="DC154" s="302"/>
      <c r="DD154" s="302"/>
      <c r="DE154" s="302"/>
      <c r="DF154" s="302"/>
      <c r="DG154" s="302"/>
      <c r="DH154" s="302"/>
      <c r="DI154" s="302"/>
      <c r="DJ154" s="302"/>
      <c r="DK154" s="302"/>
      <c r="DL154" s="302"/>
      <c r="DM154" s="302"/>
      <c r="DN154" s="302"/>
      <c r="DO154" s="302"/>
      <c r="DP154" s="302"/>
      <c r="DQ154" s="302"/>
      <c r="DR154" s="302"/>
      <c r="DS154" s="302"/>
      <c r="DT154" s="302"/>
      <c r="DU154" s="302"/>
      <c r="DV154" s="302"/>
      <c r="DW154" s="302"/>
      <c r="DX154" s="302"/>
      <c r="DY154" s="302"/>
      <c r="DZ154" s="302"/>
      <c r="EA154" s="302"/>
      <c r="EB154" s="302"/>
      <c r="EC154" s="302"/>
      <c r="ED154" s="302"/>
      <c r="EE154" s="302"/>
      <c r="EF154" s="302"/>
      <c r="EG154" s="302"/>
      <c r="EH154" s="302"/>
      <c r="EI154" s="302"/>
      <c r="EJ154" s="302"/>
      <c r="EK154" s="302"/>
      <c r="EL154" s="302"/>
      <c r="EM154" s="302"/>
      <c r="EN154" s="302"/>
      <c r="EO154" s="302"/>
      <c r="EP154" s="302"/>
      <c r="EQ154" s="302"/>
      <c r="ER154" s="302"/>
      <c r="ES154" s="302"/>
      <c r="ET154" s="302"/>
      <c r="EU154" s="302"/>
      <c r="EV154" s="302"/>
      <c r="EW154" s="302"/>
      <c r="EX154" s="302"/>
      <c r="EY154" s="302"/>
    </row>
    <row r="155" spans="1:155" s="27" customFormat="1" x14ac:dyDescent="0.2">
      <c r="A155" s="38"/>
      <c r="B155" s="37"/>
      <c r="C155" s="36">
        <f t="shared" si="14"/>
        <v>0</v>
      </c>
      <c r="D155" s="20"/>
      <c r="E155" s="36">
        <f t="shared" si="13"/>
        <v>0</v>
      </c>
      <c r="F155" s="126" t="s">
        <v>228</v>
      </c>
      <c r="G155" s="302"/>
      <c r="H155" s="302"/>
      <c r="I155" s="302"/>
      <c r="J155" s="302"/>
      <c r="K155" s="302"/>
      <c r="L155" s="302"/>
      <c r="M155" s="302"/>
      <c r="N155" s="302"/>
      <c r="O155" s="302"/>
      <c r="P155" s="100"/>
      <c r="Q155" s="302"/>
      <c r="R155" s="302"/>
      <c r="S155" s="302"/>
      <c r="T155" s="302"/>
      <c r="U155" s="302"/>
      <c r="V155" s="302"/>
      <c r="W155" s="302"/>
      <c r="X155" s="302"/>
      <c r="Y155" s="100"/>
      <c r="Z155" s="100"/>
      <c r="AA155" s="100"/>
      <c r="AB155" s="100"/>
      <c r="AC155" s="100"/>
      <c r="AD155" s="100"/>
      <c r="AE155" s="100"/>
      <c r="AF155" s="302"/>
      <c r="AG155" s="100"/>
      <c r="AH155" s="302"/>
      <c r="AI155" s="100"/>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c r="CE155" s="302"/>
      <c r="CF155" s="302"/>
      <c r="CG155" s="302"/>
      <c r="CH155" s="302"/>
      <c r="CI155" s="302"/>
      <c r="CJ155" s="302"/>
      <c r="CK155" s="302"/>
      <c r="CL155" s="302"/>
      <c r="CM155" s="302"/>
      <c r="CN155" s="302"/>
      <c r="CO155" s="302"/>
      <c r="CP155" s="302"/>
      <c r="CQ155" s="302"/>
      <c r="CR155" s="302"/>
      <c r="CS155" s="302"/>
      <c r="CT155" s="302"/>
      <c r="CU155" s="302"/>
      <c r="CV155" s="302"/>
      <c r="CW155" s="302"/>
      <c r="CX155" s="302"/>
      <c r="CY155" s="302"/>
      <c r="CZ155" s="302"/>
      <c r="DA155" s="302"/>
      <c r="DB155" s="302"/>
      <c r="DC155" s="302"/>
      <c r="DD155" s="302"/>
      <c r="DE155" s="302"/>
      <c r="DF155" s="302"/>
      <c r="DG155" s="302"/>
      <c r="DH155" s="302"/>
      <c r="DI155" s="302"/>
      <c r="DJ155" s="302"/>
      <c r="DK155" s="302"/>
      <c r="DL155" s="302"/>
      <c r="DM155" s="302"/>
      <c r="DN155" s="302"/>
      <c r="DO155" s="302"/>
      <c r="DP155" s="302"/>
      <c r="DQ155" s="302"/>
      <c r="DR155" s="302"/>
      <c r="DS155" s="302"/>
      <c r="DT155" s="302"/>
      <c r="DU155" s="302"/>
      <c r="DV155" s="302"/>
      <c r="DW155" s="302"/>
      <c r="DX155" s="302"/>
      <c r="DY155" s="302"/>
      <c r="DZ155" s="302"/>
      <c r="EA155" s="302"/>
      <c r="EB155" s="302"/>
      <c r="EC155" s="302"/>
      <c r="ED155" s="302"/>
      <c r="EE155" s="302"/>
      <c r="EF155" s="302"/>
      <c r="EG155" s="302"/>
      <c r="EH155" s="302"/>
      <c r="EI155" s="302"/>
      <c r="EJ155" s="302"/>
      <c r="EK155" s="302"/>
      <c r="EL155" s="302"/>
      <c r="EM155" s="302"/>
      <c r="EN155" s="302"/>
      <c r="EO155" s="302"/>
      <c r="EP155" s="302"/>
      <c r="EQ155" s="302"/>
      <c r="ER155" s="302"/>
      <c r="ES155" s="302"/>
      <c r="ET155" s="302"/>
      <c r="EU155" s="302"/>
      <c r="EV155" s="302"/>
      <c r="EW155" s="302"/>
      <c r="EX155" s="302"/>
      <c r="EY155" s="302"/>
    </row>
    <row r="156" spans="1:155" s="27" customFormat="1" x14ac:dyDescent="0.2">
      <c r="A156" s="38"/>
      <c r="B156" s="37"/>
      <c r="C156" s="36">
        <f t="shared" si="14"/>
        <v>0</v>
      </c>
      <c r="D156" s="20"/>
      <c r="E156" s="36">
        <f t="shared" si="13"/>
        <v>0</v>
      </c>
      <c r="F156" s="126" t="s">
        <v>228</v>
      </c>
      <c r="G156" s="302"/>
      <c r="H156" s="302"/>
      <c r="I156" s="302"/>
      <c r="J156" s="302"/>
      <c r="K156" s="302"/>
      <c r="L156" s="302"/>
      <c r="M156" s="302"/>
      <c r="N156" s="302"/>
      <c r="O156" s="302"/>
      <c r="P156" s="100"/>
      <c r="Q156" s="302"/>
      <c r="R156" s="302"/>
      <c r="S156" s="302"/>
      <c r="T156" s="302"/>
      <c r="U156" s="302"/>
      <c r="V156" s="302"/>
      <c r="W156" s="302"/>
      <c r="X156" s="302"/>
      <c r="Y156" s="100"/>
      <c r="Z156" s="100"/>
      <c r="AA156" s="100"/>
      <c r="AB156" s="100"/>
      <c r="AC156" s="100"/>
      <c r="AD156" s="100"/>
      <c r="AE156" s="100"/>
      <c r="AF156" s="302"/>
      <c r="AG156" s="100"/>
      <c r="AH156" s="302"/>
      <c r="AI156" s="100"/>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c r="CE156" s="302"/>
      <c r="CF156" s="302"/>
      <c r="CG156" s="302"/>
      <c r="CH156" s="302"/>
      <c r="CI156" s="302"/>
      <c r="CJ156" s="302"/>
      <c r="CK156" s="302"/>
      <c r="CL156" s="302"/>
      <c r="CM156" s="302"/>
      <c r="CN156" s="302"/>
      <c r="CO156" s="302"/>
      <c r="CP156" s="302"/>
      <c r="CQ156" s="302"/>
      <c r="CR156" s="302"/>
      <c r="CS156" s="302"/>
      <c r="CT156" s="302"/>
      <c r="CU156" s="302"/>
      <c r="CV156" s="302"/>
      <c r="CW156" s="302"/>
      <c r="CX156" s="302"/>
      <c r="CY156" s="302"/>
      <c r="CZ156" s="302"/>
      <c r="DA156" s="302"/>
      <c r="DB156" s="302"/>
      <c r="DC156" s="302"/>
      <c r="DD156" s="302"/>
      <c r="DE156" s="302"/>
      <c r="DF156" s="302"/>
      <c r="DG156" s="302"/>
      <c r="DH156" s="302"/>
      <c r="DI156" s="302"/>
      <c r="DJ156" s="302"/>
      <c r="DK156" s="302"/>
      <c r="DL156" s="302"/>
      <c r="DM156" s="302"/>
      <c r="DN156" s="302"/>
      <c r="DO156" s="302"/>
      <c r="DP156" s="302"/>
      <c r="DQ156" s="302"/>
      <c r="DR156" s="302"/>
      <c r="DS156" s="302"/>
      <c r="DT156" s="302"/>
      <c r="DU156" s="302"/>
      <c r="DV156" s="302"/>
      <c r="DW156" s="302"/>
      <c r="DX156" s="302"/>
      <c r="DY156" s="302"/>
      <c r="DZ156" s="302"/>
      <c r="EA156" s="302"/>
      <c r="EB156" s="302"/>
      <c r="EC156" s="302"/>
      <c r="ED156" s="302"/>
      <c r="EE156" s="302"/>
      <c r="EF156" s="302"/>
      <c r="EG156" s="302"/>
      <c r="EH156" s="302"/>
      <c r="EI156" s="302"/>
      <c r="EJ156" s="302"/>
      <c r="EK156" s="302"/>
      <c r="EL156" s="302"/>
      <c r="EM156" s="302"/>
      <c r="EN156" s="302"/>
      <c r="EO156" s="302"/>
      <c r="EP156" s="302"/>
      <c r="EQ156" s="302"/>
      <c r="ER156" s="302"/>
      <c r="ES156" s="302"/>
      <c r="ET156" s="302"/>
      <c r="EU156" s="302"/>
      <c r="EV156" s="302"/>
      <c r="EW156" s="302"/>
      <c r="EX156" s="302"/>
      <c r="EY156" s="302"/>
    </row>
    <row r="157" spans="1:155" s="27" customFormat="1" x14ac:dyDescent="0.2">
      <c r="A157" s="38"/>
      <c r="B157" s="37"/>
      <c r="C157" s="36">
        <f t="shared" si="14"/>
        <v>0</v>
      </c>
      <c r="D157" s="20"/>
      <c r="E157" s="36">
        <f t="shared" si="13"/>
        <v>0</v>
      </c>
      <c r="F157" s="126" t="s">
        <v>228</v>
      </c>
      <c r="G157" s="302"/>
      <c r="H157" s="302"/>
      <c r="I157" s="302"/>
      <c r="J157" s="302"/>
      <c r="K157" s="302"/>
      <c r="L157" s="302"/>
      <c r="M157" s="302"/>
      <c r="N157" s="302"/>
      <c r="O157" s="302"/>
      <c r="P157" s="100"/>
      <c r="Q157" s="302"/>
      <c r="R157" s="302"/>
      <c r="S157" s="302"/>
      <c r="T157" s="302"/>
      <c r="U157" s="302"/>
      <c r="V157" s="302"/>
      <c r="W157" s="302"/>
      <c r="X157" s="302"/>
      <c r="Y157" s="100"/>
      <c r="Z157" s="100"/>
      <c r="AA157" s="100"/>
      <c r="AB157" s="100"/>
      <c r="AC157" s="100"/>
      <c r="AD157" s="100"/>
      <c r="AE157" s="100"/>
      <c r="AF157" s="302"/>
      <c r="AG157" s="100"/>
      <c r="AH157" s="302"/>
      <c r="AI157" s="100"/>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c r="CE157" s="302"/>
      <c r="CF157" s="302"/>
      <c r="CG157" s="302"/>
      <c r="CH157" s="302"/>
      <c r="CI157" s="302"/>
      <c r="CJ157" s="302"/>
      <c r="CK157" s="302"/>
      <c r="CL157" s="302"/>
      <c r="CM157" s="302"/>
      <c r="CN157" s="302"/>
      <c r="CO157" s="302"/>
      <c r="CP157" s="302"/>
      <c r="CQ157" s="302"/>
      <c r="CR157" s="302"/>
      <c r="CS157" s="302"/>
      <c r="CT157" s="302"/>
      <c r="CU157" s="302"/>
      <c r="CV157" s="302"/>
      <c r="CW157" s="302"/>
      <c r="CX157" s="302"/>
      <c r="CY157" s="302"/>
      <c r="CZ157" s="302"/>
      <c r="DA157" s="302"/>
      <c r="DB157" s="302"/>
      <c r="DC157" s="302"/>
      <c r="DD157" s="302"/>
      <c r="DE157" s="302"/>
      <c r="DF157" s="302"/>
      <c r="DG157" s="302"/>
      <c r="DH157" s="302"/>
      <c r="DI157" s="302"/>
      <c r="DJ157" s="302"/>
      <c r="DK157" s="302"/>
      <c r="DL157" s="302"/>
      <c r="DM157" s="302"/>
      <c r="DN157" s="302"/>
      <c r="DO157" s="302"/>
      <c r="DP157" s="302"/>
      <c r="DQ157" s="302"/>
      <c r="DR157" s="302"/>
      <c r="DS157" s="302"/>
      <c r="DT157" s="302"/>
      <c r="DU157" s="302"/>
      <c r="DV157" s="302"/>
      <c r="DW157" s="302"/>
      <c r="DX157" s="302"/>
      <c r="DY157" s="302"/>
      <c r="DZ157" s="302"/>
      <c r="EA157" s="302"/>
      <c r="EB157" s="302"/>
      <c r="EC157" s="302"/>
      <c r="ED157" s="302"/>
      <c r="EE157" s="302"/>
      <c r="EF157" s="302"/>
      <c r="EG157" s="302"/>
      <c r="EH157" s="302"/>
      <c r="EI157" s="302"/>
      <c r="EJ157" s="302"/>
      <c r="EK157" s="302"/>
      <c r="EL157" s="302"/>
      <c r="EM157" s="302"/>
      <c r="EN157" s="302"/>
      <c r="EO157" s="302"/>
      <c r="EP157" s="302"/>
      <c r="EQ157" s="302"/>
      <c r="ER157" s="302"/>
      <c r="ES157" s="302"/>
      <c r="ET157" s="302"/>
      <c r="EU157" s="302"/>
      <c r="EV157" s="302"/>
      <c r="EW157" s="302"/>
      <c r="EX157" s="302"/>
      <c r="EY157" s="302"/>
    </row>
    <row r="158" spans="1:155" s="27" customFormat="1" x14ac:dyDescent="0.2">
      <c r="A158" s="38"/>
      <c r="B158" s="37"/>
      <c r="C158" s="36">
        <f t="shared" si="14"/>
        <v>0</v>
      </c>
      <c r="D158" s="20"/>
      <c r="E158" s="36">
        <f t="shared" si="13"/>
        <v>0</v>
      </c>
      <c r="F158" s="126" t="s">
        <v>228</v>
      </c>
      <c r="G158" s="302"/>
      <c r="H158" s="302"/>
      <c r="I158" s="302"/>
      <c r="J158" s="302"/>
      <c r="K158" s="302"/>
      <c r="L158" s="302"/>
      <c r="M158" s="302"/>
      <c r="N158" s="302"/>
      <c r="O158" s="302"/>
      <c r="P158" s="100"/>
      <c r="Q158" s="302"/>
      <c r="R158" s="302"/>
      <c r="S158" s="302"/>
      <c r="T158" s="302"/>
      <c r="U158" s="302"/>
      <c r="V158" s="302"/>
      <c r="W158" s="302"/>
      <c r="X158" s="302"/>
      <c r="Y158" s="100"/>
      <c r="Z158" s="100"/>
      <c r="AA158" s="100"/>
      <c r="AB158" s="100"/>
      <c r="AC158" s="100"/>
      <c r="AD158" s="100"/>
      <c r="AE158" s="100"/>
      <c r="AF158" s="302"/>
      <c r="AG158" s="100"/>
      <c r="AH158" s="302"/>
      <c r="AI158" s="100"/>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c r="CE158" s="302"/>
      <c r="CF158" s="302"/>
      <c r="CG158" s="302"/>
      <c r="CH158" s="302"/>
      <c r="CI158" s="302"/>
      <c r="CJ158" s="302"/>
      <c r="CK158" s="302"/>
      <c r="CL158" s="302"/>
      <c r="CM158" s="302"/>
      <c r="CN158" s="302"/>
      <c r="CO158" s="302"/>
      <c r="CP158" s="302"/>
      <c r="CQ158" s="302"/>
      <c r="CR158" s="302"/>
      <c r="CS158" s="302"/>
      <c r="CT158" s="302"/>
      <c r="CU158" s="302"/>
      <c r="CV158" s="302"/>
      <c r="CW158" s="302"/>
      <c r="CX158" s="302"/>
      <c r="CY158" s="302"/>
      <c r="CZ158" s="302"/>
      <c r="DA158" s="302"/>
      <c r="DB158" s="302"/>
      <c r="DC158" s="302"/>
      <c r="DD158" s="302"/>
      <c r="DE158" s="302"/>
      <c r="DF158" s="302"/>
      <c r="DG158" s="302"/>
      <c r="DH158" s="302"/>
      <c r="DI158" s="302"/>
      <c r="DJ158" s="302"/>
      <c r="DK158" s="302"/>
      <c r="DL158" s="302"/>
      <c r="DM158" s="302"/>
      <c r="DN158" s="302"/>
      <c r="DO158" s="302"/>
      <c r="DP158" s="302"/>
      <c r="DQ158" s="302"/>
      <c r="DR158" s="302"/>
      <c r="DS158" s="302"/>
      <c r="DT158" s="302"/>
      <c r="DU158" s="302"/>
      <c r="DV158" s="302"/>
      <c r="DW158" s="302"/>
      <c r="DX158" s="302"/>
      <c r="DY158" s="302"/>
      <c r="DZ158" s="302"/>
      <c r="EA158" s="302"/>
      <c r="EB158" s="302"/>
      <c r="EC158" s="302"/>
      <c r="ED158" s="302"/>
      <c r="EE158" s="302"/>
      <c r="EF158" s="302"/>
      <c r="EG158" s="302"/>
      <c r="EH158" s="302"/>
      <c r="EI158" s="302"/>
      <c r="EJ158" s="302"/>
      <c r="EK158" s="302"/>
      <c r="EL158" s="302"/>
      <c r="EM158" s="302"/>
      <c r="EN158" s="302"/>
      <c r="EO158" s="302"/>
      <c r="EP158" s="302"/>
      <c r="EQ158" s="302"/>
      <c r="ER158" s="302"/>
      <c r="ES158" s="302"/>
      <c r="ET158" s="302"/>
      <c r="EU158" s="302"/>
      <c r="EV158" s="302"/>
      <c r="EW158" s="302"/>
      <c r="EX158" s="302"/>
      <c r="EY158" s="302"/>
    </row>
    <row r="159" spans="1:155" s="27" customFormat="1" x14ac:dyDescent="0.2">
      <c r="A159" s="38"/>
      <c r="B159" s="37"/>
      <c r="C159" s="36">
        <f t="shared" si="14"/>
        <v>0</v>
      </c>
      <c r="D159" s="20"/>
      <c r="E159" s="36">
        <f t="shared" si="13"/>
        <v>0</v>
      </c>
      <c r="F159" s="126" t="s">
        <v>228</v>
      </c>
      <c r="G159" s="302"/>
      <c r="H159" s="302"/>
      <c r="I159" s="302"/>
      <c r="J159" s="302"/>
      <c r="K159" s="302"/>
      <c r="L159" s="302"/>
      <c r="M159" s="302"/>
      <c r="N159" s="302"/>
      <c r="O159" s="302"/>
      <c r="P159" s="100"/>
      <c r="Q159" s="302"/>
      <c r="R159" s="302"/>
      <c r="S159" s="302"/>
      <c r="T159" s="302"/>
      <c r="U159" s="302"/>
      <c r="V159" s="302"/>
      <c r="W159" s="302"/>
      <c r="X159" s="302"/>
      <c r="Y159" s="100"/>
      <c r="Z159" s="100"/>
      <c r="AA159" s="100"/>
      <c r="AB159" s="100"/>
      <c r="AC159" s="100"/>
      <c r="AD159" s="100"/>
      <c r="AE159" s="100"/>
      <c r="AF159" s="302"/>
      <c r="AG159" s="100"/>
      <c r="AH159" s="302"/>
      <c r="AI159" s="100"/>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c r="CE159" s="302"/>
      <c r="CF159" s="302"/>
      <c r="CG159" s="302"/>
      <c r="CH159" s="302"/>
      <c r="CI159" s="302"/>
      <c r="CJ159" s="302"/>
      <c r="CK159" s="302"/>
      <c r="CL159" s="302"/>
      <c r="CM159" s="302"/>
      <c r="CN159" s="302"/>
      <c r="CO159" s="302"/>
      <c r="CP159" s="302"/>
      <c r="CQ159" s="302"/>
      <c r="CR159" s="302"/>
      <c r="CS159" s="302"/>
      <c r="CT159" s="302"/>
      <c r="CU159" s="302"/>
      <c r="CV159" s="302"/>
      <c r="CW159" s="302"/>
      <c r="CX159" s="302"/>
      <c r="CY159" s="302"/>
      <c r="CZ159" s="302"/>
      <c r="DA159" s="302"/>
      <c r="DB159" s="302"/>
      <c r="DC159" s="302"/>
      <c r="DD159" s="302"/>
      <c r="DE159" s="302"/>
      <c r="DF159" s="302"/>
      <c r="DG159" s="302"/>
      <c r="DH159" s="302"/>
      <c r="DI159" s="302"/>
      <c r="DJ159" s="302"/>
      <c r="DK159" s="302"/>
      <c r="DL159" s="302"/>
      <c r="DM159" s="302"/>
      <c r="DN159" s="302"/>
      <c r="DO159" s="302"/>
      <c r="DP159" s="302"/>
      <c r="DQ159" s="302"/>
      <c r="DR159" s="302"/>
      <c r="DS159" s="302"/>
      <c r="DT159" s="302"/>
      <c r="DU159" s="302"/>
      <c r="DV159" s="302"/>
      <c r="DW159" s="302"/>
      <c r="DX159" s="302"/>
      <c r="DY159" s="302"/>
      <c r="DZ159" s="302"/>
      <c r="EA159" s="302"/>
      <c r="EB159" s="302"/>
      <c r="EC159" s="302"/>
      <c r="ED159" s="302"/>
      <c r="EE159" s="302"/>
      <c r="EF159" s="302"/>
      <c r="EG159" s="302"/>
      <c r="EH159" s="302"/>
      <c r="EI159" s="302"/>
      <c r="EJ159" s="302"/>
      <c r="EK159" s="302"/>
      <c r="EL159" s="302"/>
      <c r="EM159" s="302"/>
      <c r="EN159" s="302"/>
      <c r="EO159" s="302"/>
      <c r="EP159" s="302"/>
      <c r="EQ159" s="302"/>
      <c r="ER159" s="302"/>
      <c r="ES159" s="302"/>
      <c r="ET159" s="302"/>
      <c r="EU159" s="302"/>
      <c r="EV159" s="302"/>
      <c r="EW159" s="302"/>
      <c r="EX159" s="302"/>
      <c r="EY159" s="302"/>
    </row>
    <row r="160" spans="1:155" s="27" customFormat="1" x14ac:dyDescent="0.2">
      <c r="A160" s="38"/>
      <c r="B160" s="37"/>
      <c r="C160" s="36">
        <f t="shared" si="14"/>
        <v>0</v>
      </c>
      <c r="D160" s="20"/>
      <c r="E160" s="36">
        <f t="shared" si="13"/>
        <v>0</v>
      </c>
      <c r="F160" s="126" t="s">
        <v>228</v>
      </c>
      <c r="G160" s="302"/>
      <c r="H160" s="302"/>
      <c r="I160" s="302"/>
      <c r="J160" s="302"/>
      <c r="K160" s="302"/>
      <c r="L160" s="302"/>
      <c r="M160" s="302"/>
      <c r="N160" s="302"/>
      <c r="O160" s="302"/>
      <c r="P160" s="100"/>
      <c r="Q160" s="302"/>
      <c r="R160" s="302"/>
      <c r="S160" s="302"/>
      <c r="T160" s="302"/>
      <c r="U160" s="302"/>
      <c r="V160" s="302"/>
      <c r="W160" s="302"/>
      <c r="X160" s="302"/>
      <c r="Y160" s="100"/>
      <c r="Z160" s="100"/>
      <c r="AA160" s="100"/>
      <c r="AB160" s="100"/>
      <c r="AC160" s="100"/>
      <c r="AD160" s="100"/>
      <c r="AE160" s="100"/>
      <c r="AF160" s="302"/>
      <c r="AG160" s="100"/>
      <c r="AH160" s="302"/>
      <c r="AI160" s="100"/>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c r="CE160" s="302"/>
      <c r="CF160" s="302"/>
      <c r="CG160" s="302"/>
      <c r="CH160" s="302"/>
      <c r="CI160" s="302"/>
      <c r="CJ160" s="302"/>
      <c r="CK160" s="302"/>
      <c r="CL160" s="302"/>
      <c r="CM160" s="302"/>
      <c r="CN160" s="302"/>
      <c r="CO160" s="302"/>
      <c r="CP160" s="302"/>
      <c r="CQ160" s="302"/>
      <c r="CR160" s="302"/>
      <c r="CS160" s="302"/>
      <c r="CT160" s="302"/>
      <c r="CU160" s="302"/>
      <c r="CV160" s="302"/>
      <c r="CW160" s="302"/>
      <c r="CX160" s="302"/>
      <c r="CY160" s="302"/>
      <c r="CZ160" s="302"/>
      <c r="DA160" s="302"/>
      <c r="DB160" s="302"/>
      <c r="DC160" s="302"/>
      <c r="DD160" s="302"/>
      <c r="DE160" s="302"/>
      <c r="DF160" s="302"/>
      <c r="DG160" s="302"/>
      <c r="DH160" s="302"/>
      <c r="DI160" s="302"/>
      <c r="DJ160" s="302"/>
      <c r="DK160" s="302"/>
      <c r="DL160" s="302"/>
      <c r="DM160" s="302"/>
      <c r="DN160" s="302"/>
      <c r="DO160" s="302"/>
      <c r="DP160" s="302"/>
      <c r="DQ160" s="302"/>
      <c r="DR160" s="302"/>
      <c r="DS160" s="302"/>
      <c r="DT160" s="302"/>
      <c r="DU160" s="302"/>
      <c r="DV160" s="302"/>
      <c r="DW160" s="302"/>
      <c r="DX160" s="302"/>
      <c r="DY160" s="302"/>
      <c r="DZ160" s="302"/>
      <c r="EA160" s="302"/>
      <c r="EB160" s="302"/>
      <c r="EC160" s="302"/>
      <c r="ED160" s="302"/>
      <c r="EE160" s="302"/>
      <c r="EF160" s="302"/>
      <c r="EG160" s="302"/>
      <c r="EH160" s="302"/>
      <c r="EI160" s="302"/>
      <c r="EJ160" s="302"/>
      <c r="EK160" s="302"/>
      <c r="EL160" s="302"/>
      <c r="EM160" s="302"/>
      <c r="EN160" s="302"/>
      <c r="EO160" s="302"/>
      <c r="EP160" s="302"/>
      <c r="EQ160" s="302"/>
      <c r="ER160" s="302"/>
      <c r="ES160" s="302"/>
      <c r="ET160" s="302"/>
      <c r="EU160" s="302"/>
      <c r="EV160" s="302"/>
      <c r="EW160" s="302"/>
      <c r="EX160" s="302"/>
      <c r="EY160" s="302"/>
    </row>
    <row r="161" spans="1:155" s="27" customFormat="1" x14ac:dyDescent="0.2">
      <c r="A161" s="38"/>
      <c r="B161" s="37"/>
      <c r="C161" s="36">
        <f t="shared" si="14"/>
        <v>0</v>
      </c>
      <c r="D161" s="20"/>
      <c r="E161" s="36">
        <f t="shared" si="13"/>
        <v>0</v>
      </c>
      <c r="F161" s="126" t="s">
        <v>228</v>
      </c>
      <c r="G161" s="302"/>
      <c r="H161" s="302"/>
      <c r="I161" s="302"/>
      <c r="J161" s="302"/>
      <c r="K161" s="302"/>
      <c r="L161" s="302"/>
      <c r="M161" s="302"/>
      <c r="N161" s="302"/>
      <c r="O161" s="302"/>
      <c r="P161" s="100"/>
      <c r="Q161" s="302"/>
      <c r="R161" s="302"/>
      <c r="S161" s="302"/>
      <c r="T161" s="302"/>
      <c r="U161" s="302"/>
      <c r="V161" s="302"/>
      <c r="W161" s="302"/>
      <c r="X161" s="302"/>
      <c r="Y161" s="100"/>
      <c r="Z161" s="100"/>
      <c r="AA161" s="100"/>
      <c r="AB161" s="100"/>
      <c r="AC161" s="100"/>
      <c r="AD161" s="100"/>
      <c r="AE161" s="100"/>
      <c r="AF161" s="302"/>
      <c r="AG161" s="100"/>
      <c r="AH161" s="302"/>
      <c r="AI161" s="100"/>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c r="CE161" s="302"/>
      <c r="CF161" s="302"/>
      <c r="CG161" s="302"/>
      <c r="CH161" s="302"/>
      <c r="CI161" s="302"/>
      <c r="CJ161" s="302"/>
      <c r="CK161" s="302"/>
      <c r="CL161" s="302"/>
      <c r="CM161" s="302"/>
      <c r="CN161" s="302"/>
      <c r="CO161" s="302"/>
      <c r="CP161" s="302"/>
      <c r="CQ161" s="302"/>
      <c r="CR161" s="302"/>
      <c r="CS161" s="302"/>
      <c r="CT161" s="302"/>
      <c r="CU161" s="302"/>
      <c r="CV161" s="302"/>
      <c r="CW161" s="302"/>
      <c r="CX161" s="302"/>
      <c r="CY161" s="302"/>
      <c r="CZ161" s="302"/>
      <c r="DA161" s="302"/>
      <c r="DB161" s="302"/>
      <c r="DC161" s="302"/>
      <c r="DD161" s="302"/>
      <c r="DE161" s="302"/>
      <c r="DF161" s="302"/>
      <c r="DG161" s="302"/>
      <c r="DH161" s="302"/>
      <c r="DI161" s="302"/>
      <c r="DJ161" s="302"/>
      <c r="DK161" s="302"/>
      <c r="DL161" s="302"/>
      <c r="DM161" s="302"/>
      <c r="DN161" s="302"/>
      <c r="DO161" s="302"/>
      <c r="DP161" s="302"/>
      <c r="DQ161" s="302"/>
      <c r="DR161" s="302"/>
      <c r="DS161" s="302"/>
      <c r="DT161" s="302"/>
      <c r="DU161" s="302"/>
      <c r="DV161" s="302"/>
      <c r="DW161" s="302"/>
      <c r="DX161" s="302"/>
      <c r="DY161" s="302"/>
      <c r="DZ161" s="302"/>
      <c r="EA161" s="302"/>
      <c r="EB161" s="302"/>
      <c r="EC161" s="302"/>
      <c r="ED161" s="302"/>
      <c r="EE161" s="302"/>
      <c r="EF161" s="302"/>
      <c r="EG161" s="302"/>
      <c r="EH161" s="302"/>
      <c r="EI161" s="302"/>
      <c r="EJ161" s="302"/>
      <c r="EK161" s="302"/>
      <c r="EL161" s="302"/>
      <c r="EM161" s="302"/>
      <c r="EN161" s="302"/>
      <c r="EO161" s="302"/>
      <c r="EP161" s="302"/>
      <c r="EQ161" s="302"/>
      <c r="ER161" s="302"/>
      <c r="ES161" s="302"/>
      <c r="ET161" s="302"/>
      <c r="EU161" s="302"/>
      <c r="EV161" s="302"/>
      <c r="EW161" s="302"/>
      <c r="EX161" s="302"/>
      <c r="EY161" s="302"/>
    </row>
    <row r="162" spans="1:155" s="27" customFormat="1" x14ac:dyDescent="0.2">
      <c r="A162" s="38"/>
      <c r="B162" s="37"/>
      <c r="C162" s="36">
        <f t="shared" si="14"/>
        <v>0</v>
      </c>
      <c r="D162" s="20"/>
      <c r="E162" s="36">
        <f t="shared" si="13"/>
        <v>0</v>
      </c>
      <c r="F162" s="126" t="s">
        <v>228</v>
      </c>
      <c r="G162" s="302"/>
      <c r="H162" s="302"/>
      <c r="I162" s="302"/>
      <c r="J162" s="302"/>
      <c r="K162" s="302"/>
      <c r="L162" s="302"/>
      <c r="M162" s="302"/>
      <c r="N162" s="302"/>
      <c r="O162" s="302"/>
      <c r="P162" s="100"/>
      <c r="Q162" s="302"/>
      <c r="R162" s="302"/>
      <c r="S162" s="302"/>
      <c r="T162" s="302"/>
      <c r="U162" s="302"/>
      <c r="V162" s="302"/>
      <c r="W162" s="302"/>
      <c r="X162" s="302"/>
      <c r="Y162" s="100"/>
      <c r="Z162" s="100"/>
      <c r="AA162" s="100"/>
      <c r="AB162" s="100"/>
      <c r="AC162" s="100"/>
      <c r="AD162" s="100"/>
      <c r="AE162" s="100"/>
      <c r="AF162" s="302"/>
      <c r="AG162" s="100"/>
      <c r="AH162" s="302"/>
      <c r="AI162" s="100"/>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302"/>
      <c r="BO162" s="302"/>
      <c r="BP162" s="302"/>
      <c r="BQ162" s="302"/>
      <c r="BR162" s="302"/>
      <c r="BS162" s="302"/>
      <c r="BT162" s="302"/>
      <c r="BU162" s="302"/>
      <c r="BV162" s="302"/>
      <c r="BW162" s="302"/>
      <c r="BX162" s="302"/>
      <c r="BY162" s="302"/>
      <c r="BZ162" s="302"/>
      <c r="CA162" s="302"/>
      <c r="CB162" s="302"/>
      <c r="CC162" s="302"/>
      <c r="CD162" s="302"/>
      <c r="CE162" s="302"/>
      <c r="CF162" s="302"/>
      <c r="CG162" s="302"/>
      <c r="CH162" s="302"/>
      <c r="CI162" s="302"/>
      <c r="CJ162" s="302"/>
      <c r="CK162" s="302"/>
      <c r="CL162" s="302"/>
      <c r="CM162" s="302"/>
      <c r="CN162" s="302"/>
      <c r="CO162" s="302"/>
      <c r="CP162" s="302"/>
      <c r="CQ162" s="302"/>
      <c r="CR162" s="302"/>
      <c r="CS162" s="302"/>
      <c r="CT162" s="302"/>
      <c r="CU162" s="302"/>
      <c r="CV162" s="302"/>
      <c r="CW162" s="302"/>
      <c r="CX162" s="302"/>
      <c r="CY162" s="302"/>
      <c r="CZ162" s="302"/>
      <c r="DA162" s="302"/>
      <c r="DB162" s="302"/>
      <c r="DC162" s="302"/>
      <c r="DD162" s="302"/>
      <c r="DE162" s="302"/>
      <c r="DF162" s="302"/>
      <c r="DG162" s="302"/>
      <c r="DH162" s="302"/>
      <c r="DI162" s="302"/>
      <c r="DJ162" s="302"/>
      <c r="DK162" s="302"/>
      <c r="DL162" s="302"/>
      <c r="DM162" s="302"/>
      <c r="DN162" s="302"/>
      <c r="DO162" s="302"/>
      <c r="DP162" s="302"/>
      <c r="DQ162" s="302"/>
      <c r="DR162" s="302"/>
      <c r="DS162" s="302"/>
      <c r="DT162" s="302"/>
      <c r="DU162" s="302"/>
      <c r="DV162" s="302"/>
      <c r="DW162" s="302"/>
      <c r="DX162" s="302"/>
      <c r="DY162" s="302"/>
      <c r="DZ162" s="302"/>
      <c r="EA162" s="302"/>
      <c r="EB162" s="302"/>
      <c r="EC162" s="302"/>
      <c r="ED162" s="302"/>
      <c r="EE162" s="302"/>
      <c r="EF162" s="302"/>
      <c r="EG162" s="302"/>
      <c r="EH162" s="302"/>
      <c r="EI162" s="302"/>
      <c r="EJ162" s="302"/>
      <c r="EK162" s="302"/>
      <c r="EL162" s="302"/>
      <c r="EM162" s="302"/>
      <c r="EN162" s="302"/>
      <c r="EO162" s="302"/>
      <c r="EP162" s="302"/>
      <c r="EQ162" s="302"/>
      <c r="ER162" s="302"/>
      <c r="ES162" s="302"/>
      <c r="ET162" s="302"/>
      <c r="EU162" s="302"/>
      <c r="EV162" s="302"/>
      <c r="EW162" s="302"/>
      <c r="EX162" s="302"/>
      <c r="EY162" s="302"/>
    </row>
    <row r="163" spans="1:155" s="27" customFormat="1" x14ac:dyDescent="0.2">
      <c r="A163" s="38"/>
      <c r="B163" s="37"/>
      <c r="C163" s="36">
        <f t="shared" si="14"/>
        <v>0</v>
      </c>
      <c r="D163" s="20"/>
      <c r="E163" s="36">
        <f t="shared" si="13"/>
        <v>0</v>
      </c>
      <c r="F163" s="126" t="s">
        <v>228</v>
      </c>
      <c r="G163" s="302"/>
      <c r="H163" s="302"/>
      <c r="I163" s="302"/>
      <c r="J163" s="302"/>
      <c r="K163" s="302"/>
      <c r="L163" s="302"/>
      <c r="M163" s="302"/>
      <c r="N163" s="302"/>
      <c r="O163" s="302"/>
      <c r="P163" s="100"/>
      <c r="Q163" s="302"/>
      <c r="R163" s="302"/>
      <c r="S163" s="302"/>
      <c r="T163" s="302"/>
      <c r="U163" s="302"/>
      <c r="V163" s="302"/>
      <c r="W163" s="302"/>
      <c r="X163" s="302"/>
      <c r="Y163" s="100"/>
      <c r="Z163" s="100"/>
      <c r="AA163" s="100"/>
      <c r="AB163" s="100"/>
      <c r="AC163" s="100"/>
      <c r="AD163" s="100"/>
      <c r="AE163" s="100"/>
      <c r="AF163" s="302"/>
      <c r="AG163" s="100"/>
      <c r="AH163" s="302"/>
      <c r="AI163" s="100"/>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302"/>
      <c r="BO163" s="302"/>
      <c r="BP163" s="302"/>
      <c r="BQ163" s="302"/>
      <c r="BR163" s="302"/>
      <c r="BS163" s="302"/>
      <c r="BT163" s="302"/>
      <c r="BU163" s="302"/>
      <c r="BV163" s="302"/>
      <c r="BW163" s="302"/>
      <c r="BX163" s="302"/>
      <c r="BY163" s="302"/>
      <c r="BZ163" s="302"/>
      <c r="CA163" s="302"/>
      <c r="CB163" s="302"/>
      <c r="CC163" s="302"/>
      <c r="CD163" s="302"/>
      <c r="CE163" s="302"/>
      <c r="CF163" s="302"/>
      <c r="CG163" s="302"/>
      <c r="CH163" s="302"/>
      <c r="CI163" s="302"/>
      <c r="CJ163" s="302"/>
      <c r="CK163" s="302"/>
      <c r="CL163" s="302"/>
      <c r="CM163" s="302"/>
      <c r="CN163" s="302"/>
      <c r="CO163" s="302"/>
      <c r="CP163" s="302"/>
      <c r="CQ163" s="302"/>
      <c r="CR163" s="302"/>
      <c r="CS163" s="302"/>
      <c r="CT163" s="302"/>
      <c r="CU163" s="302"/>
      <c r="CV163" s="302"/>
      <c r="CW163" s="302"/>
      <c r="CX163" s="302"/>
      <c r="CY163" s="302"/>
      <c r="CZ163" s="302"/>
      <c r="DA163" s="302"/>
      <c r="DB163" s="302"/>
      <c r="DC163" s="302"/>
      <c r="DD163" s="302"/>
      <c r="DE163" s="302"/>
      <c r="DF163" s="302"/>
      <c r="DG163" s="302"/>
      <c r="DH163" s="302"/>
      <c r="DI163" s="302"/>
      <c r="DJ163" s="302"/>
      <c r="DK163" s="302"/>
      <c r="DL163" s="302"/>
      <c r="DM163" s="302"/>
      <c r="DN163" s="302"/>
      <c r="DO163" s="302"/>
      <c r="DP163" s="302"/>
      <c r="DQ163" s="302"/>
      <c r="DR163" s="302"/>
      <c r="DS163" s="302"/>
      <c r="DT163" s="302"/>
      <c r="DU163" s="302"/>
      <c r="DV163" s="302"/>
      <c r="DW163" s="302"/>
      <c r="DX163" s="302"/>
      <c r="DY163" s="302"/>
      <c r="DZ163" s="302"/>
      <c r="EA163" s="302"/>
      <c r="EB163" s="302"/>
      <c r="EC163" s="302"/>
      <c r="ED163" s="302"/>
      <c r="EE163" s="302"/>
      <c r="EF163" s="302"/>
      <c r="EG163" s="302"/>
      <c r="EH163" s="302"/>
      <c r="EI163" s="302"/>
      <c r="EJ163" s="302"/>
      <c r="EK163" s="302"/>
      <c r="EL163" s="302"/>
      <c r="EM163" s="302"/>
      <c r="EN163" s="302"/>
      <c r="EO163" s="302"/>
      <c r="EP163" s="302"/>
      <c r="EQ163" s="302"/>
      <c r="ER163" s="302"/>
      <c r="ES163" s="302"/>
      <c r="ET163" s="302"/>
      <c r="EU163" s="302"/>
      <c r="EV163" s="302"/>
      <c r="EW163" s="302"/>
      <c r="EX163" s="302"/>
      <c r="EY163" s="302"/>
    </row>
    <row r="164" spans="1:155" s="27" customFormat="1" x14ac:dyDescent="0.2">
      <c r="A164" s="38"/>
      <c r="B164" s="37"/>
      <c r="C164" s="36">
        <f t="shared" si="14"/>
        <v>0</v>
      </c>
      <c r="D164" s="20"/>
      <c r="E164" s="36">
        <f t="shared" si="13"/>
        <v>0</v>
      </c>
      <c r="F164" s="126" t="s">
        <v>228</v>
      </c>
      <c r="G164" s="302"/>
      <c r="H164" s="302"/>
      <c r="I164" s="302"/>
      <c r="J164" s="302"/>
      <c r="K164" s="302"/>
      <c r="L164" s="302"/>
      <c r="M164" s="302"/>
      <c r="N164" s="302"/>
      <c r="O164" s="302"/>
      <c r="P164" s="100"/>
      <c r="Q164" s="302"/>
      <c r="R164" s="302"/>
      <c r="S164" s="302"/>
      <c r="T164" s="302"/>
      <c r="U164" s="302"/>
      <c r="V164" s="302"/>
      <c r="W164" s="302"/>
      <c r="X164" s="302"/>
      <c r="Y164" s="100"/>
      <c r="Z164" s="100"/>
      <c r="AA164" s="100"/>
      <c r="AB164" s="100"/>
      <c r="AC164" s="100"/>
      <c r="AD164" s="100"/>
      <c r="AE164" s="100"/>
      <c r="AF164" s="302"/>
      <c r="AG164" s="100"/>
      <c r="AH164" s="302"/>
      <c r="AI164" s="100"/>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302"/>
      <c r="BO164" s="302"/>
      <c r="BP164" s="302"/>
      <c r="BQ164" s="302"/>
      <c r="BR164" s="302"/>
      <c r="BS164" s="302"/>
      <c r="BT164" s="302"/>
      <c r="BU164" s="302"/>
      <c r="BV164" s="302"/>
      <c r="BW164" s="302"/>
      <c r="BX164" s="302"/>
      <c r="BY164" s="302"/>
      <c r="BZ164" s="302"/>
      <c r="CA164" s="302"/>
      <c r="CB164" s="302"/>
      <c r="CC164" s="302"/>
      <c r="CD164" s="302"/>
      <c r="CE164" s="302"/>
      <c r="CF164" s="302"/>
      <c r="CG164" s="302"/>
      <c r="CH164" s="302"/>
      <c r="CI164" s="302"/>
      <c r="CJ164" s="302"/>
      <c r="CK164" s="302"/>
      <c r="CL164" s="302"/>
      <c r="CM164" s="302"/>
      <c r="CN164" s="302"/>
      <c r="CO164" s="302"/>
      <c r="CP164" s="302"/>
      <c r="CQ164" s="302"/>
      <c r="CR164" s="302"/>
      <c r="CS164" s="302"/>
      <c r="CT164" s="302"/>
      <c r="CU164" s="302"/>
      <c r="CV164" s="302"/>
      <c r="CW164" s="302"/>
      <c r="CX164" s="302"/>
      <c r="CY164" s="302"/>
      <c r="CZ164" s="302"/>
      <c r="DA164" s="302"/>
      <c r="DB164" s="302"/>
      <c r="DC164" s="302"/>
      <c r="DD164" s="302"/>
      <c r="DE164" s="302"/>
      <c r="DF164" s="302"/>
      <c r="DG164" s="302"/>
      <c r="DH164" s="302"/>
      <c r="DI164" s="302"/>
      <c r="DJ164" s="302"/>
      <c r="DK164" s="302"/>
      <c r="DL164" s="302"/>
      <c r="DM164" s="302"/>
      <c r="DN164" s="302"/>
      <c r="DO164" s="302"/>
      <c r="DP164" s="302"/>
      <c r="DQ164" s="302"/>
      <c r="DR164" s="302"/>
      <c r="DS164" s="302"/>
      <c r="DT164" s="302"/>
      <c r="DU164" s="302"/>
      <c r="DV164" s="302"/>
      <c r="DW164" s="302"/>
      <c r="DX164" s="302"/>
      <c r="DY164" s="302"/>
      <c r="DZ164" s="302"/>
      <c r="EA164" s="302"/>
      <c r="EB164" s="302"/>
      <c r="EC164" s="302"/>
      <c r="ED164" s="302"/>
      <c r="EE164" s="302"/>
      <c r="EF164" s="302"/>
      <c r="EG164" s="302"/>
      <c r="EH164" s="302"/>
      <c r="EI164" s="302"/>
      <c r="EJ164" s="302"/>
      <c r="EK164" s="302"/>
      <c r="EL164" s="302"/>
      <c r="EM164" s="302"/>
      <c r="EN164" s="302"/>
      <c r="EO164" s="302"/>
      <c r="EP164" s="302"/>
      <c r="EQ164" s="302"/>
      <c r="ER164" s="302"/>
      <c r="ES164" s="302"/>
      <c r="ET164" s="302"/>
      <c r="EU164" s="302"/>
      <c r="EV164" s="302"/>
      <c r="EW164" s="302"/>
      <c r="EX164" s="302"/>
      <c r="EY164" s="302"/>
    </row>
    <row r="165" spans="1:155" s="27" customFormat="1" x14ac:dyDescent="0.2">
      <c r="A165" s="38"/>
      <c r="B165" s="37"/>
      <c r="C165" s="36">
        <f t="shared" si="14"/>
        <v>0</v>
      </c>
      <c r="D165" s="20"/>
      <c r="E165" s="36">
        <f t="shared" si="13"/>
        <v>0</v>
      </c>
      <c r="F165" s="126" t="s">
        <v>228</v>
      </c>
      <c r="G165" s="302"/>
      <c r="H165" s="302"/>
      <c r="I165" s="302"/>
      <c r="J165" s="302"/>
      <c r="K165" s="302"/>
      <c r="L165" s="302"/>
      <c r="M165" s="302"/>
      <c r="N165" s="302"/>
      <c r="O165" s="302"/>
      <c r="P165" s="100"/>
      <c r="Q165" s="302"/>
      <c r="R165" s="302"/>
      <c r="S165" s="302"/>
      <c r="T165" s="302"/>
      <c r="U165" s="302"/>
      <c r="V165" s="302"/>
      <c r="W165" s="302"/>
      <c r="X165" s="302"/>
      <c r="Y165" s="100"/>
      <c r="Z165" s="100"/>
      <c r="AA165" s="100"/>
      <c r="AB165" s="100"/>
      <c r="AC165" s="100"/>
      <c r="AD165" s="100"/>
      <c r="AE165" s="100"/>
      <c r="AF165" s="302"/>
      <c r="AG165" s="100"/>
      <c r="AH165" s="302"/>
      <c r="AI165" s="100"/>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302"/>
      <c r="BO165" s="302"/>
      <c r="BP165" s="302"/>
      <c r="BQ165" s="302"/>
      <c r="BR165" s="302"/>
      <c r="BS165" s="302"/>
      <c r="BT165" s="302"/>
      <c r="BU165" s="302"/>
      <c r="BV165" s="302"/>
      <c r="BW165" s="302"/>
      <c r="BX165" s="302"/>
      <c r="BY165" s="302"/>
      <c r="BZ165" s="302"/>
      <c r="CA165" s="302"/>
      <c r="CB165" s="302"/>
      <c r="CC165" s="302"/>
      <c r="CD165" s="302"/>
      <c r="CE165" s="302"/>
      <c r="CF165" s="302"/>
      <c r="CG165" s="302"/>
      <c r="CH165" s="302"/>
      <c r="CI165" s="302"/>
      <c r="CJ165" s="302"/>
      <c r="CK165" s="302"/>
      <c r="CL165" s="302"/>
      <c r="CM165" s="302"/>
      <c r="CN165" s="302"/>
      <c r="CO165" s="302"/>
      <c r="CP165" s="302"/>
      <c r="CQ165" s="302"/>
      <c r="CR165" s="302"/>
      <c r="CS165" s="302"/>
      <c r="CT165" s="302"/>
      <c r="CU165" s="302"/>
      <c r="CV165" s="302"/>
      <c r="CW165" s="302"/>
      <c r="CX165" s="302"/>
      <c r="CY165" s="302"/>
      <c r="CZ165" s="302"/>
      <c r="DA165" s="302"/>
      <c r="DB165" s="302"/>
      <c r="DC165" s="302"/>
      <c r="DD165" s="302"/>
      <c r="DE165" s="302"/>
      <c r="DF165" s="302"/>
      <c r="DG165" s="302"/>
      <c r="DH165" s="302"/>
      <c r="DI165" s="302"/>
      <c r="DJ165" s="302"/>
      <c r="DK165" s="302"/>
      <c r="DL165" s="302"/>
      <c r="DM165" s="302"/>
      <c r="DN165" s="302"/>
      <c r="DO165" s="302"/>
      <c r="DP165" s="302"/>
      <c r="DQ165" s="302"/>
      <c r="DR165" s="302"/>
      <c r="DS165" s="302"/>
      <c r="DT165" s="302"/>
      <c r="DU165" s="302"/>
      <c r="DV165" s="302"/>
      <c r="DW165" s="302"/>
      <c r="DX165" s="302"/>
      <c r="DY165" s="302"/>
      <c r="DZ165" s="302"/>
      <c r="EA165" s="302"/>
      <c r="EB165" s="302"/>
      <c r="EC165" s="302"/>
      <c r="ED165" s="302"/>
      <c r="EE165" s="302"/>
      <c r="EF165" s="302"/>
      <c r="EG165" s="302"/>
      <c r="EH165" s="302"/>
      <c r="EI165" s="302"/>
      <c r="EJ165" s="302"/>
      <c r="EK165" s="302"/>
      <c r="EL165" s="302"/>
      <c r="EM165" s="302"/>
      <c r="EN165" s="302"/>
      <c r="EO165" s="302"/>
      <c r="EP165" s="302"/>
      <c r="EQ165" s="302"/>
      <c r="ER165" s="302"/>
      <c r="ES165" s="302"/>
      <c r="ET165" s="302"/>
      <c r="EU165" s="302"/>
      <c r="EV165" s="302"/>
      <c r="EW165" s="302"/>
      <c r="EX165" s="302"/>
      <c r="EY165" s="302"/>
    </row>
    <row r="166" spans="1:155" s="27" customFormat="1" x14ac:dyDescent="0.2">
      <c r="A166" s="38"/>
      <c r="B166" s="37"/>
      <c r="C166" s="36">
        <f t="shared" si="14"/>
        <v>0</v>
      </c>
      <c r="D166" s="20"/>
      <c r="E166" s="36">
        <f t="shared" si="13"/>
        <v>0</v>
      </c>
      <c r="F166" s="126" t="s">
        <v>228</v>
      </c>
      <c r="G166" s="302"/>
      <c r="H166" s="302"/>
      <c r="I166" s="302"/>
      <c r="J166" s="302"/>
      <c r="K166" s="302"/>
      <c r="L166" s="302"/>
      <c r="M166" s="302"/>
      <c r="N166" s="302"/>
      <c r="O166" s="302"/>
      <c r="P166" s="100"/>
      <c r="Q166" s="302"/>
      <c r="R166" s="302"/>
      <c r="S166" s="302"/>
      <c r="T166" s="302"/>
      <c r="U166" s="302"/>
      <c r="V166" s="302"/>
      <c r="W166" s="302"/>
      <c r="X166" s="302"/>
      <c r="Y166" s="100"/>
      <c r="Z166" s="100"/>
      <c r="AA166" s="100"/>
      <c r="AB166" s="100"/>
      <c r="AC166" s="100"/>
      <c r="AD166" s="100"/>
      <c r="AE166" s="100"/>
      <c r="AF166" s="302"/>
      <c r="AG166" s="100"/>
      <c r="AH166" s="302"/>
      <c r="AI166" s="100"/>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302"/>
      <c r="BO166" s="302"/>
      <c r="BP166" s="302"/>
      <c r="BQ166" s="302"/>
      <c r="BR166" s="302"/>
      <c r="BS166" s="302"/>
      <c r="BT166" s="302"/>
      <c r="BU166" s="302"/>
      <c r="BV166" s="302"/>
      <c r="BW166" s="302"/>
      <c r="BX166" s="302"/>
      <c r="BY166" s="302"/>
      <c r="BZ166" s="302"/>
      <c r="CA166" s="302"/>
      <c r="CB166" s="302"/>
      <c r="CC166" s="302"/>
      <c r="CD166" s="302"/>
      <c r="CE166" s="302"/>
      <c r="CF166" s="302"/>
      <c r="CG166" s="302"/>
      <c r="CH166" s="302"/>
      <c r="CI166" s="302"/>
      <c r="CJ166" s="302"/>
      <c r="CK166" s="302"/>
      <c r="CL166" s="302"/>
      <c r="CM166" s="302"/>
      <c r="CN166" s="302"/>
      <c r="CO166" s="302"/>
      <c r="CP166" s="302"/>
      <c r="CQ166" s="302"/>
      <c r="CR166" s="302"/>
      <c r="CS166" s="302"/>
      <c r="CT166" s="302"/>
      <c r="CU166" s="302"/>
      <c r="CV166" s="302"/>
      <c r="CW166" s="302"/>
      <c r="CX166" s="302"/>
      <c r="CY166" s="302"/>
      <c r="CZ166" s="302"/>
      <c r="DA166" s="302"/>
      <c r="DB166" s="302"/>
      <c r="DC166" s="302"/>
      <c r="DD166" s="302"/>
      <c r="DE166" s="302"/>
      <c r="DF166" s="302"/>
      <c r="DG166" s="302"/>
      <c r="DH166" s="302"/>
      <c r="DI166" s="302"/>
      <c r="DJ166" s="302"/>
      <c r="DK166" s="302"/>
      <c r="DL166" s="302"/>
      <c r="DM166" s="302"/>
      <c r="DN166" s="302"/>
      <c r="DO166" s="302"/>
      <c r="DP166" s="302"/>
      <c r="DQ166" s="302"/>
      <c r="DR166" s="302"/>
      <c r="DS166" s="302"/>
      <c r="DT166" s="302"/>
      <c r="DU166" s="302"/>
      <c r="DV166" s="302"/>
      <c r="DW166" s="302"/>
      <c r="DX166" s="302"/>
      <c r="DY166" s="302"/>
      <c r="DZ166" s="302"/>
      <c r="EA166" s="302"/>
      <c r="EB166" s="302"/>
      <c r="EC166" s="302"/>
      <c r="ED166" s="302"/>
      <c r="EE166" s="302"/>
      <c r="EF166" s="302"/>
      <c r="EG166" s="302"/>
      <c r="EH166" s="302"/>
      <c r="EI166" s="302"/>
      <c r="EJ166" s="302"/>
      <c r="EK166" s="302"/>
      <c r="EL166" s="302"/>
      <c r="EM166" s="302"/>
      <c r="EN166" s="302"/>
      <c r="EO166" s="302"/>
      <c r="EP166" s="302"/>
      <c r="EQ166" s="302"/>
      <c r="ER166" s="302"/>
      <c r="ES166" s="302"/>
      <c r="ET166" s="302"/>
      <c r="EU166" s="302"/>
      <c r="EV166" s="302"/>
      <c r="EW166" s="302"/>
      <c r="EX166" s="302"/>
      <c r="EY166" s="302"/>
    </row>
    <row r="167" spans="1:155" s="27" customFormat="1" x14ac:dyDescent="0.2">
      <c r="A167" s="38"/>
      <c r="B167" s="37"/>
      <c r="C167" s="36">
        <f t="shared" si="14"/>
        <v>0</v>
      </c>
      <c r="D167" s="20"/>
      <c r="E167" s="36">
        <f t="shared" si="13"/>
        <v>0</v>
      </c>
      <c r="F167" s="126" t="s">
        <v>228</v>
      </c>
      <c r="G167" s="302"/>
      <c r="H167" s="302"/>
      <c r="I167" s="302"/>
      <c r="J167" s="302"/>
      <c r="K167" s="302"/>
      <c r="L167" s="302"/>
      <c r="M167" s="302"/>
      <c r="N167" s="302"/>
      <c r="O167" s="302"/>
      <c r="P167" s="100"/>
      <c r="Q167" s="302"/>
      <c r="R167" s="302"/>
      <c r="S167" s="302"/>
      <c r="T167" s="302"/>
      <c r="U167" s="302"/>
      <c r="V167" s="302"/>
      <c r="W167" s="302"/>
      <c r="X167" s="302"/>
      <c r="Y167" s="100"/>
      <c r="Z167" s="100"/>
      <c r="AA167" s="100"/>
      <c r="AB167" s="100"/>
      <c r="AC167" s="100"/>
      <c r="AD167" s="100"/>
      <c r="AE167" s="100"/>
      <c r="AF167" s="302"/>
      <c r="AG167" s="100"/>
      <c r="AH167" s="302"/>
      <c r="AI167" s="100"/>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302"/>
      <c r="BO167" s="302"/>
      <c r="BP167" s="302"/>
      <c r="BQ167" s="302"/>
      <c r="BR167" s="302"/>
      <c r="BS167" s="302"/>
      <c r="BT167" s="302"/>
      <c r="BU167" s="302"/>
      <c r="BV167" s="302"/>
      <c r="BW167" s="302"/>
      <c r="BX167" s="302"/>
      <c r="BY167" s="302"/>
      <c r="BZ167" s="302"/>
      <c r="CA167" s="302"/>
      <c r="CB167" s="302"/>
      <c r="CC167" s="302"/>
      <c r="CD167" s="302"/>
      <c r="CE167" s="302"/>
      <c r="CF167" s="302"/>
      <c r="CG167" s="302"/>
      <c r="CH167" s="302"/>
      <c r="CI167" s="302"/>
      <c r="CJ167" s="302"/>
      <c r="CK167" s="302"/>
      <c r="CL167" s="302"/>
      <c r="CM167" s="302"/>
      <c r="CN167" s="302"/>
      <c r="CO167" s="302"/>
      <c r="CP167" s="302"/>
      <c r="CQ167" s="302"/>
      <c r="CR167" s="302"/>
      <c r="CS167" s="302"/>
      <c r="CT167" s="302"/>
      <c r="CU167" s="302"/>
      <c r="CV167" s="302"/>
      <c r="CW167" s="302"/>
      <c r="CX167" s="302"/>
      <c r="CY167" s="302"/>
      <c r="CZ167" s="302"/>
      <c r="DA167" s="302"/>
      <c r="DB167" s="302"/>
      <c r="DC167" s="302"/>
      <c r="DD167" s="302"/>
      <c r="DE167" s="302"/>
      <c r="DF167" s="302"/>
      <c r="DG167" s="302"/>
      <c r="DH167" s="302"/>
      <c r="DI167" s="302"/>
      <c r="DJ167" s="302"/>
      <c r="DK167" s="302"/>
      <c r="DL167" s="302"/>
      <c r="DM167" s="302"/>
      <c r="DN167" s="302"/>
      <c r="DO167" s="302"/>
      <c r="DP167" s="302"/>
      <c r="DQ167" s="302"/>
      <c r="DR167" s="302"/>
      <c r="DS167" s="302"/>
      <c r="DT167" s="302"/>
      <c r="DU167" s="302"/>
      <c r="DV167" s="302"/>
      <c r="DW167" s="302"/>
      <c r="DX167" s="302"/>
      <c r="DY167" s="302"/>
      <c r="DZ167" s="302"/>
      <c r="EA167" s="302"/>
      <c r="EB167" s="302"/>
      <c r="EC167" s="302"/>
      <c r="ED167" s="302"/>
      <c r="EE167" s="302"/>
      <c r="EF167" s="302"/>
      <c r="EG167" s="302"/>
      <c r="EH167" s="302"/>
      <c r="EI167" s="302"/>
      <c r="EJ167" s="302"/>
      <c r="EK167" s="302"/>
      <c r="EL167" s="302"/>
      <c r="EM167" s="302"/>
      <c r="EN167" s="302"/>
      <c r="EO167" s="302"/>
      <c r="EP167" s="302"/>
      <c r="EQ167" s="302"/>
      <c r="ER167" s="302"/>
      <c r="ES167" s="302"/>
      <c r="ET167" s="302"/>
      <c r="EU167" s="302"/>
      <c r="EV167" s="302"/>
      <c r="EW167" s="302"/>
      <c r="EX167" s="302"/>
      <c r="EY167" s="302"/>
    </row>
    <row r="168" spans="1:155" s="27" customFormat="1" x14ac:dyDescent="0.2">
      <c r="A168" s="38"/>
      <c r="B168" s="37"/>
      <c r="C168" s="36">
        <f t="shared" si="14"/>
        <v>0</v>
      </c>
      <c r="D168" s="20"/>
      <c r="E168" s="36">
        <f t="shared" si="13"/>
        <v>0</v>
      </c>
      <c r="F168" s="126" t="s">
        <v>228</v>
      </c>
      <c r="G168" s="302"/>
      <c r="H168" s="302"/>
      <c r="I168" s="302"/>
      <c r="J168" s="302"/>
      <c r="K168" s="302"/>
      <c r="L168" s="302"/>
      <c r="M168" s="302"/>
      <c r="N168" s="302"/>
      <c r="O168" s="302"/>
      <c r="P168" s="100"/>
      <c r="Q168" s="302"/>
      <c r="R168" s="302"/>
      <c r="S168" s="302"/>
      <c r="T168" s="302"/>
      <c r="U168" s="302"/>
      <c r="V168" s="302"/>
      <c r="W168" s="302"/>
      <c r="X168" s="302"/>
      <c r="Y168" s="100"/>
      <c r="Z168" s="100"/>
      <c r="AA168" s="100"/>
      <c r="AB168" s="100"/>
      <c r="AC168" s="100"/>
      <c r="AD168" s="100"/>
      <c r="AE168" s="100"/>
      <c r="AF168" s="302"/>
      <c r="AG168" s="100"/>
      <c r="AH168" s="302"/>
      <c r="AI168" s="100"/>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302"/>
      <c r="BO168" s="302"/>
      <c r="BP168" s="302"/>
      <c r="BQ168" s="302"/>
      <c r="BR168" s="302"/>
      <c r="BS168" s="302"/>
      <c r="BT168" s="302"/>
      <c r="BU168" s="302"/>
      <c r="BV168" s="302"/>
      <c r="BW168" s="302"/>
      <c r="BX168" s="302"/>
      <c r="BY168" s="302"/>
      <c r="BZ168" s="302"/>
      <c r="CA168" s="302"/>
      <c r="CB168" s="302"/>
      <c r="CC168" s="302"/>
      <c r="CD168" s="302"/>
      <c r="CE168" s="302"/>
      <c r="CF168" s="302"/>
      <c r="CG168" s="302"/>
      <c r="CH168" s="302"/>
      <c r="CI168" s="302"/>
      <c r="CJ168" s="302"/>
      <c r="CK168" s="302"/>
      <c r="CL168" s="302"/>
      <c r="CM168" s="302"/>
      <c r="CN168" s="302"/>
      <c r="CO168" s="302"/>
      <c r="CP168" s="302"/>
      <c r="CQ168" s="302"/>
      <c r="CR168" s="302"/>
      <c r="CS168" s="302"/>
      <c r="CT168" s="302"/>
      <c r="CU168" s="302"/>
      <c r="CV168" s="302"/>
      <c r="CW168" s="302"/>
      <c r="CX168" s="302"/>
      <c r="CY168" s="302"/>
      <c r="CZ168" s="302"/>
      <c r="DA168" s="302"/>
      <c r="DB168" s="302"/>
      <c r="DC168" s="302"/>
      <c r="DD168" s="302"/>
      <c r="DE168" s="302"/>
      <c r="DF168" s="302"/>
      <c r="DG168" s="302"/>
      <c r="DH168" s="302"/>
      <c r="DI168" s="302"/>
      <c r="DJ168" s="302"/>
      <c r="DK168" s="302"/>
      <c r="DL168" s="302"/>
      <c r="DM168" s="302"/>
      <c r="DN168" s="302"/>
      <c r="DO168" s="302"/>
      <c r="DP168" s="302"/>
      <c r="DQ168" s="302"/>
      <c r="DR168" s="302"/>
      <c r="DS168" s="302"/>
      <c r="DT168" s="302"/>
      <c r="DU168" s="302"/>
      <c r="DV168" s="302"/>
      <c r="DW168" s="302"/>
      <c r="DX168" s="302"/>
      <c r="DY168" s="302"/>
      <c r="DZ168" s="302"/>
      <c r="EA168" s="302"/>
      <c r="EB168" s="302"/>
      <c r="EC168" s="302"/>
      <c r="ED168" s="302"/>
      <c r="EE168" s="302"/>
      <c r="EF168" s="302"/>
      <c r="EG168" s="302"/>
      <c r="EH168" s="302"/>
      <c r="EI168" s="302"/>
      <c r="EJ168" s="302"/>
      <c r="EK168" s="302"/>
      <c r="EL168" s="302"/>
      <c r="EM168" s="302"/>
      <c r="EN168" s="302"/>
      <c r="EO168" s="302"/>
      <c r="EP168" s="302"/>
      <c r="EQ168" s="302"/>
      <c r="ER168" s="302"/>
      <c r="ES168" s="302"/>
      <c r="ET168" s="302"/>
      <c r="EU168" s="302"/>
      <c r="EV168" s="302"/>
      <c r="EW168" s="302"/>
      <c r="EX168" s="302"/>
      <c r="EY168" s="302"/>
    </row>
    <row r="169" spans="1:155" s="27" customFormat="1" x14ac:dyDescent="0.2">
      <c r="A169" s="38"/>
      <c r="B169" s="37"/>
      <c r="C169" s="36">
        <f t="shared" si="14"/>
        <v>0</v>
      </c>
      <c r="D169" s="20"/>
      <c r="E169" s="36">
        <f t="shared" si="13"/>
        <v>0</v>
      </c>
      <c r="F169" s="126" t="s">
        <v>228</v>
      </c>
      <c r="G169" s="302"/>
      <c r="H169" s="302"/>
      <c r="I169" s="302"/>
      <c r="J169" s="302"/>
      <c r="K169" s="302"/>
      <c r="L169" s="302"/>
      <c r="M169" s="302"/>
      <c r="N169" s="302"/>
      <c r="O169" s="302"/>
      <c r="P169" s="100"/>
      <c r="Q169" s="302"/>
      <c r="R169" s="302"/>
      <c r="S169" s="302"/>
      <c r="T169" s="302"/>
      <c r="U169" s="302"/>
      <c r="V169" s="302"/>
      <c r="W169" s="302"/>
      <c r="X169" s="302"/>
      <c r="Y169" s="100"/>
      <c r="Z169" s="100"/>
      <c r="AA169" s="100"/>
      <c r="AB169" s="100"/>
      <c r="AC169" s="100"/>
      <c r="AD169" s="100"/>
      <c r="AE169" s="100"/>
      <c r="AF169" s="302"/>
      <c r="AG169" s="100"/>
      <c r="AH169" s="302"/>
      <c r="AI169" s="100"/>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302"/>
      <c r="BO169" s="302"/>
      <c r="BP169" s="302"/>
      <c r="BQ169" s="302"/>
      <c r="BR169" s="302"/>
      <c r="BS169" s="302"/>
      <c r="BT169" s="302"/>
      <c r="BU169" s="302"/>
      <c r="BV169" s="302"/>
      <c r="BW169" s="302"/>
      <c r="BX169" s="302"/>
      <c r="BY169" s="302"/>
      <c r="BZ169" s="302"/>
      <c r="CA169" s="302"/>
      <c r="CB169" s="302"/>
      <c r="CC169" s="302"/>
      <c r="CD169" s="302"/>
      <c r="CE169" s="302"/>
      <c r="CF169" s="302"/>
      <c r="CG169" s="302"/>
      <c r="CH169" s="302"/>
      <c r="CI169" s="302"/>
      <c r="CJ169" s="302"/>
      <c r="CK169" s="302"/>
      <c r="CL169" s="302"/>
      <c r="CM169" s="302"/>
      <c r="CN169" s="302"/>
      <c r="CO169" s="302"/>
      <c r="CP169" s="302"/>
      <c r="CQ169" s="302"/>
      <c r="CR169" s="302"/>
      <c r="CS169" s="302"/>
      <c r="CT169" s="302"/>
      <c r="CU169" s="302"/>
      <c r="CV169" s="302"/>
      <c r="CW169" s="302"/>
      <c r="CX169" s="302"/>
      <c r="CY169" s="302"/>
      <c r="CZ169" s="302"/>
      <c r="DA169" s="302"/>
      <c r="DB169" s="302"/>
      <c r="DC169" s="302"/>
      <c r="DD169" s="302"/>
      <c r="DE169" s="302"/>
      <c r="DF169" s="302"/>
      <c r="DG169" s="302"/>
      <c r="DH169" s="302"/>
      <c r="DI169" s="302"/>
      <c r="DJ169" s="302"/>
      <c r="DK169" s="302"/>
      <c r="DL169" s="302"/>
      <c r="DM169" s="302"/>
      <c r="DN169" s="302"/>
      <c r="DO169" s="302"/>
      <c r="DP169" s="302"/>
      <c r="DQ169" s="302"/>
      <c r="DR169" s="302"/>
      <c r="DS169" s="302"/>
      <c r="DT169" s="302"/>
      <c r="DU169" s="302"/>
      <c r="DV169" s="302"/>
      <c r="DW169" s="302"/>
      <c r="DX169" s="302"/>
      <c r="DY169" s="302"/>
      <c r="DZ169" s="302"/>
      <c r="EA169" s="302"/>
      <c r="EB169" s="302"/>
      <c r="EC169" s="302"/>
      <c r="ED169" s="302"/>
      <c r="EE169" s="302"/>
      <c r="EF169" s="302"/>
      <c r="EG169" s="302"/>
      <c r="EH169" s="302"/>
      <c r="EI169" s="302"/>
      <c r="EJ169" s="302"/>
      <c r="EK169" s="302"/>
      <c r="EL169" s="302"/>
      <c r="EM169" s="302"/>
      <c r="EN169" s="302"/>
      <c r="EO169" s="302"/>
      <c r="EP169" s="302"/>
      <c r="EQ169" s="302"/>
      <c r="ER169" s="302"/>
      <c r="ES169" s="302"/>
      <c r="ET169" s="302"/>
      <c r="EU169" s="302"/>
      <c r="EV169" s="302"/>
      <c r="EW169" s="302"/>
      <c r="EX169" s="302"/>
      <c r="EY169" s="302"/>
    </row>
    <row r="170" spans="1:155" s="27" customFormat="1" x14ac:dyDescent="0.2">
      <c r="A170" s="38"/>
      <c r="B170" s="37"/>
      <c r="C170" s="36">
        <f t="shared" si="14"/>
        <v>0</v>
      </c>
      <c r="D170" s="20"/>
      <c r="E170" s="36">
        <f t="shared" si="13"/>
        <v>0</v>
      </c>
      <c r="F170" s="126" t="s">
        <v>228</v>
      </c>
      <c r="G170" s="302"/>
      <c r="H170" s="302"/>
      <c r="I170" s="302"/>
      <c r="J170" s="302"/>
      <c r="K170" s="302"/>
      <c r="L170" s="302"/>
      <c r="M170" s="302"/>
      <c r="N170" s="302"/>
      <c r="O170" s="302"/>
      <c r="P170" s="100"/>
      <c r="Q170" s="302"/>
      <c r="R170" s="302"/>
      <c r="S170" s="302"/>
      <c r="T170" s="302"/>
      <c r="U170" s="302"/>
      <c r="V170" s="302"/>
      <c r="W170" s="302"/>
      <c r="X170" s="302"/>
      <c r="Y170" s="100"/>
      <c r="Z170" s="100"/>
      <c r="AA170" s="100"/>
      <c r="AB170" s="100"/>
      <c r="AC170" s="100"/>
      <c r="AD170" s="100"/>
      <c r="AE170" s="100"/>
      <c r="AF170" s="302"/>
      <c r="AG170" s="100"/>
      <c r="AH170" s="302"/>
      <c r="AI170" s="100"/>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302"/>
      <c r="BO170" s="302"/>
      <c r="BP170" s="302"/>
      <c r="BQ170" s="302"/>
      <c r="BR170" s="302"/>
      <c r="BS170" s="302"/>
      <c r="BT170" s="302"/>
      <c r="BU170" s="302"/>
      <c r="BV170" s="302"/>
      <c r="BW170" s="302"/>
      <c r="BX170" s="302"/>
      <c r="BY170" s="302"/>
      <c r="BZ170" s="302"/>
      <c r="CA170" s="302"/>
      <c r="CB170" s="302"/>
      <c r="CC170" s="302"/>
      <c r="CD170" s="302"/>
      <c r="CE170" s="302"/>
      <c r="CF170" s="302"/>
      <c r="CG170" s="302"/>
      <c r="CH170" s="302"/>
      <c r="CI170" s="302"/>
      <c r="CJ170" s="302"/>
      <c r="CK170" s="302"/>
      <c r="CL170" s="302"/>
      <c r="CM170" s="302"/>
      <c r="CN170" s="302"/>
      <c r="CO170" s="302"/>
      <c r="CP170" s="302"/>
      <c r="CQ170" s="302"/>
      <c r="CR170" s="302"/>
      <c r="CS170" s="302"/>
      <c r="CT170" s="302"/>
      <c r="CU170" s="302"/>
      <c r="CV170" s="302"/>
      <c r="CW170" s="302"/>
      <c r="CX170" s="302"/>
      <c r="CY170" s="302"/>
      <c r="CZ170" s="302"/>
      <c r="DA170" s="302"/>
      <c r="DB170" s="302"/>
      <c r="DC170" s="302"/>
      <c r="DD170" s="302"/>
      <c r="DE170" s="302"/>
      <c r="DF170" s="302"/>
      <c r="DG170" s="302"/>
      <c r="DH170" s="302"/>
      <c r="DI170" s="302"/>
      <c r="DJ170" s="302"/>
      <c r="DK170" s="302"/>
      <c r="DL170" s="302"/>
      <c r="DM170" s="302"/>
      <c r="DN170" s="302"/>
      <c r="DO170" s="302"/>
      <c r="DP170" s="302"/>
      <c r="DQ170" s="302"/>
      <c r="DR170" s="302"/>
      <c r="DS170" s="302"/>
      <c r="DT170" s="302"/>
      <c r="DU170" s="302"/>
      <c r="DV170" s="302"/>
      <c r="DW170" s="302"/>
      <c r="DX170" s="302"/>
      <c r="DY170" s="302"/>
      <c r="DZ170" s="302"/>
      <c r="EA170" s="302"/>
      <c r="EB170" s="302"/>
      <c r="EC170" s="302"/>
      <c r="ED170" s="302"/>
      <c r="EE170" s="302"/>
      <c r="EF170" s="302"/>
      <c r="EG170" s="302"/>
      <c r="EH170" s="302"/>
      <c r="EI170" s="302"/>
      <c r="EJ170" s="302"/>
      <c r="EK170" s="302"/>
      <c r="EL170" s="302"/>
      <c r="EM170" s="302"/>
      <c r="EN170" s="302"/>
      <c r="EO170" s="302"/>
      <c r="EP170" s="302"/>
      <c r="EQ170" s="302"/>
      <c r="ER170" s="302"/>
      <c r="ES170" s="302"/>
      <c r="ET170" s="302"/>
      <c r="EU170" s="302"/>
      <c r="EV170" s="302"/>
      <c r="EW170" s="302"/>
      <c r="EX170" s="302"/>
      <c r="EY170" s="302"/>
    </row>
    <row r="171" spans="1:155" s="27" customFormat="1" x14ac:dyDescent="0.2">
      <c r="A171" s="38"/>
      <c r="B171" s="37"/>
      <c r="C171" s="36">
        <f t="shared" si="14"/>
        <v>0</v>
      </c>
      <c r="D171" s="20"/>
      <c r="E171" s="36">
        <f t="shared" si="13"/>
        <v>0</v>
      </c>
      <c r="F171" s="126" t="s">
        <v>228</v>
      </c>
      <c r="G171" s="302"/>
      <c r="H171" s="302"/>
      <c r="I171" s="302"/>
      <c r="J171" s="302"/>
      <c r="K171" s="302"/>
      <c r="L171" s="302"/>
      <c r="M171" s="302"/>
      <c r="N171" s="302"/>
      <c r="O171" s="302"/>
      <c r="P171" s="100"/>
      <c r="Q171" s="302"/>
      <c r="R171" s="302"/>
      <c r="S171" s="302"/>
      <c r="T171" s="302"/>
      <c r="U171" s="302"/>
      <c r="V171" s="302"/>
      <c r="W171" s="302"/>
      <c r="X171" s="302"/>
      <c r="Y171" s="100"/>
      <c r="Z171" s="100"/>
      <c r="AA171" s="100"/>
      <c r="AB171" s="100"/>
      <c r="AC171" s="100"/>
      <c r="AD171" s="100"/>
      <c r="AE171" s="100"/>
      <c r="AF171" s="302"/>
      <c r="AG171" s="100"/>
      <c r="AH171" s="302"/>
      <c r="AI171" s="100"/>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302"/>
      <c r="BO171" s="302"/>
      <c r="BP171" s="302"/>
      <c r="BQ171" s="302"/>
      <c r="BR171" s="302"/>
      <c r="BS171" s="302"/>
      <c r="BT171" s="302"/>
      <c r="BU171" s="302"/>
      <c r="BV171" s="302"/>
      <c r="BW171" s="302"/>
      <c r="BX171" s="302"/>
      <c r="BY171" s="302"/>
      <c r="BZ171" s="302"/>
      <c r="CA171" s="302"/>
      <c r="CB171" s="302"/>
      <c r="CC171" s="302"/>
      <c r="CD171" s="302"/>
      <c r="CE171" s="302"/>
      <c r="CF171" s="302"/>
      <c r="CG171" s="302"/>
      <c r="CH171" s="302"/>
      <c r="CI171" s="302"/>
      <c r="CJ171" s="302"/>
      <c r="CK171" s="302"/>
      <c r="CL171" s="302"/>
      <c r="CM171" s="302"/>
      <c r="CN171" s="302"/>
      <c r="CO171" s="302"/>
      <c r="CP171" s="302"/>
      <c r="CQ171" s="302"/>
      <c r="CR171" s="302"/>
      <c r="CS171" s="302"/>
      <c r="CT171" s="302"/>
      <c r="CU171" s="302"/>
      <c r="CV171" s="302"/>
      <c r="CW171" s="302"/>
      <c r="CX171" s="302"/>
      <c r="CY171" s="302"/>
      <c r="CZ171" s="302"/>
      <c r="DA171" s="302"/>
      <c r="DB171" s="302"/>
      <c r="DC171" s="302"/>
      <c r="DD171" s="302"/>
      <c r="DE171" s="302"/>
      <c r="DF171" s="302"/>
      <c r="DG171" s="302"/>
      <c r="DH171" s="302"/>
      <c r="DI171" s="302"/>
      <c r="DJ171" s="302"/>
      <c r="DK171" s="302"/>
      <c r="DL171" s="302"/>
      <c r="DM171" s="302"/>
      <c r="DN171" s="302"/>
      <c r="DO171" s="302"/>
      <c r="DP171" s="302"/>
      <c r="DQ171" s="302"/>
      <c r="DR171" s="302"/>
      <c r="DS171" s="302"/>
      <c r="DT171" s="302"/>
      <c r="DU171" s="302"/>
      <c r="DV171" s="302"/>
      <c r="DW171" s="302"/>
      <c r="DX171" s="302"/>
      <c r="DY171" s="302"/>
      <c r="DZ171" s="302"/>
      <c r="EA171" s="302"/>
      <c r="EB171" s="302"/>
      <c r="EC171" s="302"/>
      <c r="ED171" s="302"/>
      <c r="EE171" s="302"/>
      <c r="EF171" s="302"/>
      <c r="EG171" s="302"/>
      <c r="EH171" s="302"/>
      <c r="EI171" s="302"/>
      <c r="EJ171" s="302"/>
      <c r="EK171" s="302"/>
      <c r="EL171" s="302"/>
      <c r="EM171" s="302"/>
      <c r="EN171" s="302"/>
      <c r="EO171" s="302"/>
      <c r="EP171" s="302"/>
      <c r="EQ171" s="302"/>
      <c r="ER171" s="302"/>
      <c r="ES171" s="302"/>
      <c r="ET171" s="302"/>
      <c r="EU171" s="302"/>
      <c r="EV171" s="302"/>
      <c r="EW171" s="302"/>
      <c r="EX171" s="302"/>
      <c r="EY171" s="302"/>
    </row>
    <row r="172" spans="1:155" s="27" customFormat="1" x14ac:dyDescent="0.2">
      <c r="A172" s="38"/>
      <c r="B172" s="37"/>
      <c r="C172" s="36">
        <f t="shared" si="14"/>
        <v>0</v>
      </c>
      <c r="D172" s="20"/>
      <c r="E172" s="36">
        <f t="shared" si="13"/>
        <v>0</v>
      </c>
      <c r="F172" s="126" t="s">
        <v>228</v>
      </c>
      <c r="G172" s="302"/>
      <c r="H172" s="302"/>
      <c r="I172" s="302"/>
      <c r="J172" s="302"/>
      <c r="K172" s="302"/>
      <c r="L172" s="302"/>
      <c r="M172" s="302"/>
      <c r="N172" s="302"/>
      <c r="O172" s="302"/>
      <c r="P172" s="100"/>
      <c r="Q172" s="302"/>
      <c r="R172" s="302"/>
      <c r="S172" s="302"/>
      <c r="T172" s="302"/>
      <c r="U172" s="302"/>
      <c r="V172" s="302"/>
      <c r="W172" s="302"/>
      <c r="X172" s="302"/>
      <c r="Y172" s="100"/>
      <c r="Z172" s="100"/>
      <c r="AA172" s="100"/>
      <c r="AB172" s="100"/>
      <c r="AC172" s="100"/>
      <c r="AD172" s="100"/>
      <c r="AE172" s="100"/>
      <c r="AF172" s="302"/>
      <c r="AG172" s="100"/>
      <c r="AH172" s="302"/>
      <c r="AI172" s="100"/>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302"/>
      <c r="BO172" s="302"/>
      <c r="BP172" s="302"/>
      <c r="BQ172" s="302"/>
      <c r="BR172" s="302"/>
      <c r="BS172" s="302"/>
      <c r="BT172" s="302"/>
      <c r="BU172" s="302"/>
      <c r="BV172" s="302"/>
      <c r="BW172" s="302"/>
      <c r="BX172" s="302"/>
      <c r="BY172" s="302"/>
      <c r="BZ172" s="302"/>
      <c r="CA172" s="302"/>
      <c r="CB172" s="302"/>
      <c r="CC172" s="302"/>
      <c r="CD172" s="302"/>
      <c r="CE172" s="302"/>
      <c r="CF172" s="302"/>
      <c r="CG172" s="302"/>
      <c r="CH172" s="302"/>
      <c r="CI172" s="302"/>
      <c r="CJ172" s="302"/>
      <c r="CK172" s="302"/>
      <c r="CL172" s="302"/>
      <c r="CM172" s="302"/>
      <c r="CN172" s="302"/>
      <c r="CO172" s="302"/>
      <c r="CP172" s="302"/>
      <c r="CQ172" s="302"/>
      <c r="CR172" s="302"/>
      <c r="CS172" s="302"/>
      <c r="CT172" s="302"/>
      <c r="CU172" s="302"/>
      <c r="CV172" s="302"/>
      <c r="CW172" s="302"/>
      <c r="CX172" s="302"/>
      <c r="CY172" s="302"/>
      <c r="CZ172" s="302"/>
      <c r="DA172" s="302"/>
      <c r="DB172" s="302"/>
      <c r="DC172" s="302"/>
      <c r="DD172" s="302"/>
      <c r="DE172" s="302"/>
      <c r="DF172" s="302"/>
      <c r="DG172" s="302"/>
      <c r="DH172" s="302"/>
      <c r="DI172" s="302"/>
      <c r="DJ172" s="302"/>
      <c r="DK172" s="302"/>
      <c r="DL172" s="302"/>
      <c r="DM172" s="302"/>
      <c r="DN172" s="302"/>
      <c r="DO172" s="302"/>
      <c r="DP172" s="302"/>
      <c r="DQ172" s="302"/>
      <c r="DR172" s="302"/>
      <c r="DS172" s="302"/>
      <c r="DT172" s="302"/>
      <c r="DU172" s="302"/>
      <c r="DV172" s="302"/>
      <c r="DW172" s="302"/>
      <c r="DX172" s="302"/>
      <c r="DY172" s="302"/>
      <c r="DZ172" s="302"/>
      <c r="EA172" s="302"/>
      <c r="EB172" s="302"/>
      <c r="EC172" s="302"/>
      <c r="ED172" s="302"/>
      <c r="EE172" s="302"/>
      <c r="EF172" s="302"/>
      <c r="EG172" s="302"/>
      <c r="EH172" s="302"/>
      <c r="EI172" s="302"/>
      <c r="EJ172" s="302"/>
      <c r="EK172" s="302"/>
      <c r="EL172" s="302"/>
      <c r="EM172" s="302"/>
      <c r="EN172" s="302"/>
      <c r="EO172" s="302"/>
      <c r="EP172" s="302"/>
      <c r="EQ172" s="302"/>
      <c r="ER172" s="302"/>
      <c r="ES172" s="302"/>
      <c r="ET172" s="302"/>
      <c r="EU172" s="302"/>
      <c r="EV172" s="302"/>
      <c r="EW172" s="302"/>
      <c r="EX172" s="302"/>
      <c r="EY172" s="302"/>
    </row>
    <row r="173" spans="1:155" s="27" customFormat="1" x14ac:dyDescent="0.2">
      <c r="A173" s="38"/>
      <c r="B173" s="37"/>
      <c r="C173" s="36">
        <f t="shared" si="14"/>
        <v>0</v>
      </c>
      <c r="D173" s="20"/>
      <c r="E173" s="36">
        <f t="shared" si="13"/>
        <v>0</v>
      </c>
      <c r="F173" s="126" t="s">
        <v>228</v>
      </c>
      <c r="G173" s="302"/>
      <c r="H173" s="302"/>
      <c r="I173" s="302"/>
      <c r="J173" s="302"/>
      <c r="K173" s="302"/>
      <c r="L173" s="302"/>
      <c r="M173" s="302"/>
      <c r="N173" s="302"/>
      <c r="O173" s="302"/>
      <c r="P173" s="100"/>
      <c r="Q173" s="302"/>
      <c r="R173" s="302"/>
      <c r="S173" s="302"/>
      <c r="T173" s="302"/>
      <c r="U173" s="302"/>
      <c r="V173" s="302"/>
      <c r="W173" s="302"/>
      <c r="X173" s="302"/>
      <c r="Y173" s="100"/>
      <c r="Z173" s="100"/>
      <c r="AA173" s="100"/>
      <c r="AB173" s="100"/>
      <c r="AC173" s="100"/>
      <c r="AD173" s="100"/>
      <c r="AE173" s="100"/>
      <c r="AF173" s="302"/>
      <c r="AG173" s="100"/>
      <c r="AH173" s="302"/>
      <c r="AI173" s="100"/>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302"/>
      <c r="BO173" s="302"/>
      <c r="BP173" s="302"/>
      <c r="BQ173" s="302"/>
      <c r="BR173" s="302"/>
      <c r="BS173" s="302"/>
      <c r="BT173" s="302"/>
      <c r="BU173" s="302"/>
      <c r="BV173" s="302"/>
      <c r="BW173" s="302"/>
      <c r="BX173" s="302"/>
      <c r="BY173" s="302"/>
      <c r="BZ173" s="302"/>
      <c r="CA173" s="302"/>
      <c r="CB173" s="302"/>
      <c r="CC173" s="302"/>
      <c r="CD173" s="302"/>
      <c r="CE173" s="302"/>
      <c r="CF173" s="302"/>
      <c r="CG173" s="302"/>
      <c r="CH173" s="302"/>
      <c r="CI173" s="302"/>
      <c r="CJ173" s="302"/>
      <c r="CK173" s="302"/>
      <c r="CL173" s="302"/>
      <c r="CM173" s="302"/>
      <c r="CN173" s="302"/>
      <c r="CO173" s="302"/>
      <c r="CP173" s="302"/>
      <c r="CQ173" s="302"/>
      <c r="CR173" s="302"/>
      <c r="CS173" s="302"/>
      <c r="CT173" s="302"/>
      <c r="CU173" s="302"/>
      <c r="CV173" s="302"/>
      <c r="CW173" s="302"/>
      <c r="CX173" s="302"/>
      <c r="CY173" s="302"/>
      <c r="CZ173" s="302"/>
      <c r="DA173" s="302"/>
      <c r="DB173" s="302"/>
      <c r="DC173" s="302"/>
      <c r="DD173" s="302"/>
      <c r="DE173" s="302"/>
      <c r="DF173" s="302"/>
      <c r="DG173" s="302"/>
      <c r="DH173" s="302"/>
      <c r="DI173" s="302"/>
      <c r="DJ173" s="302"/>
      <c r="DK173" s="302"/>
      <c r="DL173" s="302"/>
      <c r="DM173" s="302"/>
      <c r="DN173" s="302"/>
      <c r="DO173" s="302"/>
      <c r="DP173" s="302"/>
      <c r="DQ173" s="302"/>
      <c r="DR173" s="302"/>
      <c r="DS173" s="302"/>
      <c r="DT173" s="302"/>
      <c r="DU173" s="302"/>
      <c r="DV173" s="302"/>
      <c r="DW173" s="302"/>
      <c r="DX173" s="302"/>
      <c r="DY173" s="302"/>
      <c r="DZ173" s="302"/>
      <c r="EA173" s="302"/>
      <c r="EB173" s="302"/>
      <c r="EC173" s="302"/>
      <c r="ED173" s="302"/>
      <c r="EE173" s="302"/>
      <c r="EF173" s="302"/>
      <c r="EG173" s="302"/>
      <c r="EH173" s="302"/>
      <c r="EI173" s="302"/>
      <c r="EJ173" s="302"/>
      <c r="EK173" s="302"/>
      <c r="EL173" s="302"/>
      <c r="EM173" s="302"/>
      <c r="EN173" s="302"/>
      <c r="EO173" s="302"/>
      <c r="EP173" s="302"/>
      <c r="EQ173" s="302"/>
      <c r="ER173" s="302"/>
      <c r="ES173" s="302"/>
      <c r="ET173" s="302"/>
      <c r="EU173" s="302"/>
      <c r="EV173" s="302"/>
      <c r="EW173" s="302"/>
      <c r="EX173" s="302"/>
      <c r="EY173" s="302"/>
    </row>
    <row r="174" spans="1:155" s="27" customFormat="1" x14ac:dyDescent="0.2">
      <c r="A174" s="38"/>
      <c r="B174" s="37"/>
      <c r="C174" s="36">
        <f t="shared" si="14"/>
        <v>0</v>
      </c>
      <c r="D174" s="20"/>
      <c r="E174" s="36">
        <f t="shared" ref="E174:E186" si="15">SUM(G174:HS174)</f>
        <v>0</v>
      </c>
      <c r="F174" s="126" t="s">
        <v>228</v>
      </c>
      <c r="G174" s="302"/>
      <c r="H174" s="302"/>
      <c r="I174" s="302"/>
      <c r="J174" s="302"/>
      <c r="K174" s="302"/>
      <c r="L174" s="302"/>
      <c r="M174" s="302"/>
      <c r="N174" s="302"/>
      <c r="O174" s="302"/>
      <c r="P174" s="100"/>
      <c r="Q174" s="302"/>
      <c r="R174" s="302"/>
      <c r="S174" s="302"/>
      <c r="T174" s="302"/>
      <c r="U174" s="302"/>
      <c r="V174" s="302"/>
      <c r="W174" s="302"/>
      <c r="X174" s="302"/>
      <c r="Y174" s="100"/>
      <c r="Z174" s="100"/>
      <c r="AA174" s="100"/>
      <c r="AB174" s="100"/>
      <c r="AC174" s="100"/>
      <c r="AD174" s="100"/>
      <c r="AE174" s="100"/>
      <c r="AF174" s="302"/>
      <c r="AG174" s="100"/>
      <c r="AH174" s="302"/>
      <c r="AI174" s="100"/>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302"/>
      <c r="BO174" s="302"/>
      <c r="BP174" s="302"/>
      <c r="BQ174" s="302"/>
      <c r="BR174" s="302"/>
      <c r="BS174" s="302"/>
      <c r="BT174" s="302"/>
      <c r="BU174" s="302"/>
      <c r="BV174" s="302"/>
      <c r="BW174" s="302"/>
      <c r="BX174" s="302"/>
      <c r="BY174" s="302"/>
      <c r="BZ174" s="302"/>
      <c r="CA174" s="302"/>
      <c r="CB174" s="302"/>
      <c r="CC174" s="302"/>
      <c r="CD174" s="302"/>
      <c r="CE174" s="302"/>
      <c r="CF174" s="302"/>
      <c r="CG174" s="302"/>
      <c r="CH174" s="302"/>
      <c r="CI174" s="302"/>
      <c r="CJ174" s="302"/>
      <c r="CK174" s="302"/>
      <c r="CL174" s="302"/>
      <c r="CM174" s="302"/>
      <c r="CN174" s="302"/>
      <c r="CO174" s="302"/>
      <c r="CP174" s="302"/>
      <c r="CQ174" s="302"/>
      <c r="CR174" s="302"/>
      <c r="CS174" s="302"/>
      <c r="CT174" s="302"/>
      <c r="CU174" s="302"/>
      <c r="CV174" s="302"/>
      <c r="CW174" s="302"/>
      <c r="CX174" s="302"/>
      <c r="CY174" s="302"/>
      <c r="CZ174" s="302"/>
      <c r="DA174" s="302"/>
      <c r="DB174" s="302"/>
      <c r="DC174" s="302"/>
      <c r="DD174" s="302"/>
      <c r="DE174" s="302"/>
      <c r="DF174" s="302"/>
      <c r="DG174" s="302"/>
      <c r="DH174" s="302"/>
      <c r="DI174" s="302"/>
      <c r="DJ174" s="302"/>
      <c r="DK174" s="302"/>
      <c r="DL174" s="302"/>
      <c r="DM174" s="302"/>
      <c r="DN174" s="302"/>
      <c r="DO174" s="302"/>
      <c r="DP174" s="302"/>
      <c r="DQ174" s="302"/>
      <c r="DR174" s="302"/>
      <c r="DS174" s="302"/>
      <c r="DT174" s="302"/>
      <c r="DU174" s="302"/>
      <c r="DV174" s="302"/>
      <c r="DW174" s="302"/>
      <c r="DX174" s="302"/>
      <c r="DY174" s="302"/>
      <c r="DZ174" s="302"/>
      <c r="EA174" s="302"/>
      <c r="EB174" s="302"/>
      <c r="EC174" s="302"/>
      <c r="ED174" s="302"/>
      <c r="EE174" s="302"/>
      <c r="EF174" s="302"/>
      <c r="EG174" s="302"/>
      <c r="EH174" s="302"/>
      <c r="EI174" s="302"/>
      <c r="EJ174" s="302"/>
      <c r="EK174" s="302"/>
      <c r="EL174" s="302"/>
      <c r="EM174" s="302"/>
      <c r="EN174" s="302"/>
      <c r="EO174" s="302"/>
      <c r="EP174" s="302"/>
      <c r="EQ174" s="302"/>
      <c r="ER174" s="302"/>
      <c r="ES174" s="302"/>
      <c r="ET174" s="302"/>
      <c r="EU174" s="302"/>
      <c r="EV174" s="302"/>
      <c r="EW174" s="302"/>
      <c r="EX174" s="302"/>
      <c r="EY174" s="302"/>
    </row>
    <row r="175" spans="1:155" s="27" customFormat="1" x14ac:dyDescent="0.2">
      <c r="A175" s="38"/>
      <c r="B175" s="37"/>
      <c r="C175" s="36">
        <f t="shared" si="14"/>
        <v>0</v>
      </c>
      <c r="D175" s="20"/>
      <c r="E175" s="36">
        <f t="shared" si="15"/>
        <v>0</v>
      </c>
      <c r="F175" s="126" t="s">
        <v>228</v>
      </c>
      <c r="G175" s="302"/>
      <c r="H175" s="302"/>
      <c r="I175" s="302"/>
      <c r="J175" s="302"/>
      <c r="K175" s="302"/>
      <c r="L175" s="302"/>
      <c r="M175" s="302"/>
      <c r="N175" s="302"/>
      <c r="O175" s="302"/>
      <c r="P175" s="100"/>
      <c r="Q175" s="302"/>
      <c r="R175" s="302"/>
      <c r="S175" s="302"/>
      <c r="T175" s="302"/>
      <c r="U175" s="302"/>
      <c r="V175" s="302"/>
      <c r="W175" s="302"/>
      <c r="X175" s="302"/>
      <c r="Y175" s="100"/>
      <c r="Z175" s="100"/>
      <c r="AA175" s="100"/>
      <c r="AB175" s="100"/>
      <c r="AC175" s="100"/>
      <c r="AD175" s="100"/>
      <c r="AE175" s="100"/>
      <c r="AF175" s="302"/>
      <c r="AG175" s="100"/>
      <c r="AH175" s="302"/>
      <c r="AI175" s="100"/>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302"/>
      <c r="BO175" s="302"/>
      <c r="BP175" s="302"/>
      <c r="BQ175" s="302"/>
      <c r="BR175" s="302"/>
      <c r="BS175" s="302"/>
      <c r="BT175" s="302"/>
      <c r="BU175" s="302"/>
      <c r="BV175" s="302"/>
      <c r="BW175" s="302"/>
      <c r="BX175" s="302"/>
      <c r="BY175" s="302"/>
      <c r="BZ175" s="302"/>
      <c r="CA175" s="302"/>
      <c r="CB175" s="302"/>
      <c r="CC175" s="302"/>
      <c r="CD175" s="302"/>
      <c r="CE175" s="302"/>
      <c r="CF175" s="302"/>
      <c r="CG175" s="302"/>
      <c r="CH175" s="302"/>
      <c r="CI175" s="302"/>
      <c r="CJ175" s="302"/>
      <c r="CK175" s="302"/>
      <c r="CL175" s="302"/>
      <c r="CM175" s="302"/>
      <c r="CN175" s="302"/>
      <c r="CO175" s="302"/>
      <c r="CP175" s="302"/>
      <c r="CQ175" s="302"/>
      <c r="CR175" s="302"/>
      <c r="CS175" s="302"/>
      <c r="CT175" s="302"/>
      <c r="CU175" s="302"/>
      <c r="CV175" s="302"/>
      <c r="CW175" s="302"/>
      <c r="CX175" s="302"/>
      <c r="CY175" s="302"/>
      <c r="CZ175" s="302"/>
      <c r="DA175" s="302"/>
      <c r="DB175" s="302"/>
      <c r="DC175" s="302"/>
      <c r="DD175" s="302"/>
      <c r="DE175" s="302"/>
      <c r="DF175" s="302"/>
      <c r="DG175" s="302"/>
      <c r="DH175" s="302"/>
      <c r="DI175" s="302"/>
      <c r="DJ175" s="302"/>
      <c r="DK175" s="302"/>
      <c r="DL175" s="302"/>
      <c r="DM175" s="302"/>
      <c r="DN175" s="302"/>
      <c r="DO175" s="302"/>
      <c r="DP175" s="302"/>
      <c r="DQ175" s="302"/>
      <c r="DR175" s="302"/>
      <c r="DS175" s="302"/>
      <c r="DT175" s="302"/>
      <c r="DU175" s="302"/>
      <c r="DV175" s="302"/>
      <c r="DW175" s="302"/>
      <c r="DX175" s="302"/>
      <c r="DY175" s="302"/>
      <c r="DZ175" s="302"/>
      <c r="EA175" s="302"/>
      <c r="EB175" s="302"/>
      <c r="EC175" s="302"/>
      <c r="ED175" s="302"/>
      <c r="EE175" s="302"/>
      <c r="EF175" s="302"/>
      <c r="EG175" s="302"/>
      <c r="EH175" s="302"/>
      <c r="EI175" s="302"/>
      <c r="EJ175" s="302"/>
      <c r="EK175" s="302"/>
      <c r="EL175" s="302"/>
      <c r="EM175" s="302"/>
      <c r="EN175" s="302"/>
      <c r="EO175" s="302"/>
      <c r="EP175" s="302"/>
      <c r="EQ175" s="302"/>
      <c r="ER175" s="302"/>
      <c r="ES175" s="302"/>
      <c r="ET175" s="302"/>
      <c r="EU175" s="302"/>
      <c r="EV175" s="302"/>
      <c r="EW175" s="302"/>
      <c r="EX175" s="302"/>
      <c r="EY175" s="302"/>
    </row>
    <row r="176" spans="1:155" s="27" customFormat="1" x14ac:dyDescent="0.2">
      <c r="A176" s="38"/>
      <c r="B176" s="37"/>
      <c r="C176" s="36">
        <f t="shared" si="14"/>
        <v>0</v>
      </c>
      <c r="D176" s="20"/>
      <c r="E176" s="36">
        <f t="shared" si="15"/>
        <v>0</v>
      </c>
      <c r="F176" s="126" t="s">
        <v>228</v>
      </c>
      <c r="G176" s="302"/>
      <c r="H176" s="302"/>
      <c r="I176" s="302"/>
      <c r="J176" s="302"/>
      <c r="K176" s="302"/>
      <c r="L176" s="302"/>
      <c r="M176" s="302"/>
      <c r="N176" s="302"/>
      <c r="O176" s="302"/>
      <c r="P176" s="100"/>
      <c r="Q176" s="302"/>
      <c r="R176" s="302"/>
      <c r="S176" s="302"/>
      <c r="T176" s="302"/>
      <c r="U176" s="302"/>
      <c r="V176" s="302"/>
      <c r="W176" s="302"/>
      <c r="X176" s="302"/>
      <c r="Y176" s="100"/>
      <c r="Z176" s="100"/>
      <c r="AA176" s="100"/>
      <c r="AB176" s="100"/>
      <c r="AC176" s="100"/>
      <c r="AD176" s="100"/>
      <c r="AE176" s="100"/>
      <c r="AF176" s="302"/>
      <c r="AG176" s="100"/>
      <c r="AH176" s="302"/>
      <c r="AI176" s="100"/>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302"/>
      <c r="BO176" s="302"/>
      <c r="BP176" s="302"/>
      <c r="BQ176" s="302"/>
      <c r="BR176" s="302"/>
      <c r="BS176" s="302"/>
      <c r="BT176" s="302"/>
      <c r="BU176" s="302"/>
      <c r="BV176" s="302"/>
      <c r="BW176" s="302"/>
      <c r="BX176" s="302"/>
      <c r="BY176" s="302"/>
      <c r="BZ176" s="302"/>
      <c r="CA176" s="302"/>
      <c r="CB176" s="302"/>
      <c r="CC176" s="302"/>
      <c r="CD176" s="302"/>
      <c r="CE176" s="302"/>
      <c r="CF176" s="302"/>
      <c r="CG176" s="302"/>
      <c r="CH176" s="302"/>
      <c r="CI176" s="302"/>
      <c r="CJ176" s="302"/>
      <c r="CK176" s="302"/>
      <c r="CL176" s="302"/>
      <c r="CM176" s="302"/>
      <c r="CN176" s="302"/>
      <c r="CO176" s="302"/>
      <c r="CP176" s="302"/>
      <c r="CQ176" s="302"/>
      <c r="CR176" s="302"/>
      <c r="CS176" s="302"/>
      <c r="CT176" s="302"/>
      <c r="CU176" s="302"/>
      <c r="CV176" s="302"/>
      <c r="CW176" s="302"/>
      <c r="CX176" s="302"/>
      <c r="CY176" s="302"/>
      <c r="CZ176" s="302"/>
      <c r="DA176" s="302"/>
      <c r="DB176" s="302"/>
      <c r="DC176" s="302"/>
      <c r="DD176" s="302"/>
      <c r="DE176" s="302"/>
      <c r="DF176" s="302"/>
      <c r="DG176" s="302"/>
      <c r="DH176" s="302"/>
      <c r="DI176" s="302"/>
      <c r="DJ176" s="302"/>
      <c r="DK176" s="302"/>
      <c r="DL176" s="302"/>
      <c r="DM176" s="302"/>
      <c r="DN176" s="302"/>
      <c r="DO176" s="302"/>
      <c r="DP176" s="302"/>
      <c r="DQ176" s="302"/>
      <c r="DR176" s="302"/>
      <c r="DS176" s="302"/>
      <c r="DT176" s="302"/>
      <c r="DU176" s="302"/>
      <c r="DV176" s="302"/>
      <c r="DW176" s="302"/>
      <c r="DX176" s="302"/>
      <c r="DY176" s="302"/>
      <c r="DZ176" s="302"/>
      <c r="EA176" s="302"/>
      <c r="EB176" s="302"/>
      <c r="EC176" s="302"/>
      <c r="ED176" s="302"/>
      <c r="EE176" s="302"/>
      <c r="EF176" s="302"/>
      <c r="EG176" s="302"/>
      <c r="EH176" s="302"/>
      <c r="EI176" s="302"/>
      <c r="EJ176" s="302"/>
      <c r="EK176" s="302"/>
      <c r="EL176" s="302"/>
      <c r="EM176" s="302"/>
      <c r="EN176" s="302"/>
      <c r="EO176" s="302"/>
      <c r="EP176" s="302"/>
      <c r="EQ176" s="302"/>
      <c r="ER176" s="302"/>
      <c r="ES176" s="302"/>
      <c r="ET176" s="302"/>
      <c r="EU176" s="302"/>
      <c r="EV176" s="302"/>
      <c r="EW176" s="302"/>
      <c r="EX176" s="302"/>
      <c r="EY176" s="302"/>
    </row>
    <row r="177" spans="1:156" s="27" customFormat="1" x14ac:dyDescent="0.2">
      <c r="A177" s="38"/>
      <c r="B177" s="37"/>
      <c r="C177" s="36">
        <f t="shared" si="14"/>
        <v>0</v>
      </c>
      <c r="D177" s="20"/>
      <c r="E177" s="36">
        <f t="shared" si="15"/>
        <v>0</v>
      </c>
      <c r="F177" s="126" t="s">
        <v>228</v>
      </c>
      <c r="G177" s="302"/>
      <c r="H177" s="302"/>
      <c r="I177" s="302"/>
      <c r="J177" s="302"/>
      <c r="K177" s="302"/>
      <c r="L177" s="302"/>
      <c r="M177" s="302"/>
      <c r="N177" s="302"/>
      <c r="O177" s="302"/>
      <c r="P177" s="100"/>
      <c r="Q177" s="302"/>
      <c r="R177" s="302"/>
      <c r="S177" s="302"/>
      <c r="T177" s="302"/>
      <c r="U177" s="302"/>
      <c r="V177" s="302"/>
      <c r="W177" s="302"/>
      <c r="X177" s="302"/>
      <c r="Y177" s="100"/>
      <c r="Z177" s="100"/>
      <c r="AA177" s="100"/>
      <c r="AB177" s="100"/>
      <c r="AC177" s="100"/>
      <c r="AD177" s="100"/>
      <c r="AE177" s="100"/>
      <c r="AF177" s="302"/>
      <c r="AG177" s="100"/>
      <c r="AH177" s="302"/>
      <c r="AI177" s="100"/>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302"/>
      <c r="BO177" s="302"/>
      <c r="BP177" s="302"/>
      <c r="BQ177" s="302"/>
      <c r="BR177" s="302"/>
      <c r="BS177" s="302"/>
      <c r="BT177" s="302"/>
      <c r="BU177" s="302"/>
      <c r="BV177" s="302"/>
      <c r="BW177" s="302"/>
      <c r="BX177" s="302"/>
      <c r="BY177" s="302"/>
      <c r="BZ177" s="302"/>
      <c r="CA177" s="302"/>
      <c r="CB177" s="302"/>
      <c r="CC177" s="302"/>
      <c r="CD177" s="302"/>
      <c r="CE177" s="302"/>
      <c r="CF177" s="302"/>
      <c r="CG177" s="302"/>
      <c r="CH177" s="302"/>
      <c r="CI177" s="302"/>
      <c r="CJ177" s="302"/>
      <c r="CK177" s="302"/>
      <c r="CL177" s="302"/>
      <c r="CM177" s="302"/>
      <c r="CN177" s="302"/>
      <c r="CO177" s="302"/>
      <c r="CP177" s="302"/>
      <c r="CQ177" s="302"/>
      <c r="CR177" s="302"/>
      <c r="CS177" s="302"/>
      <c r="CT177" s="302"/>
      <c r="CU177" s="302"/>
      <c r="CV177" s="302"/>
      <c r="CW177" s="302"/>
      <c r="CX177" s="302"/>
      <c r="CY177" s="302"/>
      <c r="CZ177" s="302"/>
      <c r="DA177" s="302"/>
      <c r="DB177" s="302"/>
      <c r="DC177" s="302"/>
      <c r="DD177" s="302"/>
      <c r="DE177" s="302"/>
      <c r="DF177" s="302"/>
      <c r="DG177" s="302"/>
      <c r="DH177" s="302"/>
      <c r="DI177" s="302"/>
      <c r="DJ177" s="302"/>
      <c r="DK177" s="302"/>
      <c r="DL177" s="302"/>
      <c r="DM177" s="302"/>
      <c r="DN177" s="302"/>
      <c r="DO177" s="302"/>
      <c r="DP177" s="302"/>
      <c r="DQ177" s="302"/>
      <c r="DR177" s="302"/>
      <c r="DS177" s="302"/>
      <c r="DT177" s="302"/>
      <c r="DU177" s="302"/>
      <c r="DV177" s="302"/>
      <c r="DW177" s="302"/>
      <c r="DX177" s="302"/>
      <c r="DY177" s="302"/>
      <c r="DZ177" s="302"/>
      <c r="EA177" s="302"/>
      <c r="EB177" s="302"/>
      <c r="EC177" s="302"/>
      <c r="ED177" s="302"/>
      <c r="EE177" s="302"/>
      <c r="EF177" s="302"/>
      <c r="EG177" s="302"/>
      <c r="EH177" s="302"/>
      <c r="EI177" s="302"/>
      <c r="EJ177" s="302"/>
      <c r="EK177" s="302"/>
      <c r="EL177" s="302"/>
      <c r="EM177" s="302"/>
      <c r="EN177" s="302"/>
      <c r="EO177" s="302"/>
      <c r="EP177" s="302"/>
      <c r="EQ177" s="302"/>
      <c r="ER177" s="302"/>
      <c r="ES177" s="302"/>
      <c r="ET177" s="302"/>
      <c r="EU177" s="302"/>
      <c r="EV177" s="302"/>
      <c r="EW177" s="302"/>
      <c r="EX177" s="302"/>
      <c r="EY177" s="302"/>
    </row>
    <row r="178" spans="1:156" s="27" customFormat="1" x14ac:dyDescent="0.2">
      <c r="A178" s="38"/>
      <c r="B178" s="37"/>
      <c r="C178" s="36">
        <f t="shared" si="14"/>
        <v>0</v>
      </c>
      <c r="D178" s="20"/>
      <c r="E178" s="36">
        <f t="shared" si="15"/>
        <v>0</v>
      </c>
      <c r="F178" s="126" t="s">
        <v>228</v>
      </c>
      <c r="G178" s="302"/>
      <c r="H178" s="302"/>
      <c r="I178" s="302"/>
      <c r="J178" s="302"/>
      <c r="K178" s="302"/>
      <c r="L178" s="302"/>
      <c r="M178" s="302"/>
      <c r="N178" s="302"/>
      <c r="O178" s="302"/>
      <c r="P178" s="100"/>
      <c r="Q178" s="302"/>
      <c r="R178" s="302"/>
      <c r="S178" s="302"/>
      <c r="T178" s="302"/>
      <c r="U178" s="302"/>
      <c r="V178" s="302"/>
      <c r="W178" s="302"/>
      <c r="X178" s="302"/>
      <c r="Y178" s="100"/>
      <c r="Z178" s="100"/>
      <c r="AA178" s="100"/>
      <c r="AB178" s="100"/>
      <c r="AC178" s="100"/>
      <c r="AD178" s="100"/>
      <c r="AE178" s="100"/>
      <c r="AF178" s="302"/>
      <c r="AG178" s="100"/>
      <c r="AH178" s="302"/>
      <c r="AI178" s="100"/>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302"/>
      <c r="BO178" s="302"/>
      <c r="BP178" s="302"/>
      <c r="BQ178" s="302"/>
      <c r="BR178" s="302"/>
      <c r="BS178" s="302"/>
      <c r="BT178" s="302"/>
      <c r="BU178" s="302"/>
      <c r="BV178" s="302"/>
      <c r="BW178" s="302"/>
      <c r="BX178" s="302"/>
      <c r="BY178" s="302"/>
      <c r="BZ178" s="302"/>
      <c r="CA178" s="302"/>
      <c r="CB178" s="302"/>
      <c r="CC178" s="302"/>
      <c r="CD178" s="302"/>
      <c r="CE178" s="302"/>
      <c r="CF178" s="302"/>
      <c r="CG178" s="302"/>
      <c r="CH178" s="302"/>
      <c r="CI178" s="302"/>
      <c r="CJ178" s="302"/>
      <c r="CK178" s="302"/>
      <c r="CL178" s="302"/>
      <c r="CM178" s="302"/>
      <c r="CN178" s="302"/>
      <c r="CO178" s="302"/>
      <c r="CP178" s="302"/>
      <c r="CQ178" s="302"/>
      <c r="CR178" s="302"/>
      <c r="CS178" s="302"/>
      <c r="CT178" s="302"/>
      <c r="CU178" s="302"/>
      <c r="CV178" s="302"/>
      <c r="CW178" s="302"/>
      <c r="CX178" s="302"/>
      <c r="CY178" s="302"/>
      <c r="CZ178" s="302"/>
      <c r="DA178" s="302"/>
      <c r="DB178" s="302"/>
      <c r="DC178" s="302"/>
      <c r="DD178" s="302"/>
      <c r="DE178" s="302"/>
      <c r="DF178" s="302"/>
      <c r="DG178" s="302"/>
      <c r="DH178" s="302"/>
      <c r="DI178" s="302"/>
      <c r="DJ178" s="302"/>
      <c r="DK178" s="302"/>
      <c r="DL178" s="302"/>
      <c r="DM178" s="302"/>
      <c r="DN178" s="302"/>
      <c r="DO178" s="302"/>
      <c r="DP178" s="302"/>
      <c r="DQ178" s="302"/>
      <c r="DR178" s="302"/>
      <c r="DS178" s="302"/>
      <c r="DT178" s="302"/>
      <c r="DU178" s="302"/>
      <c r="DV178" s="302"/>
      <c r="DW178" s="302"/>
      <c r="DX178" s="302"/>
      <c r="DY178" s="302"/>
      <c r="DZ178" s="302"/>
      <c r="EA178" s="302"/>
      <c r="EB178" s="302"/>
      <c r="EC178" s="302"/>
      <c r="ED178" s="302"/>
      <c r="EE178" s="302"/>
      <c r="EF178" s="302"/>
      <c r="EG178" s="302"/>
      <c r="EH178" s="302"/>
      <c r="EI178" s="302"/>
      <c r="EJ178" s="302"/>
      <c r="EK178" s="302"/>
      <c r="EL178" s="302"/>
      <c r="EM178" s="302"/>
      <c r="EN178" s="302"/>
      <c r="EO178" s="302"/>
      <c r="EP178" s="302"/>
      <c r="EQ178" s="302"/>
      <c r="ER178" s="302"/>
      <c r="ES178" s="302"/>
      <c r="ET178" s="302"/>
      <c r="EU178" s="302"/>
      <c r="EV178" s="302"/>
      <c r="EW178" s="302"/>
      <c r="EX178" s="302"/>
      <c r="EY178" s="302"/>
    </row>
    <row r="179" spans="1:156" s="27" customFormat="1" x14ac:dyDescent="0.2">
      <c r="A179" s="38"/>
      <c r="B179" s="37"/>
      <c r="C179" s="36">
        <f t="shared" si="14"/>
        <v>0</v>
      </c>
      <c r="D179" s="20"/>
      <c r="E179" s="36">
        <f t="shared" si="15"/>
        <v>0</v>
      </c>
      <c r="F179" s="126" t="s">
        <v>228</v>
      </c>
      <c r="G179" s="302"/>
      <c r="H179" s="302"/>
      <c r="I179" s="302"/>
      <c r="J179" s="302"/>
      <c r="K179" s="302"/>
      <c r="L179" s="302"/>
      <c r="M179" s="302"/>
      <c r="N179" s="302"/>
      <c r="O179" s="302"/>
      <c r="P179" s="100"/>
      <c r="Q179" s="302"/>
      <c r="R179" s="302"/>
      <c r="S179" s="302"/>
      <c r="T179" s="302"/>
      <c r="U179" s="302"/>
      <c r="V179" s="302"/>
      <c r="W179" s="302"/>
      <c r="X179" s="302"/>
      <c r="Y179" s="100"/>
      <c r="Z179" s="100"/>
      <c r="AA179" s="100"/>
      <c r="AB179" s="100"/>
      <c r="AC179" s="100"/>
      <c r="AD179" s="100"/>
      <c r="AE179" s="100"/>
      <c r="AF179" s="302"/>
      <c r="AG179" s="100"/>
      <c r="AH179" s="302"/>
      <c r="AI179" s="100"/>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302"/>
      <c r="BO179" s="302"/>
      <c r="BP179" s="302"/>
      <c r="BQ179" s="302"/>
      <c r="BR179" s="302"/>
      <c r="BS179" s="302"/>
      <c r="BT179" s="302"/>
      <c r="BU179" s="302"/>
      <c r="BV179" s="302"/>
      <c r="BW179" s="302"/>
      <c r="BX179" s="302"/>
      <c r="BY179" s="302"/>
      <c r="BZ179" s="302"/>
      <c r="CA179" s="302"/>
      <c r="CB179" s="302"/>
      <c r="CC179" s="302"/>
      <c r="CD179" s="302"/>
      <c r="CE179" s="302"/>
      <c r="CF179" s="302"/>
      <c r="CG179" s="302"/>
      <c r="CH179" s="302"/>
      <c r="CI179" s="302"/>
      <c r="CJ179" s="302"/>
      <c r="CK179" s="302"/>
      <c r="CL179" s="302"/>
      <c r="CM179" s="302"/>
      <c r="CN179" s="302"/>
      <c r="CO179" s="302"/>
      <c r="CP179" s="302"/>
      <c r="CQ179" s="302"/>
      <c r="CR179" s="302"/>
      <c r="CS179" s="302"/>
      <c r="CT179" s="302"/>
      <c r="CU179" s="302"/>
      <c r="CV179" s="302"/>
      <c r="CW179" s="302"/>
      <c r="CX179" s="302"/>
      <c r="CY179" s="302"/>
      <c r="CZ179" s="302"/>
      <c r="DA179" s="302"/>
      <c r="DB179" s="302"/>
      <c r="DC179" s="302"/>
      <c r="DD179" s="302"/>
      <c r="DE179" s="302"/>
      <c r="DF179" s="302"/>
      <c r="DG179" s="302"/>
      <c r="DH179" s="302"/>
      <c r="DI179" s="302"/>
      <c r="DJ179" s="302"/>
      <c r="DK179" s="302"/>
      <c r="DL179" s="302"/>
      <c r="DM179" s="302"/>
      <c r="DN179" s="302"/>
      <c r="DO179" s="302"/>
      <c r="DP179" s="302"/>
      <c r="DQ179" s="302"/>
      <c r="DR179" s="302"/>
      <c r="DS179" s="302"/>
      <c r="DT179" s="302"/>
      <c r="DU179" s="302"/>
      <c r="DV179" s="302"/>
      <c r="DW179" s="302"/>
      <c r="DX179" s="302"/>
      <c r="DY179" s="302"/>
      <c r="DZ179" s="302"/>
      <c r="EA179" s="302"/>
      <c r="EB179" s="302"/>
      <c r="EC179" s="302"/>
      <c r="ED179" s="302"/>
      <c r="EE179" s="302"/>
      <c r="EF179" s="302"/>
      <c r="EG179" s="302"/>
      <c r="EH179" s="302"/>
      <c r="EI179" s="302"/>
      <c r="EJ179" s="302"/>
      <c r="EK179" s="302"/>
      <c r="EL179" s="302"/>
      <c r="EM179" s="302"/>
      <c r="EN179" s="302"/>
      <c r="EO179" s="302"/>
      <c r="EP179" s="302"/>
      <c r="EQ179" s="302"/>
      <c r="ER179" s="302"/>
      <c r="ES179" s="302"/>
      <c r="ET179" s="302"/>
      <c r="EU179" s="302"/>
      <c r="EV179" s="302"/>
      <c r="EW179" s="302"/>
      <c r="EX179" s="302"/>
      <c r="EY179" s="302"/>
    </row>
    <row r="180" spans="1:156" s="27" customFormat="1" x14ac:dyDescent="0.2">
      <c r="A180" s="38"/>
      <c r="B180" s="37"/>
      <c r="C180" s="36">
        <f t="shared" si="14"/>
        <v>0</v>
      </c>
      <c r="D180" s="20"/>
      <c r="E180" s="36">
        <f t="shared" si="15"/>
        <v>0</v>
      </c>
      <c r="F180" s="126" t="s">
        <v>228</v>
      </c>
      <c r="G180" s="302"/>
      <c r="H180" s="302"/>
      <c r="I180" s="302"/>
      <c r="J180" s="302"/>
      <c r="K180" s="302"/>
      <c r="L180" s="302"/>
      <c r="M180" s="302"/>
      <c r="N180" s="302"/>
      <c r="O180" s="302"/>
      <c r="P180" s="100"/>
      <c r="Q180" s="302"/>
      <c r="R180" s="302"/>
      <c r="S180" s="302"/>
      <c r="T180" s="302"/>
      <c r="U180" s="302"/>
      <c r="V180" s="302"/>
      <c r="W180" s="302"/>
      <c r="X180" s="302"/>
      <c r="Y180" s="100"/>
      <c r="Z180" s="100"/>
      <c r="AA180" s="100"/>
      <c r="AB180" s="100"/>
      <c r="AC180" s="100"/>
      <c r="AD180" s="100"/>
      <c r="AE180" s="100"/>
      <c r="AF180" s="302"/>
      <c r="AG180" s="100"/>
      <c r="AH180" s="302"/>
      <c r="AI180" s="100"/>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302"/>
      <c r="BO180" s="302"/>
      <c r="BP180" s="302"/>
      <c r="BQ180" s="302"/>
      <c r="BR180" s="302"/>
      <c r="BS180" s="302"/>
      <c r="BT180" s="302"/>
      <c r="BU180" s="302"/>
      <c r="BV180" s="302"/>
      <c r="BW180" s="302"/>
      <c r="BX180" s="302"/>
      <c r="BY180" s="302"/>
      <c r="BZ180" s="302"/>
      <c r="CA180" s="302"/>
      <c r="CB180" s="302"/>
      <c r="CC180" s="302"/>
      <c r="CD180" s="302"/>
      <c r="CE180" s="302"/>
      <c r="CF180" s="302"/>
      <c r="CG180" s="302"/>
      <c r="CH180" s="302"/>
      <c r="CI180" s="302"/>
      <c r="CJ180" s="302"/>
      <c r="CK180" s="302"/>
      <c r="CL180" s="302"/>
      <c r="CM180" s="302"/>
      <c r="CN180" s="302"/>
      <c r="CO180" s="302"/>
      <c r="CP180" s="302"/>
      <c r="CQ180" s="302"/>
      <c r="CR180" s="302"/>
      <c r="CS180" s="302"/>
      <c r="CT180" s="302"/>
      <c r="CU180" s="302"/>
      <c r="CV180" s="302"/>
      <c r="CW180" s="302"/>
      <c r="CX180" s="302"/>
      <c r="CY180" s="302"/>
      <c r="CZ180" s="302"/>
      <c r="DA180" s="302"/>
      <c r="DB180" s="302"/>
      <c r="DC180" s="302"/>
      <c r="DD180" s="302"/>
      <c r="DE180" s="302"/>
      <c r="DF180" s="302"/>
      <c r="DG180" s="302"/>
      <c r="DH180" s="302"/>
      <c r="DI180" s="302"/>
      <c r="DJ180" s="302"/>
      <c r="DK180" s="302"/>
      <c r="DL180" s="302"/>
      <c r="DM180" s="302"/>
      <c r="DN180" s="302"/>
      <c r="DO180" s="302"/>
      <c r="DP180" s="302"/>
      <c r="DQ180" s="302"/>
      <c r="DR180" s="302"/>
      <c r="DS180" s="302"/>
      <c r="DT180" s="302"/>
      <c r="DU180" s="302"/>
      <c r="DV180" s="302"/>
      <c r="DW180" s="302"/>
      <c r="DX180" s="302"/>
      <c r="DY180" s="302"/>
      <c r="DZ180" s="302"/>
      <c r="EA180" s="302"/>
      <c r="EB180" s="302"/>
      <c r="EC180" s="302"/>
      <c r="ED180" s="302"/>
      <c r="EE180" s="302"/>
      <c r="EF180" s="302"/>
      <c r="EG180" s="302"/>
      <c r="EH180" s="302"/>
      <c r="EI180" s="302"/>
      <c r="EJ180" s="302"/>
      <c r="EK180" s="302"/>
      <c r="EL180" s="302"/>
      <c r="EM180" s="302"/>
      <c r="EN180" s="302"/>
      <c r="EO180" s="302"/>
      <c r="EP180" s="302"/>
      <c r="EQ180" s="302"/>
      <c r="ER180" s="302"/>
      <c r="ES180" s="302"/>
      <c r="ET180" s="302"/>
      <c r="EU180" s="302"/>
      <c r="EV180" s="302"/>
      <c r="EW180" s="302"/>
      <c r="EX180" s="302"/>
      <c r="EY180" s="302"/>
    </row>
    <row r="181" spans="1:156" s="27" customFormat="1" x14ac:dyDescent="0.2">
      <c r="A181" s="38"/>
      <c r="B181" s="37"/>
      <c r="C181" s="36">
        <f t="shared" si="14"/>
        <v>0</v>
      </c>
      <c r="D181" s="20"/>
      <c r="E181" s="36">
        <f t="shared" si="15"/>
        <v>0</v>
      </c>
      <c r="F181" s="126" t="s">
        <v>228</v>
      </c>
      <c r="G181" s="302"/>
      <c r="H181" s="302"/>
      <c r="I181" s="302"/>
      <c r="J181" s="302"/>
      <c r="K181" s="302"/>
      <c r="L181" s="302"/>
      <c r="M181" s="302"/>
      <c r="N181" s="302"/>
      <c r="O181" s="302"/>
      <c r="P181" s="100"/>
      <c r="Q181" s="302"/>
      <c r="R181" s="302"/>
      <c r="S181" s="302"/>
      <c r="T181" s="302"/>
      <c r="U181" s="302"/>
      <c r="V181" s="302"/>
      <c r="W181" s="302"/>
      <c r="X181" s="302"/>
      <c r="Y181" s="100"/>
      <c r="Z181" s="100"/>
      <c r="AA181" s="100"/>
      <c r="AB181" s="100"/>
      <c r="AC181" s="100"/>
      <c r="AD181" s="100"/>
      <c r="AE181" s="100"/>
      <c r="AF181" s="302"/>
      <c r="AG181" s="100"/>
      <c r="AH181" s="302"/>
      <c r="AI181" s="100"/>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302"/>
      <c r="BO181" s="302"/>
      <c r="BP181" s="302"/>
      <c r="BQ181" s="302"/>
      <c r="BR181" s="302"/>
      <c r="BS181" s="302"/>
      <c r="BT181" s="302"/>
      <c r="BU181" s="302"/>
      <c r="BV181" s="302"/>
      <c r="BW181" s="302"/>
      <c r="BX181" s="302"/>
      <c r="BY181" s="302"/>
      <c r="BZ181" s="302"/>
      <c r="CA181" s="302"/>
      <c r="CB181" s="302"/>
      <c r="CC181" s="302"/>
      <c r="CD181" s="302"/>
      <c r="CE181" s="302"/>
      <c r="CF181" s="302"/>
      <c r="CG181" s="302"/>
      <c r="CH181" s="302"/>
      <c r="CI181" s="302"/>
      <c r="CJ181" s="302"/>
      <c r="CK181" s="302"/>
      <c r="CL181" s="302"/>
      <c r="CM181" s="302"/>
      <c r="CN181" s="302"/>
      <c r="CO181" s="302"/>
      <c r="CP181" s="302"/>
      <c r="CQ181" s="302"/>
      <c r="CR181" s="302"/>
      <c r="CS181" s="302"/>
      <c r="CT181" s="302"/>
      <c r="CU181" s="302"/>
      <c r="CV181" s="302"/>
      <c r="CW181" s="302"/>
      <c r="CX181" s="302"/>
      <c r="CY181" s="302"/>
      <c r="CZ181" s="302"/>
      <c r="DA181" s="302"/>
      <c r="DB181" s="302"/>
      <c r="DC181" s="302"/>
      <c r="DD181" s="302"/>
      <c r="DE181" s="302"/>
      <c r="DF181" s="302"/>
      <c r="DG181" s="302"/>
      <c r="DH181" s="302"/>
      <c r="DI181" s="302"/>
      <c r="DJ181" s="302"/>
      <c r="DK181" s="302"/>
      <c r="DL181" s="302"/>
      <c r="DM181" s="302"/>
      <c r="DN181" s="302"/>
      <c r="DO181" s="302"/>
      <c r="DP181" s="302"/>
      <c r="DQ181" s="302"/>
      <c r="DR181" s="302"/>
      <c r="DS181" s="302"/>
      <c r="DT181" s="302"/>
      <c r="DU181" s="302"/>
      <c r="DV181" s="302"/>
      <c r="DW181" s="302"/>
      <c r="DX181" s="302"/>
      <c r="DY181" s="302"/>
      <c r="DZ181" s="302"/>
      <c r="EA181" s="302"/>
      <c r="EB181" s="302"/>
      <c r="EC181" s="302"/>
      <c r="ED181" s="302"/>
      <c r="EE181" s="302"/>
      <c r="EF181" s="302"/>
      <c r="EG181" s="302"/>
      <c r="EH181" s="302"/>
      <c r="EI181" s="302"/>
      <c r="EJ181" s="302"/>
      <c r="EK181" s="302"/>
      <c r="EL181" s="302"/>
      <c r="EM181" s="302"/>
      <c r="EN181" s="302"/>
      <c r="EO181" s="302"/>
      <c r="EP181" s="302"/>
      <c r="EQ181" s="302"/>
      <c r="ER181" s="302"/>
      <c r="ES181" s="302"/>
      <c r="ET181" s="302"/>
      <c r="EU181" s="302"/>
      <c r="EV181" s="302"/>
      <c r="EW181" s="302"/>
      <c r="EX181" s="302"/>
      <c r="EY181" s="302"/>
    </row>
    <row r="182" spans="1:156" s="27" customFormat="1" x14ac:dyDescent="0.2">
      <c r="A182" s="38"/>
      <c r="B182" s="37"/>
      <c r="C182" s="36">
        <f t="shared" si="14"/>
        <v>0</v>
      </c>
      <c r="D182" s="20"/>
      <c r="E182" s="36">
        <f t="shared" si="15"/>
        <v>0</v>
      </c>
      <c r="F182" s="126" t="s">
        <v>228</v>
      </c>
      <c r="G182" s="302"/>
      <c r="H182" s="302"/>
      <c r="I182" s="302"/>
      <c r="J182" s="302"/>
      <c r="K182" s="302"/>
      <c r="L182" s="302"/>
      <c r="M182" s="302"/>
      <c r="N182" s="302"/>
      <c r="O182" s="302"/>
      <c r="P182" s="100"/>
      <c r="Q182" s="302"/>
      <c r="R182" s="302"/>
      <c r="S182" s="302"/>
      <c r="T182" s="302"/>
      <c r="U182" s="302"/>
      <c r="V182" s="302"/>
      <c r="W182" s="302"/>
      <c r="X182" s="302"/>
      <c r="Y182" s="100"/>
      <c r="Z182" s="100"/>
      <c r="AA182" s="100"/>
      <c r="AB182" s="100"/>
      <c r="AC182" s="100"/>
      <c r="AD182" s="100"/>
      <c r="AE182" s="100"/>
      <c r="AF182" s="302"/>
      <c r="AG182" s="100"/>
      <c r="AH182" s="302"/>
      <c r="AI182" s="100"/>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302"/>
      <c r="BO182" s="302"/>
      <c r="BP182" s="302"/>
      <c r="BQ182" s="302"/>
      <c r="BR182" s="302"/>
      <c r="BS182" s="302"/>
      <c r="BT182" s="302"/>
      <c r="BU182" s="302"/>
      <c r="BV182" s="302"/>
      <c r="BW182" s="302"/>
      <c r="BX182" s="302"/>
      <c r="BY182" s="302"/>
      <c r="BZ182" s="302"/>
      <c r="CA182" s="302"/>
      <c r="CB182" s="302"/>
      <c r="CC182" s="302"/>
      <c r="CD182" s="302"/>
      <c r="CE182" s="302"/>
      <c r="CF182" s="302"/>
      <c r="CG182" s="302"/>
      <c r="CH182" s="302"/>
      <c r="CI182" s="302"/>
      <c r="CJ182" s="302"/>
      <c r="CK182" s="302"/>
      <c r="CL182" s="302"/>
      <c r="CM182" s="302"/>
      <c r="CN182" s="302"/>
      <c r="CO182" s="302"/>
      <c r="CP182" s="302"/>
      <c r="CQ182" s="302"/>
      <c r="CR182" s="302"/>
      <c r="CS182" s="302"/>
      <c r="CT182" s="302"/>
      <c r="CU182" s="302"/>
      <c r="CV182" s="302"/>
      <c r="CW182" s="302"/>
      <c r="CX182" s="302"/>
      <c r="CY182" s="302"/>
      <c r="CZ182" s="302"/>
      <c r="DA182" s="302"/>
      <c r="DB182" s="302"/>
      <c r="DC182" s="302"/>
      <c r="DD182" s="302"/>
      <c r="DE182" s="302"/>
      <c r="DF182" s="302"/>
      <c r="DG182" s="302"/>
      <c r="DH182" s="302"/>
      <c r="DI182" s="302"/>
      <c r="DJ182" s="302"/>
      <c r="DK182" s="302"/>
      <c r="DL182" s="302"/>
      <c r="DM182" s="302"/>
      <c r="DN182" s="302"/>
      <c r="DO182" s="302"/>
      <c r="DP182" s="302"/>
      <c r="DQ182" s="302"/>
      <c r="DR182" s="302"/>
      <c r="DS182" s="302"/>
      <c r="DT182" s="302"/>
      <c r="DU182" s="302"/>
      <c r="DV182" s="302"/>
      <c r="DW182" s="302"/>
      <c r="DX182" s="302"/>
      <c r="DY182" s="302"/>
      <c r="DZ182" s="302"/>
      <c r="EA182" s="302"/>
      <c r="EB182" s="302"/>
      <c r="EC182" s="302"/>
      <c r="ED182" s="302"/>
      <c r="EE182" s="302"/>
      <c r="EF182" s="302"/>
      <c r="EG182" s="302"/>
      <c r="EH182" s="302"/>
      <c r="EI182" s="302"/>
      <c r="EJ182" s="302"/>
      <c r="EK182" s="302"/>
      <c r="EL182" s="302"/>
      <c r="EM182" s="302"/>
      <c r="EN182" s="302"/>
      <c r="EO182" s="302"/>
      <c r="EP182" s="302"/>
      <c r="EQ182" s="302"/>
      <c r="ER182" s="302"/>
      <c r="ES182" s="302"/>
      <c r="ET182" s="302"/>
      <c r="EU182" s="302"/>
      <c r="EV182" s="302"/>
      <c r="EW182" s="302"/>
      <c r="EX182" s="302"/>
      <c r="EY182" s="302"/>
    </row>
    <row r="183" spans="1:156" s="27" customFormat="1" x14ac:dyDescent="0.2">
      <c r="A183" s="38"/>
      <c r="B183" s="37"/>
      <c r="C183" s="36">
        <f t="shared" ref="C183:C204" si="16">E183*D$5</f>
        <v>0</v>
      </c>
      <c r="D183" s="20"/>
      <c r="E183" s="36">
        <f t="shared" si="15"/>
        <v>0</v>
      </c>
      <c r="F183" s="126" t="s">
        <v>228</v>
      </c>
      <c r="G183" s="302"/>
      <c r="H183" s="302"/>
      <c r="I183" s="302"/>
      <c r="J183" s="302"/>
      <c r="K183" s="302"/>
      <c r="L183" s="302"/>
      <c r="M183" s="302"/>
      <c r="N183" s="302"/>
      <c r="O183" s="302"/>
      <c r="P183" s="100"/>
      <c r="Q183" s="302"/>
      <c r="R183" s="302"/>
      <c r="S183" s="302"/>
      <c r="T183" s="302"/>
      <c r="U183" s="302"/>
      <c r="V183" s="302"/>
      <c r="W183" s="302"/>
      <c r="X183" s="302"/>
      <c r="Y183" s="100"/>
      <c r="Z183" s="100"/>
      <c r="AA183" s="100"/>
      <c r="AB183" s="100"/>
      <c r="AC183" s="100"/>
      <c r="AD183" s="100"/>
      <c r="AE183" s="100"/>
      <c r="AF183" s="302"/>
      <c r="AG183" s="100"/>
      <c r="AH183" s="302"/>
      <c r="AI183" s="100"/>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302"/>
      <c r="BO183" s="302"/>
      <c r="BP183" s="302"/>
      <c r="BQ183" s="302"/>
      <c r="BR183" s="302"/>
      <c r="BS183" s="302"/>
      <c r="BT183" s="302"/>
      <c r="BU183" s="302"/>
      <c r="BV183" s="302"/>
      <c r="BW183" s="302"/>
      <c r="BX183" s="302"/>
      <c r="BY183" s="302"/>
      <c r="BZ183" s="302"/>
      <c r="CA183" s="302"/>
      <c r="CB183" s="302"/>
      <c r="CC183" s="302"/>
      <c r="CD183" s="302"/>
      <c r="CE183" s="302"/>
      <c r="CF183" s="302"/>
      <c r="CG183" s="302"/>
      <c r="CH183" s="302"/>
      <c r="CI183" s="302"/>
      <c r="CJ183" s="302"/>
      <c r="CK183" s="302"/>
      <c r="CL183" s="302"/>
      <c r="CM183" s="302"/>
      <c r="CN183" s="302"/>
      <c r="CO183" s="302"/>
      <c r="CP183" s="302"/>
      <c r="CQ183" s="302"/>
      <c r="CR183" s="302"/>
      <c r="CS183" s="302"/>
      <c r="CT183" s="302"/>
      <c r="CU183" s="302"/>
      <c r="CV183" s="302"/>
      <c r="CW183" s="302"/>
      <c r="CX183" s="302"/>
      <c r="CY183" s="302"/>
      <c r="CZ183" s="302"/>
      <c r="DA183" s="302"/>
      <c r="DB183" s="302"/>
      <c r="DC183" s="302"/>
      <c r="DD183" s="302"/>
      <c r="DE183" s="302"/>
      <c r="DF183" s="302"/>
      <c r="DG183" s="302"/>
      <c r="DH183" s="302"/>
      <c r="DI183" s="302"/>
      <c r="DJ183" s="302"/>
      <c r="DK183" s="302"/>
      <c r="DL183" s="302"/>
      <c r="DM183" s="302"/>
      <c r="DN183" s="302"/>
      <c r="DO183" s="302"/>
      <c r="DP183" s="302"/>
      <c r="DQ183" s="302"/>
      <c r="DR183" s="302"/>
      <c r="DS183" s="302"/>
      <c r="DT183" s="302"/>
      <c r="DU183" s="302"/>
      <c r="DV183" s="302"/>
      <c r="DW183" s="302"/>
      <c r="DX183" s="302"/>
      <c r="DY183" s="302"/>
      <c r="DZ183" s="302"/>
      <c r="EA183" s="302"/>
      <c r="EB183" s="302"/>
      <c r="EC183" s="302"/>
      <c r="ED183" s="302"/>
      <c r="EE183" s="302"/>
      <c r="EF183" s="302"/>
      <c r="EG183" s="302"/>
      <c r="EH183" s="302"/>
      <c r="EI183" s="302"/>
      <c r="EJ183" s="302"/>
      <c r="EK183" s="302"/>
      <c r="EL183" s="302"/>
      <c r="EM183" s="302"/>
      <c r="EN183" s="302"/>
      <c r="EO183" s="302"/>
      <c r="EP183" s="302"/>
      <c r="EQ183" s="302"/>
      <c r="ER183" s="302"/>
      <c r="ES183" s="302"/>
      <c r="ET183" s="302"/>
      <c r="EU183" s="302"/>
      <c r="EV183" s="302"/>
      <c r="EW183" s="302"/>
      <c r="EX183" s="302"/>
      <c r="EY183" s="302"/>
    </row>
    <row r="184" spans="1:156" s="27" customFormat="1" x14ac:dyDescent="0.2">
      <c r="A184" s="38"/>
      <c r="B184" s="37"/>
      <c r="C184" s="36">
        <f t="shared" si="16"/>
        <v>0</v>
      </c>
      <c r="D184" s="20"/>
      <c r="E184" s="36">
        <f t="shared" si="15"/>
        <v>0</v>
      </c>
      <c r="F184" s="126" t="s">
        <v>228</v>
      </c>
      <c r="G184" s="302"/>
      <c r="H184" s="302"/>
      <c r="I184" s="302"/>
      <c r="J184" s="302"/>
      <c r="K184" s="302"/>
      <c r="L184" s="302"/>
      <c r="M184" s="302"/>
      <c r="N184" s="302"/>
      <c r="O184" s="302"/>
      <c r="P184" s="100"/>
      <c r="Q184" s="302"/>
      <c r="R184" s="302"/>
      <c r="S184" s="302"/>
      <c r="T184" s="302"/>
      <c r="U184" s="302"/>
      <c r="V184" s="302"/>
      <c r="W184" s="302"/>
      <c r="X184" s="302"/>
      <c r="Y184" s="100"/>
      <c r="Z184" s="100"/>
      <c r="AA184" s="100"/>
      <c r="AB184" s="100"/>
      <c r="AC184" s="100"/>
      <c r="AD184" s="100"/>
      <c r="AE184" s="100"/>
      <c r="AF184" s="302"/>
      <c r="AG184" s="100"/>
      <c r="AH184" s="302"/>
      <c r="AI184" s="100"/>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302"/>
      <c r="BO184" s="302"/>
      <c r="BP184" s="302"/>
      <c r="BQ184" s="302"/>
      <c r="BR184" s="302"/>
      <c r="BS184" s="302"/>
      <c r="BT184" s="302"/>
      <c r="BU184" s="302"/>
      <c r="BV184" s="302"/>
      <c r="BW184" s="302"/>
      <c r="BX184" s="302"/>
      <c r="BY184" s="302"/>
      <c r="BZ184" s="302"/>
      <c r="CA184" s="302"/>
      <c r="CB184" s="302"/>
      <c r="CC184" s="302"/>
      <c r="CD184" s="302"/>
      <c r="CE184" s="302"/>
      <c r="CF184" s="302"/>
      <c r="CG184" s="302"/>
      <c r="CH184" s="302"/>
      <c r="CI184" s="302"/>
      <c r="CJ184" s="302"/>
      <c r="CK184" s="302"/>
      <c r="CL184" s="302"/>
      <c r="CM184" s="302"/>
      <c r="CN184" s="302"/>
      <c r="CO184" s="302"/>
      <c r="CP184" s="302"/>
      <c r="CQ184" s="302"/>
      <c r="CR184" s="302"/>
      <c r="CS184" s="302"/>
      <c r="CT184" s="302"/>
      <c r="CU184" s="302"/>
      <c r="CV184" s="302"/>
      <c r="CW184" s="302"/>
      <c r="CX184" s="302"/>
      <c r="CY184" s="302"/>
      <c r="CZ184" s="302"/>
      <c r="DA184" s="302"/>
      <c r="DB184" s="302"/>
      <c r="DC184" s="302"/>
      <c r="DD184" s="302"/>
      <c r="DE184" s="302"/>
      <c r="DF184" s="302"/>
      <c r="DG184" s="302"/>
      <c r="DH184" s="302"/>
      <c r="DI184" s="302"/>
      <c r="DJ184" s="302"/>
      <c r="DK184" s="302"/>
      <c r="DL184" s="302"/>
      <c r="DM184" s="302"/>
      <c r="DN184" s="302"/>
      <c r="DO184" s="302"/>
      <c r="DP184" s="302"/>
      <c r="DQ184" s="302"/>
      <c r="DR184" s="302"/>
      <c r="DS184" s="302"/>
      <c r="DT184" s="302"/>
      <c r="DU184" s="302"/>
      <c r="DV184" s="302"/>
      <c r="DW184" s="302"/>
      <c r="DX184" s="302"/>
      <c r="DY184" s="302"/>
      <c r="DZ184" s="302"/>
      <c r="EA184" s="302"/>
      <c r="EB184" s="302"/>
      <c r="EC184" s="302"/>
      <c r="ED184" s="302"/>
      <c r="EE184" s="302"/>
      <c r="EF184" s="302"/>
      <c r="EG184" s="302"/>
      <c r="EH184" s="302"/>
      <c r="EI184" s="302"/>
      <c r="EJ184" s="302"/>
      <c r="EK184" s="302"/>
      <c r="EL184" s="302"/>
      <c r="EM184" s="302"/>
      <c r="EN184" s="302"/>
      <c r="EO184" s="302"/>
      <c r="EP184" s="302"/>
      <c r="EQ184" s="302"/>
      <c r="ER184" s="302"/>
      <c r="ES184" s="302"/>
      <c r="ET184" s="302"/>
      <c r="EU184" s="302"/>
      <c r="EV184" s="302"/>
      <c r="EW184" s="302"/>
      <c r="EX184" s="302"/>
      <c r="EY184" s="302"/>
    </row>
    <row r="185" spans="1:156" s="27" customFormat="1" x14ac:dyDescent="0.2">
      <c r="A185" s="38"/>
      <c r="B185" s="37"/>
      <c r="C185" s="36">
        <f t="shared" si="16"/>
        <v>0</v>
      </c>
      <c r="D185" s="20"/>
      <c r="E185" s="36">
        <f t="shared" si="15"/>
        <v>0</v>
      </c>
      <c r="F185" s="126" t="s">
        <v>228</v>
      </c>
      <c r="G185" s="302"/>
      <c r="H185" s="302"/>
      <c r="I185" s="302"/>
      <c r="J185" s="302"/>
      <c r="K185" s="302"/>
      <c r="L185" s="302"/>
      <c r="M185" s="302"/>
      <c r="N185" s="302"/>
      <c r="O185" s="302"/>
      <c r="P185" s="100"/>
      <c r="Q185" s="302"/>
      <c r="R185" s="302"/>
      <c r="S185" s="302"/>
      <c r="T185" s="302"/>
      <c r="U185" s="302"/>
      <c r="V185" s="302"/>
      <c r="W185" s="302"/>
      <c r="X185" s="302"/>
      <c r="Y185" s="100"/>
      <c r="Z185" s="100"/>
      <c r="AA185" s="100"/>
      <c r="AB185" s="100"/>
      <c r="AC185" s="100"/>
      <c r="AD185" s="100"/>
      <c r="AE185" s="100"/>
      <c r="AF185" s="302"/>
      <c r="AG185" s="100"/>
      <c r="AH185" s="302"/>
      <c r="AI185" s="100"/>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302"/>
      <c r="BO185" s="302"/>
      <c r="BP185" s="302"/>
      <c r="BQ185" s="302"/>
      <c r="BR185" s="302"/>
      <c r="BS185" s="302"/>
      <c r="BT185" s="302"/>
      <c r="BU185" s="302"/>
      <c r="BV185" s="302"/>
      <c r="BW185" s="302"/>
      <c r="BX185" s="302"/>
      <c r="BY185" s="302"/>
      <c r="BZ185" s="302"/>
      <c r="CA185" s="302"/>
      <c r="CB185" s="302"/>
      <c r="CC185" s="302"/>
      <c r="CD185" s="302"/>
      <c r="CE185" s="302"/>
      <c r="CF185" s="302"/>
      <c r="CG185" s="302"/>
      <c r="CH185" s="302"/>
      <c r="CI185" s="302"/>
      <c r="CJ185" s="302"/>
      <c r="CK185" s="302"/>
      <c r="CL185" s="302"/>
      <c r="CM185" s="302"/>
      <c r="CN185" s="302"/>
      <c r="CO185" s="302"/>
      <c r="CP185" s="302"/>
      <c r="CQ185" s="302"/>
      <c r="CR185" s="302"/>
      <c r="CS185" s="302"/>
      <c r="CT185" s="302"/>
      <c r="CU185" s="302"/>
      <c r="CV185" s="302"/>
      <c r="CW185" s="302"/>
      <c r="CX185" s="302"/>
      <c r="CY185" s="302"/>
      <c r="CZ185" s="302"/>
      <c r="DA185" s="302"/>
      <c r="DB185" s="302"/>
      <c r="DC185" s="302"/>
      <c r="DD185" s="302"/>
      <c r="DE185" s="302"/>
      <c r="DF185" s="302"/>
      <c r="DG185" s="302"/>
      <c r="DH185" s="302"/>
      <c r="DI185" s="302"/>
      <c r="DJ185" s="302"/>
      <c r="DK185" s="302"/>
      <c r="DL185" s="302"/>
      <c r="DM185" s="302"/>
      <c r="DN185" s="302"/>
      <c r="DO185" s="302"/>
      <c r="DP185" s="302"/>
      <c r="DQ185" s="302"/>
      <c r="DR185" s="302"/>
      <c r="DS185" s="302"/>
      <c r="DT185" s="302"/>
      <c r="DU185" s="302"/>
      <c r="DV185" s="302"/>
      <c r="DW185" s="302"/>
      <c r="DX185" s="302"/>
      <c r="DY185" s="302"/>
      <c r="DZ185" s="302"/>
      <c r="EA185" s="302"/>
      <c r="EB185" s="302"/>
      <c r="EC185" s="302"/>
      <c r="ED185" s="302"/>
      <c r="EE185" s="302"/>
      <c r="EF185" s="302"/>
      <c r="EG185" s="302"/>
      <c r="EH185" s="302"/>
      <c r="EI185" s="302"/>
      <c r="EJ185" s="302"/>
      <c r="EK185" s="302"/>
      <c r="EL185" s="302"/>
      <c r="EM185" s="302"/>
      <c r="EN185" s="302"/>
      <c r="EO185" s="302"/>
      <c r="EP185" s="302"/>
      <c r="EQ185" s="302"/>
      <c r="ER185" s="302"/>
      <c r="ES185" s="302"/>
      <c r="ET185" s="302"/>
      <c r="EU185" s="302"/>
      <c r="EV185" s="302"/>
      <c r="EW185" s="302"/>
      <c r="EX185" s="302"/>
      <c r="EY185" s="302"/>
    </row>
    <row r="186" spans="1:156" s="27" customFormat="1" x14ac:dyDescent="0.2">
      <c r="A186" s="38"/>
      <c r="B186" s="37"/>
      <c r="C186" s="36">
        <f t="shared" si="16"/>
        <v>0</v>
      </c>
      <c r="D186" s="20"/>
      <c r="E186" s="36">
        <f t="shared" si="15"/>
        <v>0</v>
      </c>
      <c r="F186" s="126" t="s">
        <v>228</v>
      </c>
      <c r="G186" s="302"/>
      <c r="H186" s="302"/>
      <c r="I186" s="302"/>
      <c r="J186" s="302"/>
      <c r="K186" s="302"/>
      <c r="L186" s="302"/>
      <c r="M186" s="302"/>
      <c r="N186" s="302"/>
      <c r="O186" s="302"/>
      <c r="P186" s="100"/>
      <c r="Q186" s="302"/>
      <c r="R186" s="302"/>
      <c r="S186" s="302"/>
      <c r="T186" s="302"/>
      <c r="U186" s="302"/>
      <c r="V186" s="302"/>
      <c r="W186" s="302"/>
      <c r="X186" s="302"/>
      <c r="Y186" s="100"/>
      <c r="Z186" s="100"/>
      <c r="AA186" s="100"/>
      <c r="AB186" s="100"/>
      <c r="AC186" s="100"/>
      <c r="AD186" s="100"/>
      <c r="AE186" s="100"/>
      <c r="AF186" s="302"/>
      <c r="AG186" s="100"/>
      <c r="AH186" s="302"/>
      <c r="AI186" s="100"/>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302"/>
      <c r="BO186" s="302"/>
      <c r="BP186" s="302"/>
      <c r="BQ186" s="302"/>
      <c r="BR186" s="302"/>
      <c r="BS186" s="302"/>
      <c r="BT186" s="302"/>
      <c r="BU186" s="302"/>
      <c r="BV186" s="302"/>
      <c r="BW186" s="302"/>
      <c r="BX186" s="302"/>
      <c r="BY186" s="302"/>
      <c r="BZ186" s="302"/>
      <c r="CA186" s="302"/>
      <c r="CB186" s="302"/>
      <c r="CC186" s="302"/>
      <c r="CD186" s="302"/>
      <c r="CE186" s="302"/>
      <c r="CF186" s="302"/>
      <c r="CG186" s="302"/>
      <c r="CH186" s="302"/>
      <c r="CI186" s="302"/>
      <c r="CJ186" s="302"/>
      <c r="CK186" s="302"/>
      <c r="CL186" s="302"/>
      <c r="CM186" s="302"/>
      <c r="CN186" s="302"/>
      <c r="CO186" s="302"/>
      <c r="CP186" s="302"/>
      <c r="CQ186" s="302"/>
      <c r="CR186" s="302"/>
      <c r="CS186" s="302"/>
      <c r="CT186" s="302"/>
      <c r="CU186" s="302"/>
      <c r="CV186" s="302"/>
      <c r="CW186" s="302"/>
      <c r="CX186" s="302"/>
      <c r="CY186" s="302"/>
      <c r="CZ186" s="302"/>
      <c r="DA186" s="302"/>
      <c r="DB186" s="302"/>
      <c r="DC186" s="302"/>
      <c r="DD186" s="302"/>
      <c r="DE186" s="302"/>
      <c r="DF186" s="302"/>
      <c r="DG186" s="302"/>
      <c r="DH186" s="302"/>
      <c r="DI186" s="302"/>
      <c r="DJ186" s="302"/>
      <c r="DK186" s="302"/>
      <c r="DL186" s="302"/>
      <c r="DM186" s="302"/>
      <c r="DN186" s="302"/>
      <c r="DO186" s="302"/>
      <c r="DP186" s="302"/>
      <c r="DQ186" s="302"/>
      <c r="DR186" s="302"/>
      <c r="DS186" s="302"/>
      <c r="DT186" s="302"/>
      <c r="DU186" s="302"/>
      <c r="DV186" s="302"/>
      <c r="DW186" s="302"/>
      <c r="DX186" s="302"/>
      <c r="DY186" s="302"/>
      <c r="DZ186" s="302"/>
      <c r="EA186" s="302"/>
      <c r="EB186" s="302"/>
      <c r="EC186" s="302"/>
      <c r="ED186" s="302"/>
      <c r="EE186" s="302"/>
      <c r="EF186" s="302"/>
      <c r="EG186" s="302"/>
      <c r="EH186" s="302"/>
      <c r="EI186" s="302"/>
      <c r="EJ186" s="302"/>
      <c r="EK186" s="302"/>
      <c r="EL186" s="302"/>
      <c r="EM186" s="302"/>
      <c r="EN186" s="302"/>
      <c r="EO186" s="302"/>
      <c r="EP186" s="302"/>
      <c r="EQ186" s="302"/>
      <c r="ER186" s="302"/>
      <c r="ES186" s="302"/>
      <c r="ET186" s="302"/>
      <c r="EU186" s="302"/>
      <c r="EV186" s="302"/>
      <c r="EW186" s="302"/>
      <c r="EX186" s="302"/>
      <c r="EY186" s="302"/>
    </row>
    <row r="187" spans="1:156" s="27" customFormat="1" x14ac:dyDescent="0.2">
      <c r="A187" s="38"/>
      <c r="B187" s="37"/>
      <c r="C187" s="36">
        <f t="shared" si="16"/>
        <v>0</v>
      </c>
      <c r="D187" s="20"/>
      <c r="E187" s="36">
        <f t="shared" ref="E187:E204" si="17">SUM(G187:HT187)</f>
        <v>0</v>
      </c>
      <c r="H187" s="302"/>
      <c r="I187" s="302"/>
      <c r="J187" s="302"/>
      <c r="K187" s="302"/>
      <c r="L187" s="302"/>
      <c r="M187" s="302"/>
      <c r="N187" s="302"/>
      <c r="O187" s="302"/>
      <c r="P187" s="302"/>
      <c r="Q187" s="100"/>
      <c r="R187" s="302"/>
      <c r="S187" s="302"/>
      <c r="T187" s="302"/>
      <c r="U187" s="302"/>
      <c r="V187" s="302"/>
      <c r="W187" s="302"/>
      <c r="X187" s="302"/>
      <c r="Y187" s="302"/>
      <c r="Z187" s="100"/>
      <c r="AA187" s="100"/>
      <c r="AB187" s="100"/>
      <c r="AC187" s="100"/>
      <c r="AD187" s="100"/>
      <c r="AE187" s="100"/>
      <c r="AF187" s="100"/>
      <c r="AG187" s="302"/>
      <c r="AH187" s="100"/>
      <c r="AI187" s="302"/>
      <c r="AJ187" s="100"/>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302"/>
      <c r="BO187" s="302"/>
      <c r="BP187" s="302"/>
      <c r="BQ187" s="302"/>
      <c r="BR187" s="302"/>
      <c r="BS187" s="302"/>
      <c r="BT187" s="302"/>
      <c r="BU187" s="302"/>
      <c r="BV187" s="302"/>
      <c r="BW187" s="302"/>
      <c r="BX187" s="302"/>
      <c r="BY187" s="302"/>
      <c r="BZ187" s="302"/>
      <c r="CA187" s="302"/>
      <c r="CB187" s="302"/>
      <c r="CC187" s="302"/>
      <c r="CD187" s="302"/>
      <c r="CE187" s="302"/>
      <c r="CF187" s="302"/>
      <c r="CG187" s="302"/>
      <c r="CH187" s="302"/>
      <c r="CI187" s="302"/>
      <c r="CJ187" s="302"/>
      <c r="CK187" s="302"/>
      <c r="CL187" s="302"/>
      <c r="CM187" s="302"/>
      <c r="CN187" s="302"/>
      <c r="CO187" s="302"/>
      <c r="CP187" s="302"/>
      <c r="CQ187" s="302"/>
      <c r="CR187" s="302"/>
      <c r="CS187" s="302"/>
      <c r="CT187" s="302"/>
      <c r="CU187" s="302"/>
      <c r="CV187" s="302"/>
      <c r="CW187" s="302"/>
      <c r="CX187" s="302"/>
      <c r="CY187" s="302"/>
      <c r="CZ187" s="302"/>
      <c r="DA187" s="302"/>
      <c r="DB187" s="302"/>
      <c r="DC187" s="302"/>
      <c r="DD187" s="302"/>
      <c r="DE187" s="302"/>
      <c r="DF187" s="302"/>
      <c r="DG187" s="302"/>
      <c r="DH187" s="302"/>
      <c r="DI187" s="302"/>
      <c r="DJ187" s="302"/>
      <c r="DK187" s="302"/>
      <c r="DL187" s="302"/>
      <c r="DM187" s="302"/>
      <c r="DN187" s="302"/>
      <c r="DO187" s="302"/>
      <c r="DP187" s="302"/>
      <c r="DQ187" s="302"/>
      <c r="DR187" s="302"/>
      <c r="DS187" s="302"/>
      <c r="DT187" s="302"/>
      <c r="DU187" s="302"/>
      <c r="DV187" s="302"/>
      <c r="DW187" s="302"/>
      <c r="DX187" s="302"/>
      <c r="DY187" s="302"/>
      <c r="DZ187" s="302"/>
      <c r="EA187" s="302"/>
      <c r="EB187" s="302"/>
      <c r="EC187" s="302"/>
      <c r="ED187" s="302"/>
      <c r="EE187" s="302"/>
      <c r="EF187" s="302"/>
      <c r="EG187" s="302"/>
      <c r="EH187" s="302"/>
      <c r="EI187" s="302"/>
      <c r="EJ187" s="302"/>
      <c r="EK187" s="302"/>
      <c r="EL187" s="302"/>
      <c r="EM187" s="302"/>
      <c r="EN187" s="302"/>
      <c r="EO187" s="302"/>
      <c r="EP187" s="302"/>
      <c r="EQ187" s="302"/>
      <c r="ER187" s="302"/>
      <c r="ES187" s="302"/>
      <c r="ET187" s="302"/>
      <c r="EU187" s="302"/>
      <c r="EV187" s="302"/>
      <c r="EW187" s="302"/>
      <c r="EX187" s="302"/>
      <c r="EY187" s="302"/>
      <c r="EZ187" s="302"/>
    </row>
    <row r="188" spans="1:156" s="27" customFormat="1" x14ac:dyDescent="0.2">
      <c r="A188" s="38"/>
      <c r="B188" s="37"/>
      <c r="C188" s="36">
        <f t="shared" si="16"/>
        <v>0</v>
      </c>
      <c r="D188" s="20"/>
      <c r="E188" s="36">
        <f t="shared" si="17"/>
        <v>0</v>
      </c>
      <c r="H188" s="302"/>
      <c r="I188" s="302"/>
      <c r="J188" s="302"/>
      <c r="K188" s="302"/>
      <c r="L188" s="302"/>
      <c r="M188" s="302"/>
      <c r="N188" s="302"/>
      <c r="O188" s="302"/>
      <c r="P188" s="302"/>
      <c r="Q188" s="100"/>
      <c r="R188" s="302"/>
      <c r="S188" s="302"/>
      <c r="T188" s="302"/>
      <c r="U188" s="302"/>
      <c r="V188" s="302"/>
      <c r="W188" s="302"/>
      <c r="X188" s="302"/>
      <c r="Y188" s="302"/>
      <c r="Z188" s="100"/>
      <c r="AA188" s="100"/>
      <c r="AB188" s="100"/>
      <c r="AC188" s="100"/>
      <c r="AD188" s="100"/>
      <c r="AE188" s="100"/>
      <c r="AF188" s="100"/>
      <c r="AG188" s="302"/>
      <c r="AH188" s="100"/>
      <c r="AI188" s="302"/>
      <c r="AJ188" s="100"/>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302"/>
      <c r="BO188" s="302"/>
      <c r="BP188" s="302"/>
      <c r="BQ188" s="302"/>
      <c r="BR188" s="302"/>
      <c r="BS188" s="302"/>
      <c r="BT188" s="302"/>
      <c r="BU188" s="302"/>
      <c r="BV188" s="302"/>
      <c r="BW188" s="302"/>
      <c r="BX188" s="302"/>
      <c r="BY188" s="302"/>
      <c r="BZ188" s="302"/>
      <c r="CA188" s="302"/>
      <c r="CB188" s="302"/>
      <c r="CC188" s="302"/>
      <c r="CD188" s="302"/>
      <c r="CE188" s="302"/>
      <c r="CF188" s="302"/>
      <c r="CG188" s="302"/>
      <c r="CH188" s="302"/>
      <c r="CI188" s="302"/>
      <c r="CJ188" s="302"/>
      <c r="CK188" s="302"/>
      <c r="CL188" s="302"/>
      <c r="CM188" s="302"/>
      <c r="CN188" s="302"/>
      <c r="CO188" s="302"/>
      <c r="CP188" s="302"/>
      <c r="CQ188" s="302"/>
      <c r="CR188" s="302"/>
      <c r="CS188" s="302"/>
      <c r="CT188" s="302"/>
      <c r="CU188" s="302"/>
      <c r="CV188" s="302"/>
      <c r="CW188" s="302"/>
      <c r="CX188" s="302"/>
      <c r="CY188" s="302"/>
      <c r="CZ188" s="302"/>
      <c r="DA188" s="302"/>
      <c r="DB188" s="302"/>
      <c r="DC188" s="302"/>
      <c r="DD188" s="302"/>
      <c r="DE188" s="302"/>
      <c r="DF188" s="302"/>
      <c r="DG188" s="302"/>
      <c r="DH188" s="302"/>
      <c r="DI188" s="302"/>
      <c r="DJ188" s="302"/>
      <c r="DK188" s="302"/>
      <c r="DL188" s="302"/>
      <c r="DM188" s="302"/>
      <c r="DN188" s="302"/>
      <c r="DO188" s="302"/>
      <c r="DP188" s="302"/>
      <c r="DQ188" s="302"/>
      <c r="DR188" s="302"/>
      <c r="DS188" s="302"/>
      <c r="DT188" s="302"/>
      <c r="DU188" s="302"/>
      <c r="DV188" s="302"/>
      <c r="DW188" s="302"/>
      <c r="DX188" s="302"/>
      <c r="DY188" s="302"/>
      <c r="DZ188" s="302"/>
      <c r="EA188" s="302"/>
      <c r="EB188" s="302"/>
      <c r="EC188" s="302"/>
      <c r="ED188" s="302"/>
      <c r="EE188" s="302"/>
      <c r="EF188" s="302"/>
      <c r="EG188" s="302"/>
      <c r="EH188" s="302"/>
      <c r="EI188" s="302"/>
      <c r="EJ188" s="302"/>
      <c r="EK188" s="302"/>
      <c r="EL188" s="302"/>
      <c r="EM188" s="302"/>
      <c r="EN188" s="302"/>
      <c r="EO188" s="302"/>
      <c r="EP188" s="302"/>
      <c r="EQ188" s="302"/>
      <c r="ER188" s="302"/>
      <c r="ES188" s="302"/>
      <c r="ET188" s="302"/>
      <c r="EU188" s="302"/>
      <c r="EV188" s="302"/>
      <c r="EW188" s="302"/>
      <c r="EX188" s="302"/>
      <c r="EY188" s="302"/>
      <c r="EZ188" s="302"/>
    </row>
    <row r="189" spans="1:156" s="27" customFormat="1" x14ac:dyDescent="0.2">
      <c r="A189" s="38"/>
      <c r="B189" s="37"/>
      <c r="C189" s="36">
        <f t="shared" si="16"/>
        <v>0</v>
      </c>
      <c r="D189" s="20"/>
      <c r="E189" s="36">
        <f t="shared" si="17"/>
        <v>0</v>
      </c>
      <c r="H189" s="302"/>
      <c r="I189" s="302"/>
      <c r="J189" s="302"/>
      <c r="K189" s="302"/>
      <c r="L189" s="302"/>
      <c r="M189" s="302"/>
      <c r="N189" s="302"/>
      <c r="O189" s="302"/>
      <c r="P189" s="302"/>
      <c r="Q189" s="100"/>
      <c r="R189" s="302"/>
      <c r="S189" s="302"/>
      <c r="T189" s="302"/>
      <c r="U189" s="302"/>
      <c r="V189" s="302"/>
      <c r="W189" s="302"/>
      <c r="X189" s="302"/>
      <c r="Y189" s="302"/>
      <c r="Z189" s="100"/>
      <c r="AA189" s="100"/>
      <c r="AB189" s="100"/>
      <c r="AC189" s="100"/>
      <c r="AD189" s="100"/>
      <c r="AE189" s="100"/>
      <c r="AF189" s="100"/>
      <c r="AG189" s="302"/>
      <c r="AH189" s="100"/>
      <c r="AI189" s="302"/>
      <c r="AJ189" s="100"/>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302"/>
      <c r="BO189" s="302"/>
      <c r="BP189" s="302"/>
      <c r="BQ189" s="302"/>
      <c r="BR189" s="302"/>
      <c r="BS189" s="302"/>
      <c r="BT189" s="302"/>
      <c r="BU189" s="302"/>
      <c r="BV189" s="302"/>
      <c r="BW189" s="302"/>
      <c r="BX189" s="302"/>
      <c r="BY189" s="302"/>
      <c r="BZ189" s="302"/>
      <c r="CA189" s="302"/>
      <c r="CB189" s="302"/>
      <c r="CC189" s="302"/>
      <c r="CD189" s="302"/>
      <c r="CE189" s="302"/>
      <c r="CF189" s="302"/>
      <c r="CG189" s="302"/>
      <c r="CH189" s="302"/>
      <c r="CI189" s="302"/>
      <c r="CJ189" s="302"/>
      <c r="CK189" s="302"/>
      <c r="CL189" s="302"/>
      <c r="CM189" s="302"/>
      <c r="CN189" s="302"/>
      <c r="CO189" s="302"/>
      <c r="CP189" s="302"/>
      <c r="CQ189" s="302"/>
      <c r="CR189" s="302"/>
      <c r="CS189" s="302"/>
      <c r="CT189" s="302"/>
      <c r="CU189" s="302"/>
      <c r="CV189" s="302"/>
      <c r="CW189" s="302"/>
      <c r="CX189" s="302"/>
      <c r="CY189" s="302"/>
      <c r="CZ189" s="302"/>
      <c r="DA189" s="302"/>
      <c r="DB189" s="302"/>
      <c r="DC189" s="302"/>
      <c r="DD189" s="302"/>
      <c r="DE189" s="302"/>
      <c r="DF189" s="302"/>
      <c r="DG189" s="302"/>
      <c r="DH189" s="302"/>
      <c r="DI189" s="302"/>
      <c r="DJ189" s="302"/>
      <c r="DK189" s="302"/>
      <c r="DL189" s="302"/>
      <c r="DM189" s="302"/>
      <c r="DN189" s="302"/>
      <c r="DO189" s="302"/>
      <c r="DP189" s="302"/>
      <c r="DQ189" s="302"/>
      <c r="DR189" s="302"/>
      <c r="DS189" s="302"/>
      <c r="DT189" s="302"/>
      <c r="DU189" s="302"/>
      <c r="DV189" s="302"/>
      <c r="DW189" s="302"/>
      <c r="DX189" s="302"/>
      <c r="DY189" s="302"/>
      <c r="DZ189" s="302"/>
      <c r="EA189" s="302"/>
      <c r="EB189" s="302"/>
      <c r="EC189" s="302"/>
      <c r="ED189" s="302"/>
      <c r="EE189" s="302"/>
      <c r="EF189" s="302"/>
      <c r="EG189" s="302"/>
      <c r="EH189" s="302"/>
      <c r="EI189" s="302"/>
      <c r="EJ189" s="302"/>
      <c r="EK189" s="302"/>
      <c r="EL189" s="302"/>
      <c r="EM189" s="302"/>
      <c r="EN189" s="302"/>
      <c r="EO189" s="302"/>
      <c r="EP189" s="302"/>
      <c r="EQ189" s="302"/>
      <c r="ER189" s="302"/>
      <c r="ES189" s="302"/>
      <c r="ET189" s="302"/>
      <c r="EU189" s="302"/>
      <c r="EV189" s="302"/>
      <c r="EW189" s="302"/>
      <c r="EX189" s="302"/>
      <c r="EY189" s="302"/>
      <c r="EZ189" s="302"/>
    </row>
    <row r="190" spans="1:156" s="27" customFormat="1" x14ac:dyDescent="0.2">
      <c r="A190" s="38"/>
      <c r="B190" s="37"/>
      <c r="C190" s="36">
        <f t="shared" si="16"/>
        <v>0</v>
      </c>
      <c r="D190" s="20"/>
      <c r="E190" s="36">
        <f t="shared" si="17"/>
        <v>0</v>
      </c>
      <c r="H190" s="302"/>
      <c r="I190" s="302"/>
      <c r="J190" s="302"/>
      <c r="K190" s="302"/>
      <c r="L190" s="302"/>
      <c r="M190" s="302"/>
      <c r="N190" s="302"/>
      <c r="O190" s="302"/>
      <c r="P190" s="302"/>
      <c r="Q190" s="100"/>
      <c r="R190" s="302"/>
      <c r="S190" s="302"/>
      <c r="T190" s="302"/>
      <c r="U190" s="302"/>
      <c r="V190" s="302"/>
      <c r="W190" s="302"/>
      <c r="X190" s="302"/>
      <c r="Y190" s="302"/>
      <c r="Z190" s="100"/>
      <c r="AA190" s="100"/>
      <c r="AB190" s="100"/>
      <c r="AC190" s="100"/>
      <c r="AD190" s="100"/>
      <c r="AE190" s="100"/>
      <c r="AF190" s="100"/>
      <c r="AG190" s="302"/>
      <c r="AH190" s="100"/>
      <c r="AI190" s="302"/>
      <c r="AJ190" s="100"/>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302"/>
      <c r="BO190" s="302"/>
      <c r="BP190" s="302"/>
      <c r="BQ190" s="302"/>
      <c r="BR190" s="302"/>
      <c r="BS190" s="302"/>
      <c r="BT190" s="302"/>
      <c r="BU190" s="302"/>
      <c r="BV190" s="302"/>
      <c r="BW190" s="302"/>
      <c r="BX190" s="302"/>
      <c r="BY190" s="302"/>
      <c r="BZ190" s="302"/>
      <c r="CA190" s="302"/>
      <c r="CB190" s="302"/>
      <c r="CC190" s="302"/>
      <c r="CD190" s="302"/>
      <c r="CE190" s="302"/>
      <c r="CF190" s="302"/>
      <c r="CG190" s="302"/>
      <c r="CH190" s="302"/>
      <c r="CI190" s="302"/>
      <c r="CJ190" s="302"/>
      <c r="CK190" s="302"/>
      <c r="CL190" s="302"/>
      <c r="CM190" s="302"/>
      <c r="CN190" s="302"/>
      <c r="CO190" s="302"/>
      <c r="CP190" s="302"/>
      <c r="CQ190" s="302"/>
      <c r="CR190" s="302"/>
      <c r="CS190" s="302"/>
      <c r="CT190" s="302"/>
      <c r="CU190" s="302"/>
      <c r="CV190" s="302"/>
      <c r="CW190" s="302"/>
      <c r="CX190" s="302"/>
      <c r="CY190" s="302"/>
      <c r="CZ190" s="302"/>
      <c r="DA190" s="302"/>
      <c r="DB190" s="302"/>
      <c r="DC190" s="302"/>
      <c r="DD190" s="302"/>
      <c r="DE190" s="302"/>
      <c r="DF190" s="302"/>
      <c r="DG190" s="302"/>
      <c r="DH190" s="302"/>
      <c r="DI190" s="302"/>
      <c r="DJ190" s="302"/>
      <c r="DK190" s="302"/>
      <c r="DL190" s="302"/>
      <c r="DM190" s="302"/>
      <c r="DN190" s="302"/>
      <c r="DO190" s="302"/>
      <c r="DP190" s="302"/>
      <c r="DQ190" s="302"/>
      <c r="DR190" s="302"/>
      <c r="DS190" s="302"/>
      <c r="DT190" s="302"/>
      <c r="DU190" s="302"/>
      <c r="DV190" s="302"/>
      <c r="DW190" s="302"/>
      <c r="DX190" s="302"/>
      <c r="DY190" s="302"/>
      <c r="DZ190" s="302"/>
      <c r="EA190" s="302"/>
      <c r="EB190" s="302"/>
      <c r="EC190" s="302"/>
      <c r="ED190" s="302"/>
      <c r="EE190" s="302"/>
      <c r="EF190" s="302"/>
      <c r="EG190" s="302"/>
      <c r="EH190" s="302"/>
      <c r="EI190" s="302"/>
      <c r="EJ190" s="302"/>
      <c r="EK190" s="302"/>
      <c r="EL190" s="302"/>
      <c r="EM190" s="302"/>
      <c r="EN190" s="302"/>
      <c r="EO190" s="302"/>
      <c r="EP190" s="302"/>
      <c r="EQ190" s="302"/>
      <c r="ER190" s="302"/>
      <c r="ES190" s="302"/>
      <c r="ET190" s="302"/>
      <c r="EU190" s="302"/>
      <c r="EV190" s="302"/>
      <c r="EW190" s="302"/>
      <c r="EX190" s="302"/>
      <c r="EY190" s="302"/>
      <c r="EZ190" s="302"/>
    </row>
    <row r="191" spans="1:156" s="27" customFormat="1" x14ac:dyDescent="0.2">
      <c r="A191" s="38"/>
      <c r="B191" s="37"/>
      <c r="C191" s="36">
        <f t="shared" si="16"/>
        <v>0</v>
      </c>
      <c r="D191" s="20"/>
      <c r="E191" s="36">
        <f t="shared" si="17"/>
        <v>0</v>
      </c>
      <c r="H191" s="302"/>
      <c r="I191" s="302"/>
      <c r="J191" s="302"/>
      <c r="K191" s="302"/>
      <c r="L191" s="302"/>
      <c r="M191" s="302"/>
      <c r="N191" s="302"/>
      <c r="O191" s="302"/>
      <c r="P191" s="302"/>
      <c r="Q191" s="100"/>
      <c r="R191" s="302"/>
      <c r="S191" s="302"/>
      <c r="T191" s="302"/>
      <c r="U191" s="302"/>
      <c r="V191" s="302"/>
      <c r="W191" s="302"/>
      <c r="X191" s="302"/>
      <c r="Y191" s="302"/>
      <c r="Z191" s="100"/>
      <c r="AA191" s="100"/>
      <c r="AB191" s="100"/>
      <c r="AC191" s="100"/>
      <c r="AD191" s="100"/>
      <c r="AE191" s="100"/>
      <c r="AF191" s="100"/>
      <c r="AG191" s="302"/>
      <c r="AH191" s="100"/>
      <c r="AI191" s="302"/>
      <c r="AJ191" s="100"/>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302"/>
      <c r="BO191" s="302"/>
      <c r="BP191" s="302"/>
      <c r="BQ191" s="302"/>
      <c r="BR191" s="302"/>
      <c r="BS191" s="302"/>
      <c r="BT191" s="302"/>
      <c r="BU191" s="302"/>
      <c r="BV191" s="302"/>
      <c r="BW191" s="302"/>
      <c r="BX191" s="302"/>
      <c r="BY191" s="302"/>
      <c r="BZ191" s="302"/>
      <c r="CA191" s="302"/>
      <c r="CB191" s="302"/>
      <c r="CC191" s="302"/>
      <c r="CD191" s="302"/>
      <c r="CE191" s="302"/>
      <c r="CF191" s="302"/>
      <c r="CG191" s="302"/>
      <c r="CH191" s="302"/>
      <c r="CI191" s="302"/>
      <c r="CJ191" s="302"/>
      <c r="CK191" s="302"/>
      <c r="CL191" s="302"/>
      <c r="CM191" s="302"/>
      <c r="CN191" s="302"/>
      <c r="CO191" s="302"/>
      <c r="CP191" s="302"/>
      <c r="CQ191" s="302"/>
      <c r="CR191" s="302"/>
      <c r="CS191" s="302"/>
      <c r="CT191" s="302"/>
      <c r="CU191" s="302"/>
      <c r="CV191" s="302"/>
      <c r="CW191" s="302"/>
      <c r="CX191" s="302"/>
      <c r="CY191" s="302"/>
      <c r="CZ191" s="302"/>
      <c r="DA191" s="302"/>
      <c r="DB191" s="302"/>
      <c r="DC191" s="302"/>
      <c r="DD191" s="302"/>
      <c r="DE191" s="302"/>
      <c r="DF191" s="302"/>
      <c r="DG191" s="302"/>
      <c r="DH191" s="302"/>
      <c r="DI191" s="302"/>
      <c r="DJ191" s="302"/>
      <c r="DK191" s="302"/>
      <c r="DL191" s="302"/>
      <c r="DM191" s="302"/>
      <c r="DN191" s="302"/>
      <c r="DO191" s="302"/>
      <c r="DP191" s="302"/>
      <c r="DQ191" s="302"/>
      <c r="DR191" s="302"/>
      <c r="DS191" s="302"/>
      <c r="DT191" s="302"/>
      <c r="DU191" s="302"/>
      <c r="DV191" s="302"/>
      <c r="DW191" s="302"/>
      <c r="DX191" s="302"/>
      <c r="DY191" s="302"/>
      <c r="DZ191" s="302"/>
      <c r="EA191" s="302"/>
      <c r="EB191" s="302"/>
      <c r="EC191" s="302"/>
      <c r="ED191" s="302"/>
      <c r="EE191" s="302"/>
      <c r="EF191" s="302"/>
      <c r="EG191" s="302"/>
      <c r="EH191" s="302"/>
      <c r="EI191" s="302"/>
      <c r="EJ191" s="302"/>
      <c r="EK191" s="302"/>
      <c r="EL191" s="302"/>
      <c r="EM191" s="302"/>
      <c r="EN191" s="302"/>
      <c r="EO191" s="302"/>
      <c r="EP191" s="302"/>
      <c r="EQ191" s="302"/>
      <c r="ER191" s="302"/>
      <c r="ES191" s="302"/>
      <c r="ET191" s="302"/>
      <c r="EU191" s="302"/>
      <c r="EV191" s="302"/>
      <c r="EW191" s="302"/>
      <c r="EX191" s="302"/>
      <c r="EY191" s="302"/>
      <c r="EZ191" s="302"/>
    </row>
    <row r="192" spans="1:156" s="27" customFormat="1" x14ac:dyDescent="0.2">
      <c r="A192" s="38"/>
      <c r="B192" s="37"/>
      <c r="C192" s="36">
        <f t="shared" si="16"/>
        <v>0</v>
      </c>
      <c r="D192" s="20"/>
      <c r="E192" s="36">
        <f t="shared" si="17"/>
        <v>0</v>
      </c>
      <c r="H192" s="302"/>
      <c r="I192" s="302"/>
      <c r="J192" s="302"/>
      <c r="K192" s="302"/>
      <c r="L192" s="302"/>
      <c r="M192" s="302"/>
      <c r="N192" s="302"/>
      <c r="O192" s="302"/>
      <c r="P192" s="302"/>
      <c r="Q192" s="100"/>
      <c r="R192" s="302"/>
      <c r="S192" s="302"/>
      <c r="T192" s="302"/>
      <c r="U192" s="302"/>
      <c r="V192" s="302"/>
      <c r="W192" s="302"/>
      <c r="X192" s="302"/>
      <c r="Y192" s="302"/>
      <c r="Z192" s="100"/>
      <c r="AA192" s="100"/>
      <c r="AB192" s="100"/>
      <c r="AC192" s="100"/>
      <c r="AD192" s="100"/>
      <c r="AE192" s="100"/>
      <c r="AF192" s="100"/>
      <c r="AG192" s="302"/>
      <c r="AH192" s="100"/>
      <c r="AI192" s="302"/>
      <c r="AJ192" s="100"/>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302"/>
      <c r="BO192" s="302"/>
      <c r="BP192" s="302"/>
      <c r="BQ192" s="302"/>
      <c r="BR192" s="302"/>
      <c r="BS192" s="302"/>
      <c r="BT192" s="302"/>
      <c r="BU192" s="302"/>
      <c r="BV192" s="302"/>
      <c r="BW192" s="302"/>
      <c r="BX192" s="302"/>
      <c r="BY192" s="302"/>
      <c r="BZ192" s="302"/>
      <c r="CA192" s="302"/>
      <c r="CB192" s="302"/>
      <c r="CC192" s="302"/>
      <c r="CD192" s="302"/>
      <c r="CE192" s="302"/>
      <c r="CF192" s="302"/>
      <c r="CG192" s="302"/>
      <c r="CH192" s="302"/>
      <c r="CI192" s="302"/>
      <c r="CJ192" s="302"/>
      <c r="CK192" s="302"/>
      <c r="CL192" s="302"/>
      <c r="CM192" s="302"/>
      <c r="CN192" s="302"/>
      <c r="CO192" s="302"/>
      <c r="CP192" s="302"/>
      <c r="CQ192" s="302"/>
      <c r="CR192" s="302"/>
      <c r="CS192" s="302"/>
      <c r="CT192" s="302"/>
      <c r="CU192" s="302"/>
      <c r="CV192" s="302"/>
      <c r="CW192" s="302"/>
      <c r="CX192" s="302"/>
      <c r="CY192" s="302"/>
      <c r="CZ192" s="302"/>
      <c r="DA192" s="302"/>
      <c r="DB192" s="302"/>
      <c r="DC192" s="302"/>
      <c r="DD192" s="302"/>
      <c r="DE192" s="302"/>
      <c r="DF192" s="302"/>
      <c r="DG192" s="302"/>
      <c r="DH192" s="302"/>
      <c r="DI192" s="302"/>
      <c r="DJ192" s="302"/>
      <c r="DK192" s="302"/>
      <c r="DL192" s="302"/>
      <c r="DM192" s="302"/>
      <c r="DN192" s="302"/>
      <c r="DO192" s="302"/>
      <c r="DP192" s="302"/>
      <c r="DQ192" s="302"/>
      <c r="DR192" s="302"/>
      <c r="DS192" s="302"/>
      <c r="DT192" s="302"/>
      <c r="DU192" s="302"/>
      <c r="DV192" s="302"/>
      <c r="DW192" s="302"/>
      <c r="DX192" s="302"/>
      <c r="DY192" s="302"/>
      <c r="DZ192" s="302"/>
      <c r="EA192" s="302"/>
      <c r="EB192" s="302"/>
      <c r="EC192" s="302"/>
      <c r="ED192" s="302"/>
      <c r="EE192" s="302"/>
      <c r="EF192" s="302"/>
      <c r="EG192" s="302"/>
      <c r="EH192" s="302"/>
      <c r="EI192" s="302"/>
      <c r="EJ192" s="302"/>
      <c r="EK192" s="302"/>
      <c r="EL192" s="302"/>
      <c r="EM192" s="302"/>
      <c r="EN192" s="302"/>
      <c r="EO192" s="302"/>
      <c r="EP192" s="302"/>
      <c r="EQ192" s="302"/>
      <c r="ER192" s="302"/>
      <c r="ES192" s="302"/>
      <c r="ET192" s="302"/>
      <c r="EU192" s="302"/>
      <c r="EV192" s="302"/>
      <c r="EW192" s="302"/>
      <c r="EX192" s="302"/>
      <c r="EY192" s="302"/>
      <c r="EZ192" s="302"/>
    </row>
    <row r="193" spans="1:156" s="27" customFormat="1" x14ac:dyDescent="0.2">
      <c r="A193" s="38"/>
      <c r="B193" s="37"/>
      <c r="C193" s="36">
        <f t="shared" si="16"/>
        <v>0</v>
      </c>
      <c r="D193" s="20"/>
      <c r="E193" s="36">
        <f t="shared" si="17"/>
        <v>0</v>
      </c>
      <c r="H193" s="302"/>
      <c r="I193" s="302"/>
      <c r="J193" s="302"/>
      <c r="K193" s="302"/>
      <c r="L193" s="302"/>
      <c r="M193" s="302"/>
      <c r="N193" s="302"/>
      <c r="O193" s="302"/>
      <c r="P193" s="302"/>
      <c r="Q193" s="100"/>
      <c r="R193" s="302"/>
      <c r="S193" s="302"/>
      <c r="T193" s="302"/>
      <c r="U193" s="302"/>
      <c r="V193" s="302"/>
      <c r="W193" s="302"/>
      <c r="X193" s="302"/>
      <c r="Y193" s="302"/>
      <c r="Z193" s="100"/>
      <c r="AA193" s="100"/>
      <c r="AB193" s="100"/>
      <c r="AC193" s="100"/>
      <c r="AD193" s="100"/>
      <c r="AE193" s="100"/>
      <c r="AF193" s="100"/>
      <c r="AG193" s="302"/>
      <c r="AH193" s="100"/>
      <c r="AI193" s="302"/>
      <c r="AJ193" s="100"/>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302"/>
      <c r="BO193" s="302"/>
      <c r="BP193" s="302"/>
      <c r="BQ193" s="302"/>
      <c r="BR193" s="302"/>
      <c r="BS193" s="302"/>
      <c r="BT193" s="302"/>
      <c r="BU193" s="302"/>
      <c r="BV193" s="302"/>
      <c r="BW193" s="302"/>
      <c r="BX193" s="302"/>
      <c r="BY193" s="302"/>
      <c r="BZ193" s="302"/>
      <c r="CA193" s="302"/>
      <c r="CB193" s="302"/>
      <c r="CC193" s="302"/>
      <c r="CD193" s="302"/>
      <c r="CE193" s="302"/>
      <c r="CF193" s="302"/>
      <c r="CG193" s="302"/>
      <c r="CH193" s="302"/>
      <c r="CI193" s="302"/>
      <c r="CJ193" s="302"/>
      <c r="CK193" s="302"/>
      <c r="CL193" s="302"/>
      <c r="CM193" s="302"/>
      <c r="CN193" s="302"/>
      <c r="CO193" s="302"/>
      <c r="CP193" s="302"/>
      <c r="CQ193" s="302"/>
      <c r="CR193" s="302"/>
      <c r="CS193" s="302"/>
      <c r="CT193" s="302"/>
      <c r="CU193" s="302"/>
      <c r="CV193" s="302"/>
      <c r="CW193" s="302"/>
      <c r="CX193" s="302"/>
      <c r="CY193" s="302"/>
      <c r="CZ193" s="302"/>
      <c r="DA193" s="302"/>
      <c r="DB193" s="302"/>
      <c r="DC193" s="302"/>
      <c r="DD193" s="302"/>
      <c r="DE193" s="302"/>
      <c r="DF193" s="302"/>
      <c r="DG193" s="302"/>
      <c r="DH193" s="302"/>
      <c r="DI193" s="302"/>
      <c r="DJ193" s="302"/>
      <c r="DK193" s="302"/>
      <c r="DL193" s="302"/>
      <c r="DM193" s="302"/>
      <c r="DN193" s="302"/>
      <c r="DO193" s="302"/>
      <c r="DP193" s="302"/>
      <c r="DQ193" s="302"/>
      <c r="DR193" s="302"/>
      <c r="DS193" s="302"/>
      <c r="DT193" s="302"/>
      <c r="DU193" s="302"/>
      <c r="DV193" s="302"/>
      <c r="DW193" s="302"/>
      <c r="DX193" s="302"/>
      <c r="DY193" s="302"/>
      <c r="DZ193" s="302"/>
      <c r="EA193" s="302"/>
      <c r="EB193" s="302"/>
      <c r="EC193" s="302"/>
      <c r="ED193" s="302"/>
      <c r="EE193" s="302"/>
      <c r="EF193" s="302"/>
      <c r="EG193" s="302"/>
      <c r="EH193" s="302"/>
      <c r="EI193" s="302"/>
      <c r="EJ193" s="302"/>
      <c r="EK193" s="302"/>
      <c r="EL193" s="302"/>
      <c r="EM193" s="302"/>
      <c r="EN193" s="302"/>
      <c r="EO193" s="302"/>
      <c r="EP193" s="302"/>
      <c r="EQ193" s="302"/>
      <c r="ER193" s="302"/>
      <c r="ES193" s="302"/>
      <c r="ET193" s="302"/>
      <c r="EU193" s="302"/>
      <c r="EV193" s="302"/>
      <c r="EW193" s="302"/>
      <c r="EX193" s="302"/>
      <c r="EY193" s="302"/>
      <c r="EZ193" s="302"/>
    </row>
    <row r="194" spans="1:156" s="27" customFormat="1" x14ac:dyDescent="0.2">
      <c r="A194" s="38"/>
      <c r="B194" s="37"/>
      <c r="C194" s="36">
        <f t="shared" si="16"/>
        <v>0</v>
      </c>
      <c r="D194" s="20"/>
      <c r="E194" s="36">
        <f t="shared" si="17"/>
        <v>0</v>
      </c>
      <c r="H194" s="302"/>
      <c r="I194" s="302"/>
      <c r="J194" s="302"/>
      <c r="K194" s="302"/>
      <c r="L194" s="302"/>
      <c r="M194" s="302"/>
      <c r="N194" s="302"/>
      <c r="O194" s="302"/>
      <c r="P194" s="302"/>
      <c r="Q194" s="100"/>
      <c r="R194" s="302"/>
      <c r="S194" s="302"/>
      <c r="T194" s="302"/>
      <c r="U194" s="302"/>
      <c r="V194" s="302"/>
      <c r="W194" s="302"/>
      <c r="X194" s="302"/>
      <c r="Y194" s="302"/>
      <c r="Z194" s="100"/>
      <c r="AA194" s="100"/>
      <c r="AB194" s="100"/>
      <c r="AC194" s="100"/>
      <c r="AD194" s="100"/>
      <c r="AE194" s="100"/>
      <c r="AF194" s="100"/>
      <c r="AG194" s="302"/>
      <c r="AH194" s="100"/>
      <c r="AI194" s="302"/>
      <c r="AJ194" s="100"/>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302"/>
      <c r="BO194" s="302"/>
      <c r="BP194" s="302"/>
      <c r="BQ194" s="302"/>
      <c r="BR194" s="302"/>
      <c r="BS194" s="302"/>
      <c r="BT194" s="302"/>
      <c r="BU194" s="302"/>
      <c r="BV194" s="302"/>
      <c r="BW194" s="302"/>
      <c r="BX194" s="302"/>
      <c r="BY194" s="302"/>
      <c r="BZ194" s="302"/>
      <c r="CA194" s="302"/>
      <c r="CB194" s="302"/>
      <c r="CC194" s="302"/>
      <c r="CD194" s="302"/>
      <c r="CE194" s="302"/>
      <c r="CF194" s="302"/>
      <c r="CG194" s="302"/>
      <c r="CH194" s="302"/>
      <c r="CI194" s="302"/>
      <c r="CJ194" s="302"/>
      <c r="CK194" s="302"/>
      <c r="CL194" s="302"/>
      <c r="CM194" s="302"/>
      <c r="CN194" s="302"/>
      <c r="CO194" s="302"/>
      <c r="CP194" s="302"/>
      <c r="CQ194" s="302"/>
      <c r="CR194" s="302"/>
      <c r="CS194" s="302"/>
      <c r="CT194" s="302"/>
      <c r="CU194" s="302"/>
      <c r="CV194" s="302"/>
      <c r="CW194" s="302"/>
      <c r="CX194" s="302"/>
      <c r="CY194" s="302"/>
      <c r="CZ194" s="302"/>
      <c r="DA194" s="302"/>
      <c r="DB194" s="302"/>
      <c r="DC194" s="302"/>
      <c r="DD194" s="302"/>
      <c r="DE194" s="302"/>
      <c r="DF194" s="302"/>
      <c r="DG194" s="302"/>
      <c r="DH194" s="302"/>
      <c r="DI194" s="302"/>
      <c r="DJ194" s="302"/>
      <c r="DK194" s="302"/>
      <c r="DL194" s="302"/>
      <c r="DM194" s="302"/>
      <c r="DN194" s="302"/>
      <c r="DO194" s="302"/>
      <c r="DP194" s="302"/>
      <c r="DQ194" s="302"/>
      <c r="DR194" s="302"/>
      <c r="DS194" s="302"/>
      <c r="DT194" s="302"/>
      <c r="DU194" s="302"/>
      <c r="DV194" s="302"/>
      <c r="DW194" s="302"/>
      <c r="DX194" s="302"/>
      <c r="DY194" s="302"/>
      <c r="DZ194" s="302"/>
      <c r="EA194" s="302"/>
      <c r="EB194" s="302"/>
      <c r="EC194" s="302"/>
      <c r="ED194" s="302"/>
      <c r="EE194" s="302"/>
      <c r="EF194" s="302"/>
      <c r="EG194" s="302"/>
      <c r="EH194" s="302"/>
      <c r="EI194" s="302"/>
      <c r="EJ194" s="302"/>
      <c r="EK194" s="302"/>
      <c r="EL194" s="302"/>
      <c r="EM194" s="302"/>
      <c r="EN194" s="302"/>
      <c r="EO194" s="302"/>
      <c r="EP194" s="302"/>
      <c r="EQ194" s="302"/>
      <c r="ER194" s="302"/>
      <c r="ES194" s="302"/>
      <c r="ET194" s="302"/>
      <c r="EU194" s="302"/>
      <c r="EV194" s="302"/>
      <c r="EW194" s="302"/>
      <c r="EX194" s="302"/>
      <c r="EY194" s="302"/>
      <c r="EZ194" s="302"/>
    </row>
    <row r="195" spans="1:156" s="27" customFormat="1" x14ac:dyDescent="0.2">
      <c r="A195" s="38"/>
      <c r="B195" s="37"/>
      <c r="C195" s="36">
        <f t="shared" si="16"/>
        <v>0</v>
      </c>
      <c r="D195" s="20"/>
      <c r="E195" s="36">
        <f t="shared" si="17"/>
        <v>0</v>
      </c>
      <c r="H195" s="302"/>
      <c r="I195" s="302"/>
      <c r="J195" s="302"/>
      <c r="K195" s="302"/>
      <c r="L195" s="302"/>
      <c r="M195" s="302"/>
      <c r="N195" s="302"/>
      <c r="O195" s="302"/>
      <c r="P195" s="302"/>
      <c r="Q195" s="100"/>
      <c r="R195" s="302"/>
      <c r="S195" s="302"/>
      <c r="T195" s="302"/>
      <c r="U195" s="302"/>
      <c r="V195" s="302"/>
      <c r="W195" s="302"/>
      <c r="X195" s="302"/>
      <c r="Y195" s="302"/>
      <c r="Z195" s="100"/>
      <c r="AA195" s="100"/>
      <c r="AB195" s="100"/>
      <c r="AC195" s="100"/>
      <c r="AD195" s="100"/>
      <c r="AE195" s="100"/>
      <c r="AF195" s="100"/>
      <c r="AG195" s="302"/>
      <c r="AH195" s="100"/>
      <c r="AI195" s="302"/>
      <c r="AJ195" s="100"/>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302"/>
      <c r="BO195" s="302"/>
      <c r="BP195" s="302"/>
      <c r="BQ195" s="302"/>
      <c r="BR195" s="302"/>
      <c r="BS195" s="302"/>
      <c r="BT195" s="302"/>
      <c r="BU195" s="302"/>
      <c r="BV195" s="302"/>
      <c r="BW195" s="302"/>
      <c r="BX195" s="302"/>
      <c r="BY195" s="302"/>
      <c r="BZ195" s="302"/>
      <c r="CA195" s="302"/>
      <c r="CB195" s="302"/>
      <c r="CC195" s="302"/>
      <c r="CD195" s="302"/>
      <c r="CE195" s="302"/>
      <c r="CF195" s="302"/>
      <c r="CG195" s="302"/>
      <c r="CH195" s="302"/>
      <c r="CI195" s="302"/>
      <c r="CJ195" s="302"/>
      <c r="CK195" s="302"/>
      <c r="CL195" s="302"/>
      <c r="CM195" s="302"/>
      <c r="CN195" s="302"/>
      <c r="CO195" s="302"/>
      <c r="CP195" s="302"/>
      <c r="CQ195" s="302"/>
      <c r="CR195" s="302"/>
      <c r="CS195" s="302"/>
      <c r="CT195" s="302"/>
      <c r="CU195" s="302"/>
      <c r="CV195" s="302"/>
      <c r="CW195" s="302"/>
      <c r="CX195" s="302"/>
      <c r="CY195" s="302"/>
      <c r="CZ195" s="302"/>
      <c r="DA195" s="302"/>
      <c r="DB195" s="302"/>
      <c r="DC195" s="302"/>
      <c r="DD195" s="302"/>
      <c r="DE195" s="302"/>
      <c r="DF195" s="302"/>
      <c r="DG195" s="302"/>
      <c r="DH195" s="302"/>
      <c r="DI195" s="302"/>
      <c r="DJ195" s="302"/>
      <c r="DK195" s="302"/>
      <c r="DL195" s="302"/>
      <c r="DM195" s="302"/>
      <c r="DN195" s="302"/>
      <c r="DO195" s="302"/>
      <c r="DP195" s="302"/>
      <c r="DQ195" s="302"/>
      <c r="DR195" s="302"/>
      <c r="DS195" s="302"/>
      <c r="DT195" s="302"/>
      <c r="DU195" s="302"/>
      <c r="DV195" s="302"/>
      <c r="DW195" s="302"/>
      <c r="DX195" s="302"/>
      <c r="DY195" s="302"/>
      <c r="DZ195" s="302"/>
      <c r="EA195" s="302"/>
      <c r="EB195" s="302"/>
      <c r="EC195" s="302"/>
      <c r="ED195" s="302"/>
      <c r="EE195" s="302"/>
      <c r="EF195" s="302"/>
      <c r="EG195" s="302"/>
      <c r="EH195" s="302"/>
      <c r="EI195" s="302"/>
      <c r="EJ195" s="302"/>
      <c r="EK195" s="302"/>
      <c r="EL195" s="302"/>
      <c r="EM195" s="302"/>
      <c r="EN195" s="302"/>
      <c r="EO195" s="302"/>
      <c r="EP195" s="302"/>
      <c r="EQ195" s="302"/>
      <c r="ER195" s="302"/>
      <c r="ES195" s="302"/>
      <c r="ET195" s="302"/>
      <c r="EU195" s="302"/>
      <c r="EV195" s="302"/>
      <c r="EW195" s="302"/>
      <c r="EX195" s="302"/>
      <c r="EY195" s="302"/>
      <c r="EZ195" s="302"/>
    </row>
    <row r="196" spans="1:156" s="27" customFormat="1" x14ac:dyDescent="0.2">
      <c r="A196" s="38"/>
      <c r="B196" s="37"/>
      <c r="C196" s="36">
        <f t="shared" si="16"/>
        <v>0</v>
      </c>
      <c r="D196" s="20"/>
      <c r="E196" s="36">
        <f t="shared" si="17"/>
        <v>0</v>
      </c>
      <c r="H196" s="302"/>
      <c r="I196" s="302"/>
      <c r="J196" s="302"/>
      <c r="K196" s="302"/>
      <c r="L196" s="302"/>
      <c r="M196" s="302"/>
      <c r="N196" s="302"/>
      <c r="O196" s="302"/>
      <c r="P196" s="302"/>
      <c r="Q196" s="100"/>
      <c r="R196" s="302"/>
      <c r="S196" s="302"/>
      <c r="T196" s="302"/>
      <c r="U196" s="302"/>
      <c r="V196" s="302"/>
      <c r="W196" s="302"/>
      <c r="X196" s="302"/>
      <c r="Y196" s="302"/>
      <c r="Z196" s="100"/>
      <c r="AA196" s="100"/>
      <c r="AB196" s="100"/>
      <c r="AC196" s="100"/>
      <c r="AD196" s="100"/>
      <c r="AE196" s="100"/>
      <c r="AF196" s="100"/>
      <c r="AG196" s="302"/>
      <c r="AH196" s="100"/>
      <c r="AI196" s="302"/>
      <c r="AJ196" s="100"/>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302"/>
      <c r="BO196" s="302"/>
      <c r="BP196" s="302"/>
      <c r="BQ196" s="302"/>
      <c r="BR196" s="302"/>
      <c r="BS196" s="302"/>
      <c r="BT196" s="302"/>
      <c r="BU196" s="302"/>
      <c r="BV196" s="302"/>
      <c r="BW196" s="302"/>
      <c r="BX196" s="302"/>
      <c r="BY196" s="302"/>
      <c r="BZ196" s="302"/>
      <c r="CA196" s="302"/>
      <c r="CB196" s="302"/>
      <c r="CC196" s="302"/>
      <c r="CD196" s="302"/>
      <c r="CE196" s="302"/>
      <c r="CF196" s="302"/>
      <c r="CG196" s="302"/>
      <c r="CH196" s="302"/>
      <c r="CI196" s="302"/>
      <c r="CJ196" s="302"/>
      <c r="CK196" s="302"/>
      <c r="CL196" s="302"/>
      <c r="CM196" s="302"/>
      <c r="CN196" s="302"/>
      <c r="CO196" s="302"/>
      <c r="CP196" s="302"/>
      <c r="CQ196" s="302"/>
      <c r="CR196" s="302"/>
      <c r="CS196" s="302"/>
      <c r="CT196" s="302"/>
      <c r="CU196" s="302"/>
      <c r="CV196" s="302"/>
      <c r="CW196" s="302"/>
      <c r="CX196" s="302"/>
      <c r="CY196" s="302"/>
      <c r="CZ196" s="302"/>
      <c r="DA196" s="302"/>
      <c r="DB196" s="302"/>
      <c r="DC196" s="302"/>
      <c r="DD196" s="302"/>
      <c r="DE196" s="302"/>
      <c r="DF196" s="302"/>
      <c r="DG196" s="302"/>
      <c r="DH196" s="302"/>
      <c r="DI196" s="302"/>
      <c r="DJ196" s="302"/>
      <c r="DK196" s="302"/>
      <c r="DL196" s="302"/>
      <c r="DM196" s="302"/>
      <c r="DN196" s="302"/>
      <c r="DO196" s="302"/>
      <c r="DP196" s="302"/>
      <c r="DQ196" s="302"/>
      <c r="DR196" s="302"/>
      <c r="DS196" s="302"/>
      <c r="DT196" s="302"/>
      <c r="DU196" s="302"/>
      <c r="DV196" s="302"/>
      <c r="DW196" s="302"/>
      <c r="DX196" s="302"/>
      <c r="DY196" s="302"/>
      <c r="DZ196" s="302"/>
      <c r="EA196" s="302"/>
      <c r="EB196" s="302"/>
      <c r="EC196" s="302"/>
      <c r="ED196" s="302"/>
      <c r="EE196" s="302"/>
      <c r="EF196" s="302"/>
      <c r="EG196" s="302"/>
      <c r="EH196" s="302"/>
      <c r="EI196" s="302"/>
      <c r="EJ196" s="302"/>
      <c r="EK196" s="302"/>
      <c r="EL196" s="302"/>
      <c r="EM196" s="302"/>
      <c r="EN196" s="302"/>
      <c r="EO196" s="302"/>
      <c r="EP196" s="302"/>
      <c r="EQ196" s="302"/>
      <c r="ER196" s="302"/>
      <c r="ES196" s="302"/>
      <c r="ET196" s="302"/>
      <c r="EU196" s="302"/>
      <c r="EV196" s="302"/>
      <c r="EW196" s="302"/>
      <c r="EX196" s="302"/>
      <c r="EY196" s="302"/>
      <c r="EZ196" s="302"/>
    </row>
    <row r="197" spans="1:156" s="27" customFormat="1" x14ac:dyDescent="0.2">
      <c r="A197" s="38"/>
      <c r="B197" s="37"/>
      <c r="C197" s="36">
        <f t="shared" si="16"/>
        <v>0</v>
      </c>
      <c r="D197" s="20"/>
      <c r="E197" s="36">
        <f t="shared" si="17"/>
        <v>0</v>
      </c>
      <c r="H197" s="302"/>
      <c r="I197" s="302"/>
      <c r="J197" s="302"/>
      <c r="K197" s="302"/>
      <c r="L197" s="302"/>
      <c r="M197" s="302"/>
      <c r="N197" s="302"/>
      <c r="O197" s="302"/>
      <c r="P197" s="302"/>
      <c r="Q197" s="100"/>
      <c r="R197" s="302"/>
      <c r="S197" s="302"/>
      <c r="T197" s="302"/>
      <c r="U197" s="302"/>
      <c r="V197" s="302"/>
      <c r="W197" s="302"/>
      <c r="X197" s="302"/>
      <c r="Y197" s="302"/>
      <c r="Z197" s="100"/>
      <c r="AA197" s="100"/>
      <c r="AB197" s="100"/>
      <c r="AC197" s="100"/>
      <c r="AD197" s="100"/>
      <c r="AE197" s="100"/>
      <c r="AF197" s="100"/>
      <c r="AG197" s="302"/>
      <c r="AH197" s="100"/>
      <c r="AI197" s="302"/>
      <c r="AJ197" s="100"/>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302"/>
      <c r="BO197" s="302"/>
      <c r="BP197" s="302"/>
      <c r="BQ197" s="302"/>
      <c r="BR197" s="302"/>
      <c r="BS197" s="302"/>
      <c r="BT197" s="302"/>
      <c r="BU197" s="302"/>
      <c r="BV197" s="302"/>
      <c r="BW197" s="302"/>
      <c r="BX197" s="302"/>
      <c r="BY197" s="302"/>
      <c r="BZ197" s="302"/>
      <c r="CA197" s="302"/>
      <c r="CB197" s="302"/>
      <c r="CC197" s="302"/>
      <c r="CD197" s="302"/>
      <c r="CE197" s="302"/>
      <c r="CF197" s="302"/>
      <c r="CG197" s="302"/>
      <c r="CH197" s="302"/>
      <c r="CI197" s="302"/>
      <c r="CJ197" s="302"/>
      <c r="CK197" s="302"/>
      <c r="CL197" s="302"/>
      <c r="CM197" s="302"/>
      <c r="CN197" s="302"/>
      <c r="CO197" s="302"/>
      <c r="CP197" s="302"/>
      <c r="CQ197" s="302"/>
      <c r="CR197" s="302"/>
      <c r="CS197" s="302"/>
      <c r="CT197" s="302"/>
      <c r="CU197" s="302"/>
      <c r="CV197" s="302"/>
      <c r="CW197" s="302"/>
      <c r="CX197" s="302"/>
      <c r="CY197" s="302"/>
      <c r="CZ197" s="302"/>
      <c r="DA197" s="302"/>
      <c r="DB197" s="302"/>
      <c r="DC197" s="302"/>
      <c r="DD197" s="302"/>
      <c r="DE197" s="302"/>
      <c r="DF197" s="302"/>
      <c r="DG197" s="302"/>
      <c r="DH197" s="302"/>
      <c r="DI197" s="302"/>
      <c r="DJ197" s="302"/>
      <c r="DK197" s="302"/>
      <c r="DL197" s="302"/>
      <c r="DM197" s="302"/>
      <c r="DN197" s="302"/>
      <c r="DO197" s="302"/>
      <c r="DP197" s="302"/>
      <c r="DQ197" s="302"/>
      <c r="DR197" s="302"/>
      <c r="DS197" s="302"/>
      <c r="DT197" s="302"/>
      <c r="DU197" s="302"/>
      <c r="DV197" s="302"/>
      <c r="DW197" s="302"/>
      <c r="DX197" s="302"/>
      <c r="DY197" s="302"/>
      <c r="DZ197" s="302"/>
      <c r="EA197" s="302"/>
      <c r="EB197" s="302"/>
      <c r="EC197" s="302"/>
      <c r="ED197" s="302"/>
      <c r="EE197" s="302"/>
      <c r="EF197" s="302"/>
      <c r="EG197" s="302"/>
      <c r="EH197" s="302"/>
      <c r="EI197" s="302"/>
      <c r="EJ197" s="302"/>
      <c r="EK197" s="302"/>
      <c r="EL197" s="302"/>
      <c r="EM197" s="302"/>
      <c r="EN197" s="302"/>
      <c r="EO197" s="302"/>
      <c r="EP197" s="302"/>
      <c r="EQ197" s="302"/>
      <c r="ER197" s="302"/>
      <c r="ES197" s="302"/>
      <c r="ET197" s="302"/>
      <c r="EU197" s="302"/>
      <c r="EV197" s="302"/>
      <c r="EW197" s="302"/>
      <c r="EX197" s="302"/>
      <c r="EY197" s="302"/>
      <c r="EZ197" s="302"/>
    </row>
    <row r="198" spans="1:156" s="27" customFormat="1" x14ac:dyDescent="0.2">
      <c r="A198" s="38"/>
      <c r="B198" s="37"/>
      <c r="C198" s="36">
        <f t="shared" si="16"/>
        <v>0</v>
      </c>
      <c r="D198" s="20"/>
      <c r="E198" s="36">
        <f t="shared" si="17"/>
        <v>0</v>
      </c>
      <c r="H198" s="302"/>
      <c r="I198" s="302"/>
      <c r="J198" s="302"/>
      <c r="K198" s="302"/>
      <c r="L198" s="302"/>
      <c r="M198" s="302"/>
      <c r="N198" s="302"/>
      <c r="O198" s="302"/>
      <c r="P198" s="302"/>
      <c r="Q198" s="100"/>
      <c r="R198" s="302"/>
      <c r="S198" s="302"/>
      <c r="T198" s="302"/>
      <c r="U198" s="302"/>
      <c r="V198" s="302"/>
      <c r="W198" s="302"/>
      <c r="X198" s="302"/>
      <c r="Y198" s="302"/>
      <c r="Z198" s="100"/>
      <c r="AA198" s="100"/>
      <c r="AB198" s="100"/>
      <c r="AC198" s="100"/>
      <c r="AD198" s="100"/>
      <c r="AE198" s="100"/>
      <c r="AF198" s="100"/>
      <c r="AG198" s="302"/>
      <c r="AH198" s="100"/>
      <c r="AI198" s="302"/>
      <c r="AJ198" s="100"/>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302"/>
      <c r="BO198" s="302"/>
      <c r="BP198" s="302"/>
      <c r="BQ198" s="302"/>
      <c r="BR198" s="302"/>
      <c r="BS198" s="302"/>
      <c r="BT198" s="302"/>
      <c r="BU198" s="302"/>
      <c r="BV198" s="302"/>
      <c r="BW198" s="302"/>
      <c r="BX198" s="302"/>
      <c r="BY198" s="302"/>
      <c r="BZ198" s="302"/>
      <c r="CA198" s="302"/>
      <c r="CB198" s="302"/>
      <c r="CC198" s="302"/>
      <c r="CD198" s="302"/>
      <c r="CE198" s="302"/>
      <c r="CF198" s="302"/>
      <c r="CG198" s="302"/>
      <c r="CH198" s="302"/>
      <c r="CI198" s="302"/>
      <c r="CJ198" s="302"/>
      <c r="CK198" s="302"/>
      <c r="CL198" s="302"/>
      <c r="CM198" s="302"/>
      <c r="CN198" s="302"/>
      <c r="CO198" s="302"/>
      <c r="CP198" s="302"/>
      <c r="CQ198" s="302"/>
      <c r="CR198" s="302"/>
      <c r="CS198" s="302"/>
      <c r="CT198" s="302"/>
      <c r="CU198" s="302"/>
      <c r="CV198" s="302"/>
      <c r="CW198" s="302"/>
      <c r="CX198" s="302"/>
      <c r="CY198" s="302"/>
      <c r="CZ198" s="302"/>
      <c r="DA198" s="302"/>
      <c r="DB198" s="302"/>
      <c r="DC198" s="302"/>
      <c r="DD198" s="302"/>
      <c r="DE198" s="302"/>
      <c r="DF198" s="302"/>
      <c r="DG198" s="302"/>
      <c r="DH198" s="302"/>
      <c r="DI198" s="302"/>
      <c r="DJ198" s="302"/>
      <c r="DK198" s="302"/>
      <c r="DL198" s="302"/>
      <c r="DM198" s="302"/>
      <c r="DN198" s="302"/>
      <c r="DO198" s="302"/>
      <c r="DP198" s="302"/>
      <c r="DQ198" s="302"/>
      <c r="DR198" s="302"/>
      <c r="DS198" s="302"/>
      <c r="DT198" s="302"/>
      <c r="DU198" s="302"/>
      <c r="DV198" s="302"/>
      <c r="DW198" s="302"/>
      <c r="DX198" s="302"/>
      <c r="DY198" s="302"/>
      <c r="DZ198" s="302"/>
      <c r="EA198" s="302"/>
      <c r="EB198" s="302"/>
      <c r="EC198" s="302"/>
      <c r="ED198" s="302"/>
      <c r="EE198" s="302"/>
      <c r="EF198" s="302"/>
      <c r="EG198" s="302"/>
      <c r="EH198" s="302"/>
      <c r="EI198" s="302"/>
      <c r="EJ198" s="302"/>
      <c r="EK198" s="302"/>
      <c r="EL198" s="302"/>
      <c r="EM198" s="302"/>
      <c r="EN198" s="302"/>
      <c r="EO198" s="302"/>
      <c r="EP198" s="302"/>
      <c r="EQ198" s="302"/>
      <c r="ER198" s="302"/>
      <c r="ES198" s="302"/>
      <c r="ET198" s="302"/>
      <c r="EU198" s="302"/>
      <c r="EV198" s="302"/>
      <c r="EW198" s="302"/>
      <c r="EX198" s="302"/>
      <c r="EY198" s="302"/>
      <c r="EZ198" s="302"/>
    </row>
    <row r="199" spans="1:156" s="27" customFormat="1" x14ac:dyDescent="0.2">
      <c r="A199" s="38"/>
      <c r="B199" s="37"/>
      <c r="C199" s="36">
        <f t="shared" si="16"/>
        <v>0</v>
      </c>
      <c r="D199" s="20"/>
      <c r="E199" s="36">
        <f t="shared" si="17"/>
        <v>0</v>
      </c>
      <c r="H199" s="302"/>
      <c r="I199" s="302"/>
      <c r="J199" s="302"/>
      <c r="K199" s="302"/>
      <c r="L199" s="302"/>
      <c r="M199" s="302"/>
      <c r="N199" s="302"/>
      <c r="O199" s="302"/>
      <c r="P199" s="302"/>
      <c r="Q199" s="100"/>
      <c r="R199" s="302"/>
      <c r="S199" s="302"/>
      <c r="T199" s="302"/>
      <c r="U199" s="302"/>
      <c r="V199" s="302"/>
      <c r="W199" s="302"/>
      <c r="X199" s="302"/>
      <c r="Y199" s="302"/>
      <c r="Z199" s="100"/>
      <c r="AA199" s="100"/>
      <c r="AB199" s="100"/>
      <c r="AC199" s="100"/>
      <c r="AD199" s="100"/>
      <c r="AE199" s="100"/>
      <c r="AF199" s="100"/>
      <c r="AG199" s="302"/>
      <c r="AH199" s="100"/>
      <c r="AI199" s="302"/>
      <c r="AJ199" s="100"/>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302"/>
      <c r="BO199" s="302"/>
      <c r="BP199" s="302"/>
      <c r="BQ199" s="302"/>
      <c r="BR199" s="302"/>
      <c r="BS199" s="302"/>
      <c r="BT199" s="302"/>
      <c r="BU199" s="302"/>
      <c r="BV199" s="302"/>
      <c r="BW199" s="302"/>
      <c r="BX199" s="302"/>
      <c r="BY199" s="302"/>
      <c r="BZ199" s="302"/>
      <c r="CA199" s="302"/>
      <c r="CB199" s="302"/>
      <c r="CC199" s="302"/>
      <c r="CD199" s="302"/>
      <c r="CE199" s="302"/>
      <c r="CF199" s="302"/>
      <c r="CG199" s="302"/>
      <c r="CH199" s="302"/>
      <c r="CI199" s="302"/>
      <c r="CJ199" s="302"/>
      <c r="CK199" s="302"/>
      <c r="CL199" s="302"/>
      <c r="CM199" s="302"/>
      <c r="CN199" s="302"/>
      <c r="CO199" s="302"/>
      <c r="CP199" s="302"/>
      <c r="CQ199" s="302"/>
      <c r="CR199" s="302"/>
      <c r="CS199" s="302"/>
      <c r="CT199" s="302"/>
      <c r="CU199" s="302"/>
      <c r="CV199" s="302"/>
      <c r="CW199" s="302"/>
      <c r="CX199" s="302"/>
      <c r="CY199" s="302"/>
      <c r="CZ199" s="302"/>
      <c r="DA199" s="302"/>
      <c r="DB199" s="302"/>
      <c r="DC199" s="302"/>
      <c r="DD199" s="302"/>
      <c r="DE199" s="302"/>
      <c r="DF199" s="302"/>
      <c r="DG199" s="302"/>
      <c r="DH199" s="302"/>
      <c r="DI199" s="302"/>
      <c r="DJ199" s="302"/>
      <c r="DK199" s="302"/>
      <c r="DL199" s="302"/>
      <c r="DM199" s="302"/>
      <c r="DN199" s="302"/>
      <c r="DO199" s="302"/>
      <c r="DP199" s="302"/>
      <c r="DQ199" s="302"/>
      <c r="DR199" s="302"/>
      <c r="DS199" s="302"/>
      <c r="DT199" s="302"/>
      <c r="DU199" s="302"/>
      <c r="DV199" s="302"/>
      <c r="DW199" s="302"/>
      <c r="DX199" s="302"/>
      <c r="DY199" s="302"/>
      <c r="DZ199" s="302"/>
      <c r="EA199" s="302"/>
      <c r="EB199" s="302"/>
      <c r="EC199" s="302"/>
      <c r="ED199" s="302"/>
      <c r="EE199" s="302"/>
      <c r="EF199" s="302"/>
      <c r="EG199" s="302"/>
      <c r="EH199" s="302"/>
      <c r="EI199" s="302"/>
      <c r="EJ199" s="302"/>
      <c r="EK199" s="302"/>
      <c r="EL199" s="302"/>
      <c r="EM199" s="302"/>
      <c r="EN199" s="302"/>
      <c r="EO199" s="302"/>
      <c r="EP199" s="302"/>
      <c r="EQ199" s="302"/>
      <c r="ER199" s="302"/>
      <c r="ES199" s="302"/>
      <c r="ET199" s="302"/>
      <c r="EU199" s="302"/>
      <c r="EV199" s="302"/>
      <c r="EW199" s="302"/>
      <c r="EX199" s="302"/>
      <c r="EY199" s="302"/>
      <c r="EZ199" s="302"/>
    </row>
    <row r="200" spans="1:156" s="27" customFormat="1" x14ac:dyDescent="0.2">
      <c r="A200" s="38"/>
      <c r="B200" s="37"/>
      <c r="C200" s="36">
        <f t="shared" si="16"/>
        <v>0</v>
      </c>
      <c r="D200" s="20"/>
      <c r="E200" s="36">
        <f t="shared" si="17"/>
        <v>0</v>
      </c>
      <c r="H200" s="302"/>
      <c r="I200" s="302"/>
      <c r="J200" s="302"/>
      <c r="K200" s="302"/>
      <c r="L200" s="302"/>
      <c r="M200" s="302"/>
      <c r="N200" s="302"/>
      <c r="O200" s="302"/>
      <c r="P200" s="302"/>
      <c r="Q200" s="100"/>
      <c r="R200" s="302"/>
      <c r="S200" s="302"/>
      <c r="T200" s="302"/>
      <c r="U200" s="302"/>
      <c r="V200" s="302"/>
      <c r="W200" s="302"/>
      <c r="X200" s="302"/>
      <c r="Y200" s="302"/>
      <c r="Z200" s="100"/>
      <c r="AA200" s="100"/>
      <c r="AB200" s="100"/>
      <c r="AC200" s="102"/>
      <c r="AD200" s="102"/>
      <c r="AE200" s="102"/>
      <c r="AF200" s="102"/>
      <c r="AG200" s="302"/>
      <c r="AH200" s="100"/>
      <c r="AI200" s="302"/>
      <c r="AJ200" s="100"/>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302"/>
      <c r="BO200" s="302"/>
      <c r="BP200" s="302"/>
      <c r="BQ200" s="302"/>
      <c r="BR200" s="302"/>
      <c r="BS200" s="302"/>
      <c r="BT200" s="302"/>
      <c r="BU200" s="302"/>
      <c r="BV200" s="302"/>
      <c r="BW200" s="302"/>
      <c r="BX200" s="302"/>
      <c r="BY200" s="302"/>
      <c r="BZ200" s="302"/>
      <c r="CA200" s="302"/>
      <c r="CB200" s="302"/>
      <c r="CC200" s="302"/>
      <c r="CD200" s="302"/>
      <c r="CE200" s="302"/>
      <c r="CF200" s="302"/>
      <c r="CG200" s="302"/>
      <c r="CH200" s="302"/>
      <c r="CI200" s="302"/>
      <c r="CJ200" s="302"/>
      <c r="CK200" s="302"/>
      <c r="CL200" s="302"/>
      <c r="CM200" s="302"/>
      <c r="CN200" s="302"/>
      <c r="CO200" s="302"/>
      <c r="CP200" s="302"/>
      <c r="CQ200" s="302"/>
      <c r="CR200" s="302"/>
      <c r="CS200" s="302"/>
      <c r="CT200" s="302"/>
      <c r="CU200" s="302"/>
      <c r="CV200" s="302"/>
      <c r="CW200" s="302"/>
      <c r="CX200" s="302"/>
      <c r="CY200" s="302"/>
      <c r="CZ200" s="302"/>
      <c r="DA200" s="302"/>
      <c r="DB200" s="302"/>
      <c r="DC200" s="302"/>
      <c r="DD200" s="302"/>
      <c r="DE200" s="302"/>
      <c r="DF200" s="302"/>
      <c r="DG200" s="302"/>
      <c r="DH200" s="302"/>
      <c r="DI200" s="302"/>
      <c r="DJ200" s="302"/>
      <c r="DK200" s="302"/>
      <c r="DL200" s="302"/>
      <c r="DM200" s="302"/>
      <c r="DN200" s="302"/>
      <c r="DO200" s="302"/>
      <c r="DP200" s="302"/>
      <c r="DQ200" s="302"/>
      <c r="DR200" s="302"/>
      <c r="DS200" s="302"/>
      <c r="DT200" s="302"/>
      <c r="DU200" s="302"/>
      <c r="DV200" s="302"/>
      <c r="DW200" s="302"/>
      <c r="DX200" s="302"/>
      <c r="DY200" s="302"/>
      <c r="DZ200" s="302"/>
      <c r="EA200" s="302"/>
      <c r="EB200" s="302"/>
      <c r="EC200" s="302"/>
      <c r="ED200" s="302"/>
      <c r="EE200" s="302"/>
      <c r="EF200" s="302"/>
      <c r="EG200" s="302"/>
      <c r="EH200" s="302"/>
      <c r="EI200" s="302"/>
      <c r="EJ200" s="302"/>
      <c r="EK200" s="302"/>
      <c r="EL200" s="302"/>
      <c r="EM200" s="302"/>
      <c r="EN200" s="302"/>
      <c r="EO200" s="302"/>
      <c r="EP200" s="302"/>
      <c r="EQ200" s="302"/>
      <c r="ER200" s="302"/>
      <c r="ES200" s="302"/>
      <c r="ET200" s="302"/>
      <c r="EU200" s="302"/>
      <c r="EV200" s="302"/>
      <c r="EW200" s="302"/>
      <c r="EX200" s="302"/>
      <c r="EY200" s="302"/>
      <c r="EZ200" s="302"/>
    </row>
    <row r="201" spans="1:156" s="27" customFormat="1" x14ac:dyDescent="0.2">
      <c r="A201" s="38"/>
      <c r="B201" s="37"/>
      <c r="C201" s="36">
        <f t="shared" si="16"/>
        <v>0</v>
      </c>
      <c r="D201" s="20"/>
      <c r="E201" s="36">
        <f t="shared" si="17"/>
        <v>0</v>
      </c>
      <c r="H201" s="302"/>
      <c r="I201" s="302"/>
      <c r="J201" s="302"/>
      <c r="K201" s="302"/>
      <c r="L201" s="302"/>
      <c r="M201" s="302"/>
      <c r="N201" s="302"/>
      <c r="O201" s="302"/>
      <c r="P201" s="302"/>
      <c r="Q201" s="100"/>
      <c r="R201" s="302"/>
      <c r="S201" s="302"/>
      <c r="T201" s="302"/>
      <c r="U201" s="302"/>
      <c r="V201" s="302"/>
      <c r="W201" s="302"/>
      <c r="X201" s="302"/>
      <c r="Y201" s="302"/>
      <c r="Z201" s="100"/>
      <c r="AA201" s="100"/>
      <c r="AB201" s="100"/>
      <c r="AC201" s="95"/>
      <c r="AD201" s="95"/>
      <c r="AE201" s="95"/>
      <c r="AF201" s="95"/>
      <c r="AG201" s="302"/>
      <c r="AH201" s="102"/>
      <c r="AI201" s="302"/>
      <c r="AJ201" s="100"/>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302"/>
      <c r="BO201" s="302"/>
      <c r="BP201" s="302"/>
      <c r="BQ201" s="302"/>
      <c r="BR201" s="302"/>
      <c r="BS201" s="302"/>
      <c r="BT201" s="302"/>
      <c r="BU201" s="302"/>
      <c r="BV201" s="302"/>
      <c r="BW201" s="302"/>
      <c r="BX201" s="302"/>
      <c r="BY201" s="302"/>
      <c r="BZ201" s="302"/>
      <c r="CA201" s="302"/>
      <c r="CB201" s="302"/>
      <c r="CC201" s="302"/>
      <c r="CD201" s="302"/>
      <c r="CE201" s="302"/>
      <c r="CF201" s="302"/>
      <c r="CG201" s="302"/>
      <c r="CH201" s="302"/>
      <c r="CI201" s="302"/>
      <c r="CJ201" s="302"/>
      <c r="CK201" s="302"/>
      <c r="CL201" s="302"/>
      <c r="CM201" s="302"/>
      <c r="CN201" s="302"/>
      <c r="CO201" s="302"/>
      <c r="CP201" s="302"/>
      <c r="CQ201" s="302"/>
      <c r="CR201" s="302"/>
      <c r="CS201" s="302"/>
      <c r="CT201" s="302"/>
      <c r="CU201" s="302"/>
      <c r="CV201" s="302"/>
      <c r="CW201" s="302"/>
      <c r="CX201" s="302"/>
      <c r="CY201" s="302"/>
      <c r="CZ201" s="302"/>
      <c r="DA201" s="302"/>
      <c r="DB201" s="302"/>
      <c r="DC201" s="302"/>
      <c r="DD201" s="302"/>
      <c r="DE201" s="302"/>
      <c r="DF201" s="302"/>
      <c r="DG201" s="302"/>
      <c r="DH201" s="302"/>
      <c r="DI201" s="302"/>
      <c r="DJ201" s="302"/>
      <c r="DK201" s="302"/>
      <c r="DL201" s="302"/>
      <c r="DM201" s="302"/>
      <c r="DN201" s="302"/>
      <c r="DO201" s="302"/>
      <c r="DP201" s="302"/>
      <c r="DQ201" s="302"/>
      <c r="DR201" s="302"/>
      <c r="DS201" s="302"/>
      <c r="DT201" s="302"/>
      <c r="DU201" s="302"/>
      <c r="DV201" s="302"/>
      <c r="DW201" s="302"/>
      <c r="DX201" s="302"/>
      <c r="DY201" s="302"/>
      <c r="DZ201" s="302"/>
      <c r="EA201" s="302"/>
      <c r="EB201" s="302"/>
      <c r="EC201" s="302"/>
      <c r="ED201" s="302"/>
      <c r="EE201" s="302"/>
      <c r="EF201" s="302"/>
      <c r="EG201" s="302"/>
      <c r="EH201" s="302"/>
      <c r="EI201" s="302"/>
      <c r="EJ201" s="302"/>
      <c r="EK201" s="302"/>
      <c r="EL201" s="302"/>
      <c r="EM201" s="302"/>
      <c r="EN201" s="302"/>
      <c r="EO201" s="302"/>
      <c r="EP201" s="302"/>
      <c r="EQ201" s="302"/>
      <c r="ER201" s="302"/>
      <c r="ES201" s="302"/>
      <c r="ET201" s="302"/>
      <c r="EU201" s="302"/>
      <c r="EV201" s="302"/>
      <c r="EW201" s="302"/>
      <c r="EX201" s="302"/>
      <c r="EY201" s="302"/>
      <c r="EZ201" s="302"/>
    </row>
    <row r="202" spans="1:156" s="27" customFormat="1" x14ac:dyDescent="0.2">
      <c r="A202" s="38"/>
      <c r="B202" s="37"/>
      <c r="C202" s="36">
        <f t="shared" si="16"/>
        <v>0</v>
      </c>
      <c r="D202" s="20"/>
      <c r="E202" s="36">
        <f t="shared" si="17"/>
        <v>0</v>
      </c>
      <c r="H202" s="302"/>
      <c r="I202" s="302"/>
      <c r="J202" s="302"/>
      <c r="K202" s="302"/>
      <c r="L202" s="302"/>
      <c r="M202" s="302"/>
      <c r="N202" s="302"/>
      <c r="O202" s="302"/>
      <c r="P202" s="302"/>
      <c r="Q202" s="100"/>
      <c r="R202" s="302"/>
      <c r="S202" s="302"/>
      <c r="T202" s="302"/>
      <c r="U202" s="302"/>
      <c r="V202" s="302"/>
      <c r="W202" s="302"/>
      <c r="X202" s="302"/>
      <c r="Y202" s="302"/>
      <c r="Z202" s="100"/>
      <c r="AA202" s="100"/>
      <c r="AB202" s="100"/>
      <c r="AC202" s="95"/>
      <c r="AD202" s="95"/>
      <c r="AE202" s="95"/>
      <c r="AF202" s="95"/>
      <c r="AG202" s="302"/>
      <c r="AH202" s="95"/>
      <c r="AI202" s="302"/>
      <c r="AJ202" s="100"/>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302"/>
      <c r="BO202" s="302"/>
      <c r="BP202" s="302"/>
      <c r="BQ202" s="302"/>
      <c r="BR202" s="302"/>
      <c r="BS202" s="302"/>
      <c r="BT202" s="302"/>
      <c r="BU202" s="302"/>
      <c r="BV202" s="302"/>
      <c r="BW202" s="302"/>
      <c r="BX202" s="302"/>
      <c r="BY202" s="302"/>
      <c r="BZ202" s="302"/>
      <c r="CA202" s="302"/>
      <c r="CB202" s="302"/>
      <c r="CC202" s="302"/>
      <c r="CD202" s="302"/>
      <c r="CE202" s="302"/>
      <c r="CF202" s="302"/>
      <c r="CG202" s="302"/>
      <c r="CH202" s="302"/>
      <c r="CI202" s="302"/>
      <c r="CJ202" s="302"/>
      <c r="CK202" s="302"/>
      <c r="CL202" s="302"/>
      <c r="CM202" s="302"/>
      <c r="CN202" s="302"/>
      <c r="CO202" s="302"/>
      <c r="CP202" s="302"/>
      <c r="CQ202" s="302"/>
      <c r="CR202" s="302"/>
      <c r="CS202" s="302"/>
      <c r="CT202" s="302"/>
      <c r="CU202" s="302"/>
      <c r="CV202" s="302"/>
      <c r="CW202" s="302"/>
      <c r="CX202" s="302"/>
      <c r="CY202" s="302"/>
      <c r="CZ202" s="302"/>
      <c r="DA202" s="302"/>
      <c r="DB202" s="302"/>
      <c r="DC202" s="302"/>
      <c r="DD202" s="302"/>
      <c r="DE202" s="302"/>
      <c r="DF202" s="302"/>
      <c r="DG202" s="302"/>
      <c r="DH202" s="302"/>
      <c r="DI202" s="302"/>
      <c r="DJ202" s="302"/>
      <c r="DK202" s="302"/>
      <c r="DL202" s="302"/>
      <c r="DM202" s="302"/>
      <c r="DN202" s="302"/>
      <c r="DO202" s="302"/>
      <c r="DP202" s="302"/>
      <c r="DQ202" s="302"/>
      <c r="DR202" s="302"/>
      <c r="DS202" s="302"/>
      <c r="DT202" s="302"/>
      <c r="DU202" s="302"/>
      <c r="DV202" s="302"/>
      <c r="DW202" s="302"/>
      <c r="DX202" s="302"/>
      <c r="DY202" s="302"/>
      <c r="DZ202" s="302"/>
      <c r="EA202" s="302"/>
      <c r="EB202" s="302"/>
      <c r="EC202" s="302"/>
      <c r="ED202" s="302"/>
      <c r="EE202" s="302"/>
      <c r="EF202" s="302"/>
      <c r="EG202" s="302"/>
      <c r="EH202" s="302"/>
      <c r="EI202" s="302"/>
      <c r="EJ202" s="302"/>
      <c r="EK202" s="302"/>
      <c r="EL202" s="302"/>
      <c r="EM202" s="302"/>
      <c r="EN202" s="302"/>
      <c r="EO202" s="302"/>
      <c r="EP202" s="302"/>
      <c r="EQ202" s="302"/>
      <c r="ER202" s="302"/>
      <c r="ES202" s="302"/>
      <c r="ET202" s="302"/>
      <c r="EU202" s="302"/>
      <c r="EV202" s="302"/>
      <c r="EW202" s="302"/>
      <c r="EX202" s="302"/>
      <c r="EY202" s="302"/>
      <c r="EZ202" s="302"/>
    </row>
    <row r="203" spans="1:156" s="27" customFormat="1" x14ac:dyDescent="0.2">
      <c r="A203" s="38"/>
      <c r="B203" s="37"/>
      <c r="C203" s="36">
        <f t="shared" si="16"/>
        <v>0</v>
      </c>
      <c r="D203" s="20"/>
      <c r="E203" s="36">
        <f t="shared" si="17"/>
        <v>0</v>
      </c>
      <c r="H203" s="302"/>
      <c r="I203" s="302"/>
      <c r="J203" s="302"/>
      <c r="K203" s="302"/>
      <c r="L203" s="302"/>
      <c r="M203" s="302"/>
      <c r="N203" s="302"/>
      <c r="O203" s="302"/>
      <c r="P203" s="302"/>
      <c r="Q203" s="100"/>
      <c r="R203" s="302"/>
      <c r="S203" s="302"/>
      <c r="T203" s="302"/>
      <c r="U203" s="302"/>
      <c r="V203" s="302"/>
      <c r="W203" s="302"/>
      <c r="X203" s="302"/>
      <c r="Y203" s="302"/>
      <c r="Z203" s="100"/>
      <c r="AA203" s="100"/>
      <c r="AB203" s="100"/>
      <c r="AC203" s="95"/>
      <c r="AD203" s="95"/>
      <c r="AE203" s="95"/>
      <c r="AF203" s="95"/>
      <c r="AG203" s="302"/>
      <c r="AH203" s="95"/>
      <c r="AI203" s="302"/>
      <c r="AJ203" s="100"/>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302"/>
      <c r="BO203" s="302"/>
      <c r="BP203" s="302"/>
      <c r="BQ203" s="302"/>
      <c r="BR203" s="302"/>
      <c r="BS203" s="302"/>
      <c r="BT203" s="302"/>
      <c r="BU203" s="302"/>
      <c r="BV203" s="302"/>
      <c r="BW203" s="302"/>
      <c r="BX203" s="302"/>
      <c r="BY203" s="302"/>
      <c r="BZ203" s="302"/>
      <c r="CA203" s="302"/>
      <c r="CB203" s="302"/>
      <c r="CC203" s="302"/>
      <c r="CD203" s="302"/>
      <c r="CE203" s="302"/>
      <c r="CF203" s="302"/>
      <c r="CG203" s="302"/>
      <c r="CH203" s="302"/>
      <c r="CI203" s="302"/>
      <c r="CJ203" s="302"/>
      <c r="CK203" s="302"/>
      <c r="CL203" s="302"/>
      <c r="CM203" s="302"/>
      <c r="CN203" s="302"/>
      <c r="CO203" s="302"/>
      <c r="CP203" s="302"/>
      <c r="CQ203" s="302"/>
      <c r="CR203" s="302"/>
      <c r="CS203" s="302"/>
      <c r="CT203" s="302"/>
      <c r="CU203" s="302"/>
      <c r="CV203" s="302"/>
      <c r="CW203" s="302"/>
      <c r="CX203" s="302"/>
      <c r="CY203" s="302"/>
      <c r="CZ203" s="302"/>
      <c r="DA203" s="302"/>
      <c r="DB203" s="302"/>
      <c r="DC203" s="302"/>
      <c r="DD203" s="302"/>
      <c r="DE203" s="302"/>
      <c r="DF203" s="302"/>
      <c r="DG203" s="302"/>
      <c r="DH203" s="302"/>
      <c r="DI203" s="302"/>
      <c r="DJ203" s="302"/>
      <c r="DK203" s="302"/>
      <c r="DL203" s="302"/>
      <c r="DM203" s="302"/>
      <c r="DN203" s="302"/>
      <c r="DO203" s="302"/>
      <c r="DP203" s="302"/>
      <c r="DQ203" s="302"/>
      <c r="DR203" s="302"/>
      <c r="DS203" s="302"/>
      <c r="DT203" s="302"/>
      <c r="DU203" s="302"/>
      <c r="DV203" s="302"/>
      <c r="DW203" s="302"/>
      <c r="DX203" s="302"/>
      <c r="DY203" s="302"/>
      <c r="DZ203" s="302"/>
      <c r="EA203" s="302"/>
      <c r="EB203" s="302"/>
      <c r="EC203" s="302"/>
      <c r="ED203" s="302"/>
      <c r="EE203" s="302"/>
      <c r="EF203" s="302"/>
      <c r="EG203" s="302"/>
      <c r="EH203" s="302"/>
      <c r="EI203" s="302"/>
      <c r="EJ203" s="302"/>
      <c r="EK203" s="302"/>
      <c r="EL203" s="302"/>
      <c r="EM203" s="302"/>
      <c r="EN203" s="302"/>
      <c r="EO203" s="302"/>
      <c r="EP203" s="302"/>
      <c r="EQ203" s="302"/>
      <c r="ER203" s="302"/>
      <c r="ES203" s="302"/>
      <c r="ET203" s="302"/>
      <c r="EU203" s="302"/>
      <c r="EV203" s="302"/>
      <c r="EW203" s="302"/>
      <c r="EX203" s="302"/>
      <c r="EY203" s="302"/>
      <c r="EZ203" s="302"/>
    </row>
    <row r="204" spans="1:156" s="27" customFormat="1" x14ac:dyDescent="0.2">
      <c r="A204" s="38"/>
      <c r="B204" s="37"/>
      <c r="C204" s="36">
        <f t="shared" si="16"/>
        <v>0</v>
      </c>
      <c r="D204" s="20"/>
      <c r="E204" s="36">
        <f t="shared" si="17"/>
        <v>0</v>
      </c>
      <c r="H204" s="302"/>
      <c r="I204" s="302"/>
      <c r="J204" s="302"/>
      <c r="K204" s="302"/>
      <c r="L204" s="302"/>
      <c r="M204" s="302"/>
      <c r="N204" s="302"/>
      <c r="O204" s="302"/>
      <c r="P204" s="302"/>
      <c r="Q204" s="100"/>
      <c r="R204" s="302"/>
      <c r="S204" s="302"/>
      <c r="T204" s="302"/>
      <c r="U204" s="302"/>
      <c r="V204" s="302"/>
      <c r="W204" s="302"/>
      <c r="X204" s="302"/>
      <c r="Y204" s="302"/>
      <c r="Z204" s="100"/>
      <c r="AA204" s="100"/>
      <c r="AB204" s="100"/>
      <c r="AC204" s="95"/>
      <c r="AD204" s="95"/>
      <c r="AE204" s="95"/>
      <c r="AF204" s="95"/>
      <c r="AG204" s="302"/>
      <c r="AH204" s="95"/>
      <c r="AI204" s="302"/>
      <c r="AJ204" s="100"/>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302"/>
      <c r="BO204" s="302"/>
      <c r="BP204" s="302"/>
      <c r="BQ204" s="302"/>
      <c r="BR204" s="302"/>
      <c r="BS204" s="302"/>
      <c r="BT204" s="302"/>
      <c r="BU204" s="302"/>
      <c r="BV204" s="302"/>
      <c r="BW204" s="302"/>
      <c r="BX204" s="302"/>
      <c r="BY204" s="302"/>
      <c r="BZ204" s="302"/>
      <c r="CA204" s="302"/>
      <c r="CB204" s="302"/>
      <c r="CC204" s="302"/>
      <c r="CD204" s="302"/>
      <c r="CE204" s="302"/>
      <c r="CF204" s="302"/>
      <c r="CG204" s="302"/>
      <c r="CH204" s="302"/>
      <c r="CI204" s="302"/>
      <c r="CJ204" s="302"/>
      <c r="CK204" s="302"/>
      <c r="CL204" s="302"/>
      <c r="CM204" s="302"/>
      <c r="CN204" s="302"/>
      <c r="CO204" s="302"/>
      <c r="CP204" s="302"/>
      <c r="CQ204" s="302"/>
      <c r="CR204" s="302"/>
      <c r="CS204" s="302"/>
      <c r="CT204" s="302"/>
      <c r="CU204" s="302"/>
      <c r="CV204" s="302"/>
      <c r="CW204" s="302"/>
      <c r="CX204" s="302"/>
      <c r="CY204" s="302"/>
      <c r="CZ204" s="302"/>
      <c r="DA204" s="302"/>
      <c r="DB204" s="302"/>
      <c r="DC204" s="302"/>
      <c r="DD204" s="302"/>
      <c r="DE204" s="302"/>
      <c r="DF204" s="302"/>
      <c r="DG204" s="302"/>
      <c r="DH204" s="302"/>
      <c r="DI204" s="302"/>
      <c r="DJ204" s="302"/>
      <c r="DK204" s="302"/>
      <c r="DL204" s="302"/>
      <c r="DM204" s="302"/>
      <c r="DN204" s="302"/>
      <c r="DO204" s="302"/>
      <c r="DP204" s="302"/>
      <c r="DQ204" s="302"/>
      <c r="DR204" s="302"/>
      <c r="DS204" s="302"/>
      <c r="DT204" s="302"/>
      <c r="DU204" s="302"/>
      <c r="DV204" s="302"/>
      <c r="DW204" s="302"/>
      <c r="DX204" s="302"/>
      <c r="DY204" s="302"/>
      <c r="DZ204" s="302"/>
      <c r="EA204" s="302"/>
      <c r="EB204" s="302"/>
      <c r="EC204" s="302"/>
      <c r="ED204" s="302"/>
      <c r="EE204" s="302"/>
      <c r="EF204" s="302"/>
      <c r="EG204" s="302"/>
      <c r="EH204" s="302"/>
      <c r="EI204" s="302"/>
      <c r="EJ204" s="302"/>
      <c r="EK204" s="302"/>
      <c r="EL204" s="302"/>
      <c r="EM204" s="302"/>
      <c r="EN204" s="302"/>
      <c r="EO204" s="302"/>
      <c r="EP204" s="302"/>
      <c r="EQ204" s="302"/>
      <c r="ER204" s="302"/>
      <c r="ES204" s="302"/>
      <c r="ET204" s="302"/>
      <c r="EU204" s="302"/>
      <c r="EV204" s="302"/>
      <c r="EW204" s="302"/>
      <c r="EX204" s="302"/>
      <c r="EY204" s="302"/>
      <c r="EZ204" s="302"/>
    </row>
    <row r="205" spans="1:156" s="29" customFormat="1" x14ac:dyDescent="0.2">
      <c r="A205" s="34"/>
      <c r="B205" s="33"/>
      <c r="C205" s="32"/>
      <c r="D205" s="31"/>
      <c r="E205" s="30"/>
      <c r="H205" s="303"/>
      <c r="I205" s="303"/>
      <c r="J205" s="303"/>
      <c r="K205" s="303"/>
      <c r="L205" s="303"/>
      <c r="M205" s="303"/>
      <c r="N205" s="303"/>
      <c r="O205" s="303"/>
      <c r="P205" s="303"/>
      <c r="Q205" s="100"/>
      <c r="R205" s="303"/>
      <c r="S205" s="303"/>
      <c r="T205" s="303"/>
      <c r="U205" s="303"/>
      <c r="V205" s="303"/>
      <c r="W205" s="303"/>
      <c r="X205" s="303"/>
      <c r="Y205" s="303"/>
      <c r="Z205" s="102"/>
      <c r="AA205" s="100"/>
      <c r="AB205" s="100"/>
      <c r="AC205" s="95"/>
      <c r="AD205" s="95"/>
      <c r="AE205" s="95"/>
      <c r="AF205" s="95"/>
      <c r="AG205" s="303"/>
      <c r="AH205" s="95"/>
      <c r="AI205" s="303"/>
      <c r="AJ205" s="102"/>
      <c r="AK205" s="303"/>
      <c r="AL205" s="303"/>
      <c r="AM205" s="303"/>
      <c r="AN205" s="303"/>
      <c r="AO205" s="303"/>
      <c r="AP205" s="303"/>
      <c r="AQ205" s="303"/>
      <c r="AR205" s="303"/>
      <c r="AS205" s="303"/>
      <c r="AT205" s="303"/>
      <c r="AU205" s="303"/>
      <c r="AV205" s="303"/>
      <c r="AW205" s="303"/>
      <c r="AX205" s="303"/>
      <c r="AY205" s="303"/>
      <c r="AZ205" s="303"/>
      <c r="BA205" s="303"/>
      <c r="BB205" s="303"/>
      <c r="BC205" s="303"/>
      <c r="BD205" s="303"/>
      <c r="BE205" s="303"/>
      <c r="BF205" s="303"/>
      <c r="BG205" s="303"/>
      <c r="BH205" s="303"/>
      <c r="BI205" s="303"/>
      <c r="BJ205" s="303"/>
      <c r="BK205" s="303"/>
      <c r="BL205" s="303"/>
      <c r="BM205" s="303"/>
      <c r="BN205" s="303"/>
      <c r="BO205" s="303"/>
      <c r="BP205" s="303"/>
      <c r="BQ205" s="303"/>
      <c r="BR205" s="303"/>
      <c r="BS205" s="303"/>
      <c r="BT205" s="303"/>
      <c r="BU205" s="303"/>
      <c r="BV205" s="303"/>
      <c r="BW205" s="303"/>
      <c r="BX205" s="303"/>
      <c r="BY205" s="303"/>
      <c r="BZ205" s="303"/>
      <c r="CA205" s="303"/>
      <c r="CB205" s="303"/>
      <c r="CC205" s="303"/>
      <c r="CD205" s="303"/>
      <c r="CE205" s="303"/>
      <c r="CF205" s="303"/>
      <c r="CG205" s="303"/>
      <c r="CH205" s="303"/>
      <c r="CI205" s="303"/>
      <c r="CJ205" s="303"/>
      <c r="CK205" s="303"/>
      <c r="CL205" s="303"/>
      <c r="CM205" s="303"/>
      <c r="CN205" s="303"/>
      <c r="CO205" s="303"/>
      <c r="CP205" s="303"/>
      <c r="CQ205" s="303"/>
      <c r="CR205" s="303"/>
      <c r="CS205" s="303"/>
      <c r="CT205" s="303"/>
      <c r="CU205" s="303"/>
      <c r="CV205" s="303"/>
      <c r="CW205" s="303"/>
      <c r="CX205" s="303"/>
      <c r="CY205" s="303"/>
      <c r="CZ205" s="303"/>
      <c r="DA205" s="303"/>
      <c r="DB205" s="303"/>
      <c r="DC205" s="303"/>
      <c r="DD205" s="303"/>
      <c r="DE205" s="303"/>
      <c r="DF205" s="303"/>
      <c r="DG205" s="303"/>
      <c r="DH205" s="303"/>
      <c r="DI205" s="303"/>
      <c r="DJ205" s="303"/>
      <c r="DK205" s="303"/>
      <c r="DL205" s="303"/>
      <c r="DM205" s="303"/>
      <c r="DN205" s="303"/>
      <c r="DO205" s="303"/>
      <c r="DP205" s="303"/>
      <c r="DQ205" s="303"/>
      <c r="DR205" s="303"/>
      <c r="DS205" s="303"/>
      <c r="DT205" s="303"/>
      <c r="DU205" s="303"/>
      <c r="DV205" s="303"/>
      <c r="DW205" s="303"/>
      <c r="DX205" s="303"/>
      <c r="DY205" s="303"/>
      <c r="DZ205" s="303"/>
      <c r="EA205" s="303"/>
      <c r="EB205" s="303"/>
      <c r="EC205" s="303"/>
      <c r="ED205" s="303"/>
      <c r="EE205" s="303"/>
      <c r="EF205" s="303"/>
      <c r="EG205" s="303"/>
      <c r="EH205" s="303"/>
      <c r="EI205" s="303"/>
      <c r="EJ205" s="303"/>
      <c r="EK205" s="303"/>
      <c r="EL205" s="303"/>
      <c r="EM205" s="303"/>
      <c r="EN205" s="303"/>
      <c r="EO205" s="303"/>
      <c r="EP205" s="303"/>
      <c r="EQ205" s="303"/>
      <c r="ER205" s="303"/>
      <c r="ES205" s="303"/>
      <c r="ET205" s="303"/>
      <c r="EU205" s="303"/>
      <c r="EV205" s="303"/>
      <c r="EW205" s="303"/>
      <c r="EX205" s="303"/>
      <c r="EY205" s="303"/>
      <c r="EZ205" s="303"/>
    </row>
    <row r="206" spans="1:156" s="26" customFormat="1" x14ac:dyDescent="0.2">
      <c r="A206" s="25"/>
      <c r="B206" s="24"/>
      <c r="C206" s="23"/>
      <c r="D206" s="22"/>
      <c r="E206" s="21"/>
      <c r="H206" s="81"/>
      <c r="I206" s="81"/>
      <c r="J206" s="81"/>
      <c r="K206" s="81"/>
      <c r="L206" s="81"/>
      <c r="M206" s="81"/>
      <c r="N206" s="81"/>
      <c r="O206" s="81"/>
      <c r="P206" s="81"/>
      <c r="Q206" s="100"/>
      <c r="R206" s="81"/>
      <c r="S206" s="81"/>
      <c r="T206" s="81"/>
      <c r="U206" s="81"/>
      <c r="V206" s="81"/>
      <c r="W206" s="81"/>
      <c r="X206" s="81"/>
      <c r="Y206" s="81"/>
      <c r="Z206" s="95"/>
      <c r="AA206" s="100"/>
      <c r="AB206" s="102"/>
      <c r="AC206" s="95"/>
      <c r="AD206" s="95"/>
      <c r="AE206" s="95"/>
      <c r="AF206" s="95"/>
      <c r="AG206" s="81"/>
      <c r="AH206" s="95"/>
      <c r="AI206" s="81"/>
      <c r="AJ206" s="95"/>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c r="E207" s="21"/>
      <c r="Q207" s="100"/>
      <c r="AA207" s="100"/>
    </row>
    <row r="208" spans="1:156" x14ac:dyDescent="0.2">
      <c r="Q208" s="100"/>
      <c r="AA208" s="100"/>
    </row>
    <row r="209" spans="17:27" x14ac:dyDescent="0.2">
      <c r="Q209" s="102"/>
      <c r="AA209"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12A6-56F0-44E3-8375-268F4F322EAC}">
  <dimension ref="A1:GD210"/>
  <sheetViews>
    <sheetView zoomScaleNormal="120" workbookViewId="0">
      <pane xSplit="6" topLeftCell="G1" activePane="topRight" state="frozen"/>
      <selection pane="topRight" activeCell="D153" sqref="D153"/>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2" width="13" style="13" customWidth="1"/>
    <col min="183" max="183" width="13" style="14" customWidth="1"/>
    <col min="184" max="186" width="13" style="13" customWidth="1"/>
    <col min="187"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8623</v>
      </c>
      <c r="AO1" s="116" t="s">
        <v>64</v>
      </c>
      <c r="AP1" s="95" t="s">
        <v>64</v>
      </c>
      <c r="AQ1" s="95" t="s">
        <v>64</v>
      </c>
      <c r="AR1" s="95" t="s">
        <v>64</v>
      </c>
      <c r="AS1" s="95" t="s">
        <v>64</v>
      </c>
      <c r="AT1" s="95" t="s">
        <v>64</v>
      </c>
      <c r="AU1" s="95" t="s">
        <v>8623</v>
      </c>
      <c r="AV1" s="95" t="s">
        <v>64</v>
      </c>
      <c r="AW1" s="95" t="s">
        <v>8623</v>
      </c>
      <c r="AX1" s="95" t="s">
        <v>107</v>
      </c>
      <c r="AY1" s="95" t="s">
        <v>8623</v>
      </c>
      <c r="AZ1" s="95" t="s">
        <v>64</v>
      </c>
      <c r="BA1" s="95" t="s">
        <v>64</v>
      </c>
      <c r="BB1" s="95" t="s">
        <v>64</v>
      </c>
      <c r="BC1" s="95" t="s">
        <v>112</v>
      </c>
      <c r="BD1" s="95" t="s">
        <v>112</v>
      </c>
      <c r="BE1" s="95" t="s">
        <v>64</v>
      </c>
      <c r="BF1" s="95" t="s">
        <v>64</v>
      </c>
      <c r="BG1" s="95" t="s">
        <v>64</v>
      </c>
      <c r="BH1" s="95" t="s">
        <v>64</v>
      </c>
      <c r="BI1" s="95" t="s">
        <v>64</v>
      </c>
      <c r="BJ1" s="95" t="s">
        <v>8623</v>
      </c>
      <c r="BK1" s="95" t="s">
        <v>64</v>
      </c>
      <c r="BL1" s="95" t="s">
        <v>64</v>
      </c>
      <c r="BM1" s="95" t="s">
        <v>112</v>
      </c>
      <c r="BN1" s="95" t="s">
        <v>8623</v>
      </c>
      <c r="BO1" s="95" t="s">
        <v>112</v>
      </c>
      <c r="BP1" s="95" t="s">
        <v>64</v>
      </c>
      <c r="BQ1" s="95" t="s">
        <v>112</v>
      </c>
      <c r="BR1" s="95" t="s">
        <v>64</v>
      </c>
      <c r="BS1" s="95" t="s">
        <v>8622</v>
      </c>
      <c r="BT1" s="95" t="s">
        <v>112</v>
      </c>
      <c r="BU1" s="95" t="s">
        <v>112</v>
      </c>
      <c r="BV1" s="95" t="s">
        <v>107</v>
      </c>
      <c r="BW1" s="95" t="s">
        <v>107</v>
      </c>
      <c r="BX1" s="95" t="s">
        <v>107</v>
      </c>
      <c r="BY1" s="95" t="s">
        <v>112</v>
      </c>
      <c r="BZ1" s="95" t="s">
        <v>112</v>
      </c>
      <c r="CA1" s="95" t="s">
        <v>112</v>
      </c>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row>
    <row r="2" spans="1:183" s="62" customFormat="1" ht="12.75" customHeight="1" thickTop="1" x14ac:dyDescent="0.25">
      <c r="A2" s="552" t="s">
        <v>122</v>
      </c>
      <c r="B2" s="555" t="s">
        <v>21</v>
      </c>
      <c r="C2" s="556"/>
      <c r="D2" s="557" t="s">
        <v>2846</v>
      </c>
      <c r="E2" s="560" t="s">
        <v>22</v>
      </c>
      <c r="F2" s="561"/>
      <c r="G2" s="63"/>
      <c r="H2" s="118" t="s">
        <v>458</v>
      </c>
      <c r="I2" s="118" t="s">
        <v>469</v>
      </c>
      <c r="J2" s="118" t="s">
        <v>584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1232</v>
      </c>
      <c r="AO2" s="118" t="s">
        <v>1253</v>
      </c>
      <c r="AP2" s="96" t="s">
        <v>1258</v>
      </c>
      <c r="AQ2" s="96" t="s">
        <v>1372</v>
      </c>
      <c r="AR2" s="96" t="s">
        <v>1409</v>
      </c>
      <c r="AS2" s="96" t="s">
        <v>1420</v>
      </c>
      <c r="AT2" s="96" t="s">
        <v>1423</v>
      </c>
      <c r="AU2" s="96" t="s">
        <v>1426</v>
      </c>
      <c r="AV2" s="96" t="s">
        <v>1450</v>
      </c>
      <c r="AW2" s="96" t="s">
        <v>1471</v>
      </c>
      <c r="AX2" s="96" t="s">
        <v>1477</v>
      </c>
      <c r="AY2" s="96" t="s">
        <v>1482</v>
      </c>
      <c r="AZ2" s="96" t="s">
        <v>1595</v>
      </c>
      <c r="BA2" s="96" t="s">
        <v>1612</v>
      </c>
      <c r="BB2" s="96" t="s">
        <v>1757</v>
      </c>
      <c r="BC2" s="96" t="s">
        <v>1824</v>
      </c>
      <c r="BD2" s="96" t="s">
        <v>1964</v>
      </c>
      <c r="BE2" s="96" t="s">
        <v>2082</v>
      </c>
      <c r="BF2" s="96" t="s">
        <v>2077</v>
      </c>
      <c r="BG2" s="96" t="s">
        <v>2085</v>
      </c>
      <c r="BH2" s="96" t="s">
        <v>2122</v>
      </c>
      <c r="BI2" s="96" t="s">
        <v>2168</v>
      </c>
      <c r="BJ2" s="96" t="s">
        <v>2195</v>
      </c>
      <c r="BK2" s="96" t="s">
        <v>2269</v>
      </c>
      <c r="BL2" s="96" t="s">
        <v>2300</v>
      </c>
      <c r="BM2" s="96" t="s">
        <v>2417</v>
      </c>
      <c r="BN2" s="96" t="s">
        <v>2426</v>
      </c>
      <c r="BO2" s="96" t="s">
        <v>2454</v>
      </c>
      <c r="BP2" s="96" t="s">
        <v>2491</v>
      </c>
      <c r="BQ2" s="96" t="s">
        <v>2557</v>
      </c>
      <c r="BR2" s="96" t="s">
        <v>2595</v>
      </c>
      <c r="BS2" s="96" t="s">
        <v>494</v>
      </c>
      <c r="BT2" s="96" t="s">
        <v>532</v>
      </c>
      <c r="BU2" s="96" t="s">
        <v>1282</v>
      </c>
      <c r="BV2" s="96" t="s">
        <v>581</v>
      </c>
      <c r="BW2" s="96" t="s">
        <v>609</v>
      </c>
      <c r="BX2" s="96" t="s">
        <v>596</v>
      </c>
      <c r="BY2" s="96" t="s">
        <v>1288</v>
      </c>
      <c r="BZ2" s="96" t="s">
        <v>1389</v>
      </c>
      <c r="CA2" s="96" t="s">
        <v>1416</v>
      </c>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59"/>
      <c r="FY2" s="59"/>
      <c r="FZ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1233</v>
      </c>
      <c r="AO3" s="118" t="s">
        <v>1254</v>
      </c>
      <c r="AP3" s="107" t="s">
        <v>1259</v>
      </c>
      <c r="AQ3" s="107" t="s">
        <v>1373</v>
      </c>
      <c r="AR3" s="108" t="s">
        <v>1410</v>
      </c>
      <c r="AS3" s="107" t="s">
        <v>1421</v>
      </c>
      <c r="AT3" s="107" t="s">
        <v>1424</v>
      </c>
      <c r="AU3" s="96" t="s">
        <v>1427</v>
      </c>
      <c r="AV3" s="96" t="s">
        <v>1451</v>
      </c>
      <c r="AW3" s="96" t="s">
        <v>1472</v>
      </c>
      <c r="AX3" s="96" t="s">
        <v>1479</v>
      </c>
      <c r="AY3" s="96" t="s">
        <v>1483</v>
      </c>
      <c r="AZ3" s="96" t="s">
        <v>1596</v>
      </c>
      <c r="BA3" s="96" t="s">
        <v>1613</v>
      </c>
      <c r="BB3" s="96" t="s">
        <v>1758</v>
      </c>
      <c r="BC3" s="96" t="s">
        <v>1825</v>
      </c>
      <c r="BD3" s="96" t="s">
        <v>1965</v>
      </c>
      <c r="BE3" s="96" t="s">
        <v>2083</v>
      </c>
      <c r="BF3" s="96" t="s">
        <v>2079</v>
      </c>
      <c r="BG3" s="96" t="s">
        <v>2086</v>
      </c>
      <c r="BH3" s="96" t="s">
        <v>2124</v>
      </c>
      <c r="BI3" s="96" t="s">
        <v>2169</v>
      </c>
      <c r="BJ3" s="96" t="s">
        <v>2197</v>
      </c>
      <c r="BK3" s="96" t="s">
        <v>2270</v>
      </c>
      <c r="BL3" s="96" t="s">
        <v>2301</v>
      </c>
      <c r="BM3" s="96" t="s">
        <v>2418</v>
      </c>
      <c r="BN3" s="96" t="s">
        <v>2428</v>
      </c>
      <c r="BO3" s="96" t="s">
        <v>2455</v>
      </c>
      <c r="BP3" s="96" t="s">
        <v>2492</v>
      </c>
      <c r="BQ3" s="96" t="s">
        <v>2559</v>
      </c>
      <c r="BR3" s="96" t="s">
        <v>2596</v>
      </c>
      <c r="BS3" s="96" t="s">
        <v>495</v>
      </c>
      <c r="BT3" s="96" t="s">
        <v>534</v>
      </c>
      <c r="BU3" s="96" t="s">
        <v>1283</v>
      </c>
      <c r="BV3" s="96" t="s">
        <v>582</v>
      </c>
      <c r="BW3" s="96" t="s">
        <v>610</v>
      </c>
      <c r="BX3" s="96" t="s">
        <v>597</v>
      </c>
      <c r="BY3" s="96" t="s">
        <v>1289</v>
      </c>
      <c r="BZ3" s="96" t="s">
        <v>1390</v>
      </c>
      <c r="CA3" s="96" t="s">
        <v>1417</v>
      </c>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59"/>
      <c r="FY3" s="59"/>
      <c r="FZ3" s="59"/>
    </row>
    <row r="4" spans="1:183" s="62" customFormat="1" ht="12.75" customHeight="1" x14ac:dyDescent="0.2">
      <c r="A4" s="553"/>
      <c r="B4" s="566"/>
      <c r="C4" s="567"/>
      <c r="D4" s="574"/>
      <c r="E4" s="568" t="s">
        <v>25</v>
      </c>
      <c r="F4" s="569"/>
      <c r="G4" s="60"/>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20">
        <v>32847</v>
      </c>
      <c r="AC4" s="120">
        <v>32969</v>
      </c>
      <c r="AD4" s="5">
        <v>32975</v>
      </c>
      <c r="AE4" s="5">
        <v>32993</v>
      </c>
      <c r="AF4" s="5">
        <v>33025</v>
      </c>
      <c r="AG4" s="5">
        <v>33059</v>
      </c>
      <c r="AH4" s="5">
        <v>33073</v>
      </c>
      <c r="AI4" s="5">
        <v>33114</v>
      </c>
      <c r="AJ4" s="5">
        <v>33114</v>
      </c>
      <c r="AK4" s="5">
        <v>33205</v>
      </c>
      <c r="AL4" s="120">
        <v>33693</v>
      </c>
      <c r="AM4" s="5">
        <v>33737</v>
      </c>
      <c r="AN4" s="120">
        <v>34032</v>
      </c>
      <c r="AO4" s="120">
        <v>34542</v>
      </c>
      <c r="AP4" s="108">
        <v>34754</v>
      </c>
      <c r="AQ4" s="108">
        <v>36647</v>
      </c>
      <c r="AR4" s="108">
        <v>36922</v>
      </c>
      <c r="AS4" s="108">
        <v>36957</v>
      </c>
      <c r="AT4" s="108">
        <v>36963</v>
      </c>
      <c r="AU4" s="97">
        <v>37014</v>
      </c>
      <c r="AV4" s="97">
        <v>37586</v>
      </c>
      <c r="AW4" s="97">
        <v>37802</v>
      </c>
      <c r="AX4" s="97">
        <v>37848</v>
      </c>
      <c r="AY4" s="97">
        <v>37990</v>
      </c>
      <c r="AZ4" s="97">
        <v>38275</v>
      </c>
      <c r="BA4" s="97">
        <v>38362</v>
      </c>
      <c r="BB4" s="97">
        <v>38650</v>
      </c>
      <c r="BC4" s="97">
        <v>38699</v>
      </c>
      <c r="BD4" s="97">
        <v>39162</v>
      </c>
      <c r="BE4" s="97">
        <v>40577</v>
      </c>
      <c r="BF4" s="97">
        <v>40577</v>
      </c>
      <c r="BG4" s="97">
        <v>40583</v>
      </c>
      <c r="BH4" s="97">
        <v>40876</v>
      </c>
      <c r="BI4" s="97">
        <v>41059</v>
      </c>
      <c r="BJ4" s="97">
        <v>41290</v>
      </c>
      <c r="BK4" s="97">
        <v>41746</v>
      </c>
      <c r="BL4" s="97">
        <v>41926</v>
      </c>
      <c r="BM4" s="97">
        <v>43363</v>
      </c>
      <c r="BN4" s="97">
        <v>43500</v>
      </c>
      <c r="BO4" s="97">
        <v>44071</v>
      </c>
      <c r="BP4" s="97">
        <v>44348</v>
      </c>
      <c r="BQ4" s="97">
        <v>45726</v>
      </c>
      <c r="BR4" s="97">
        <v>45971</v>
      </c>
      <c r="BS4" s="97">
        <v>7905</v>
      </c>
      <c r="BT4" s="97">
        <v>11290</v>
      </c>
      <c r="BU4" s="97">
        <v>35430</v>
      </c>
      <c r="BV4" s="97">
        <v>16434</v>
      </c>
      <c r="BW4" s="97">
        <v>18015</v>
      </c>
      <c r="BX4" s="97">
        <v>17950</v>
      </c>
      <c r="BY4" s="97">
        <v>35432</v>
      </c>
      <c r="BZ4" s="97">
        <v>36881</v>
      </c>
      <c r="CA4" s="97">
        <v>36955</v>
      </c>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58"/>
      <c r="FY4" s="58"/>
      <c r="FZ4" s="58"/>
      <c r="GA4" s="57"/>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2855</v>
      </c>
      <c r="AP5" s="96" t="s">
        <v>63</v>
      </c>
      <c r="AQ5" s="96" t="s">
        <v>63</v>
      </c>
      <c r="AR5" s="96" t="s">
        <v>63</v>
      </c>
      <c r="AS5" s="96" t="s">
        <v>63</v>
      </c>
      <c r="AT5" s="96" t="s">
        <v>63</v>
      </c>
      <c r="AU5" s="96" t="s">
        <v>63</v>
      </c>
      <c r="AV5" s="96" t="s">
        <v>8732</v>
      </c>
      <c r="AW5" s="96" t="s">
        <v>63</v>
      </c>
      <c r="AX5" s="96" t="s">
        <v>63</v>
      </c>
      <c r="AY5" s="96" t="s">
        <v>63</v>
      </c>
      <c r="AZ5" s="96" t="s">
        <v>63</v>
      </c>
      <c r="BA5" s="96" t="s">
        <v>63</v>
      </c>
      <c r="BB5" s="96" t="s">
        <v>63</v>
      </c>
      <c r="BC5" s="96" t="s">
        <v>2857</v>
      </c>
      <c r="BD5" s="96" t="s">
        <v>63</v>
      </c>
      <c r="BE5" s="96" t="s">
        <v>63</v>
      </c>
      <c r="BF5" s="96" t="s">
        <v>63</v>
      </c>
      <c r="BG5" s="96" t="s">
        <v>63</v>
      </c>
      <c r="BH5" s="96" t="s">
        <v>2790</v>
      </c>
      <c r="BI5" s="96" t="s">
        <v>63</v>
      </c>
      <c r="BJ5" s="96" t="s">
        <v>63</v>
      </c>
      <c r="BK5" s="96" t="s">
        <v>2858</v>
      </c>
      <c r="BL5" s="96" t="s">
        <v>63</v>
      </c>
      <c r="BM5" s="96" t="s">
        <v>63</v>
      </c>
      <c r="BN5" s="96" t="s">
        <v>63</v>
      </c>
      <c r="BO5" s="96" t="s">
        <v>63</v>
      </c>
      <c r="BP5" s="96" t="s">
        <v>63</v>
      </c>
      <c r="BQ5" s="96" t="s">
        <v>63</v>
      </c>
      <c r="BR5" s="96" t="s">
        <v>63</v>
      </c>
      <c r="BS5" s="96" t="s">
        <v>63</v>
      </c>
      <c r="BT5" s="96" t="s">
        <v>63</v>
      </c>
      <c r="BU5" s="96" t="s">
        <v>63</v>
      </c>
      <c r="BV5" s="96" t="s">
        <v>63</v>
      </c>
      <c r="BW5" s="96" t="s">
        <v>63</v>
      </c>
      <c r="BX5" s="96" t="s">
        <v>2859</v>
      </c>
      <c r="BY5" s="96" t="s">
        <v>63</v>
      </c>
      <c r="BZ5" s="96" t="s">
        <v>63</v>
      </c>
      <c r="CA5" s="96" t="s">
        <v>63</v>
      </c>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59"/>
      <c r="FY5" s="59"/>
      <c r="FZ5" s="59"/>
    </row>
    <row r="6" spans="1:183" s="55" customFormat="1" ht="14.25" customHeight="1" thickBot="1" x14ac:dyDescent="0.25">
      <c r="A6" s="554"/>
      <c r="B6" s="541" t="s">
        <v>28</v>
      </c>
      <c r="C6" s="544">
        <v>40</v>
      </c>
      <c r="D6" s="546" t="s">
        <v>9</v>
      </c>
      <c r="E6" s="544">
        <f>SUBTOTAL(9,E9:E201)</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RECHECK</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3" s="53" customFormat="1" ht="14.25" thickTop="1" thickBot="1" x14ac:dyDescent="0.25">
      <c r="A7" s="54"/>
      <c r="B7" s="542"/>
      <c r="C7" s="545"/>
      <c r="D7" s="547"/>
      <c r="E7" s="545"/>
      <c r="F7" s="549"/>
      <c r="G7" s="535">
        <f>SUBTOTAL(9,G10:G202)</f>
        <v>1</v>
      </c>
      <c r="H7" s="537">
        <f>SUBTOTAL(9,H10:H202)</f>
        <v>0</v>
      </c>
      <c r="I7" s="537">
        <f>SUBTOTAL(9,I10:I202)</f>
        <v>0</v>
      </c>
      <c r="J7" s="537">
        <f>SUBTOTAL(9,J10:J202)</f>
        <v>0</v>
      </c>
      <c r="K7" s="537">
        <f>SUBTOTAL(9,K10:K202)</f>
        <v>0</v>
      </c>
      <c r="L7" s="537">
        <f t="shared" ref="L7:Q7" si="6">SUBTOTAL(9,L10:L202)</f>
        <v>0</v>
      </c>
      <c r="M7" s="537">
        <f t="shared" si="6"/>
        <v>0</v>
      </c>
      <c r="N7" s="537">
        <f t="shared" si="6"/>
        <v>0</v>
      </c>
      <c r="O7" s="537">
        <f t="shared" si="6"/>
        <v>0</v>
      </c>
      <c r="P7" s="537">
        <f t="shared" si="6"/>
        <v>0</v>
      </c>
      <c r="Q7" s="537">
        <f t="shared" si="6"/>
        <v>0</v>
      </c>
      <c r="R7" s="533">
        <f>SUBTOTAL(9,R10:R206)</f>
        <v>0</v>
      </c>
      <c r="S7" s="533">
        <f>SUBTOTAL(9,S10:S206)</f>
        <v>0</v>
      </c>
      <c r="T7" s="537">
        <f t="shared" ref="T7:AD7" si="7">SUBTOTAL(9,T10:T202)</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SUBTOTAL(9,AE10:AE202)</f>
        <v>0</v>
      </c>
      <c r="AF7" s="533">
        <f>SUBTOTAL(9,AF10:AF206)</f>
        <v>0</v>
      </c>
      <c r="AG7" s="533">
        <f>SUBTOTAL(9,AG10:AG210)</f>
        <v>0</v>
      </c>
      <c r="AH7" s="533">
        <f>SUBTOTAL(9,AH10:AH204)</f>
        <v>0</v>
      </c>
      <c r="AI7" s="533">
        <f>SUBTOTAL(9,AI10:AI204)</f>
        <v>0</v>
      </c>
      <c r="AJ7" s="533">
        <f>SUBTOTAL(9,AJ10:AJ204)</f>
        <v>0</v>
      </c>
      <c r="AK7" s="533">
        <f>SUBTOTAL(9,AK10:AK204)</f>
        <v>-9.9920072216264089E-16</v>
      </c>
      <c r="AL7" s="537">
        <f>SUBTOTAL(9,AL10:AL202)</f>
        <v>0</v>
      </c>
      <c r="AM7" s="533">
        <f>SUBTOTAL(9,AM10:AM201)</f>
        <v>0</v>
      </c>
      <c r="AN7" s="537">
        <f>SUBTOTAL(9,AN10:AN202)</f>
        <v>0</v>
      </c>
      <c r="AO7" s="533">
        <f>SUBTOTAL(9,AO10:AO204)</f>
        <v>0</v>
      </c>
      <c r="AP7" s="537">
        <f t="shared" ref="AP7:DA7" si="8">SUBTOTAL(9,AP10:AP202)</f>
        <v>0</v>
      </c>
      <c r="AQ7" s="537">
        <f t="shared" si="8"/>
        <v>0</v>
      </c>
      <c r="AR7" s="537">
        <f t="shared" si="8"/>
        <v>0</v>
      </c>
      <c r="AS7" s="537">
        <f t="shared" si="8"/>
        <v>0</v>
      </c>
      <c r="AT7" s="537">
        <f t="shared" si="8"/>
        <v>0</v>
      </c>
      <c r="AU7" s="537">
        <f t="shared" si="8"/>
        <v>0</v>
      </c>
      <c r="AV7" s="537">
        <f t="shared" si="8"/>
        <v>0</v>
      </c>
      <c r="AW7" s="537">
        <f t="shared" si="8"/>
        <v>0</v>
      </c>
      <c r="AX7" s="537">
        <f t="shared" si="8"/>
        <v>0</v>
      </c>
      <c r="AY7" s="537">
        <f t="shared" si="8"/>
        <v>0</v>
      </c>
      <c r="AZ7" s="537">
        <f t="shared" si="8"/>
        <v>0</v>
      </c>
      <c r="BA7" s="537">
        <f t="shared" si="8"/>
        <v>0</v>
      </c>
      <c r="BB7" s="537">
        <f t="shared" si="8"/>
        <v>0</v>
      </c>
      <c r="BC7" s="537">
        <f t="shared" si="8"/>
        <v>0</v>
      </c>
      <c r="BD7" s="537">
        <f t="shared" si="8"/>
        <v>0</v>
      </c>
      <c r="BE7" s="537">
        <f t="shared" si="8"/>
        <v>-9.9920072216264089E-16</v>
      </c>
      <c r="BF7" s="537">
        <f t="shared" si="8"/>
        <v>-1.1102230246251565E-15</v>
      </c>
      <c r="BG7" s="537">
        <f t="shared" si="8"/>
        <v>0</v>
      </c>
      <c r="BH7" s="537">
        <f t="shared" si="8"/>
        <v>0</v>
      </c>
      <c r="BI7" s="537">
        <f t="shared" si="8"/>
        <v>0</v>
      </c>
      <c r="BJ7" s="537">
        <f t="shared" si="8"/>
        <v>0</v>
      </c>
      <c r="BK7" s="537">
        <f t="shared" si="8"/>
        <v>0</v>
      </c>
      <c r="BL7" s="537">
        <f t="shared" si="8"/>
        <v>0</v>
      </c>
      <c r="BM7" s="537">
        <f t="shared" si="8"/>
        <v>0</v>
      </c>
      <c r="BN7" s="537">
        <f t="shared" si="8"/>
        <v>0</v>
      </c>
      <c r="BO7" s="537">
        <f t="shared" si="8"/>
        <v>0</v>
      </c>
      <c r="BP7" s="537">
        <f t="shared" si="8"/>
        <v>0</v>
      </c>
      <c r="BQ7" s="537">
        <f t="shared" si="8"/>
        <v>0</v>
      </c>
      <c r="BR7" s="537">
        <f t="shared" si="8"/>
        <v>0</v>
      </c>
      <c r="BS7" s="537">
        <f t="shared" si="8"/>
        <v>0</v>
      </c>
      <c r="BT7" s="537">
        <f t="shared" si="8"/>
        <v>0</v>
      </c>
      <c r="BU7" s="537">
        <f t="shared" si="8"/>
        <v>0</v>
      </c>
      <c r="BV7" s="537">
        <f t="shared" si="8"/>
        <v>0</v>
      </c>
      <c r="BW7" s="537">
        <f t="shared" si="8"/>
        <v>0</v>
      </c>
      <c r="BX7" s="537">
        <f t="shared" si="8"/>
        <v>0</v>
      </c>
      <c r="BY7" s="537">
        <f t="shared" si="8"/>
        <v>0</v>
      </c>
      <c r="BZ7" s="537">
        <f t="shared" si="8"/>
        <v>0</v>
      </c>
      <c r="CA7" s="537">
        <f t="shared" si="8"/>
        <v>0</v>
      </c>
      <c r="CB7" s="537">
        <f t="shared" si="8"/>
        <v>0</v>
      </c>
      <c r="CC7" s="537">
        <f t="shared" si="8"/>
        <v>0</v>
      </c>
      <c r="CD7" s="537">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si="8"/>
        <v>0</v>
      </c>
      <c r="CZ7" s="537">
        <f t="shared" si="8"/>
        <v>0</v>
      </c>
      <c r="DA7" s="537">
        <f t="shared" si="8"/>
        <v>0</v>
      </c>
      <c r="DB7" s="537">
        <f t="shared" ref="DB7:FM7" si="9">SUBTOTAL(9,DB10:DB202)</f>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si="9"/>
        <v>0</v>
      </c>
      <c r="EF7" s="537">
        <f t="shared" si="9"/>
        <v>0</v>
      </c>
      <c r="EG7" s="537">
        <f t="shared" si="9"/>
        <v>0</v>
      </c>
      <c r="EH7" s="537">
        <f t="shared" si="9"/>
        <v>0</v>
      </c>
      <c r="EI7" s="537">
        <f t="shared" si="9"/>
        <v>0</v>
      </c>
      <c r="EJ7" s="537">
        <f t="shared" si="9"/>
        <v>0</v>
      </c>
      <c r="EK7" s="537">
        <f t="shared" si="9"/>
        <v>0</v>
      </c>
      <c r="EL7" s="537">
        <f t="shared" si="9"/>
        <v>0</v>
      </c>
      <c r="EM7" s="537">
        <f t="shared" si="9"/>
        <v>0</v>
      </c>
      <c r="EN7" s="537">
        <f t="shared" si="9"/>
        <v>0</v>
      </c>
      <c r="EO7" s="537">
        <f t="shared" si="9"/>
        <v>0</v>
      </c>
      <c r="EP7" s="537">
        <f t="shared" si="9"/>
        <v>0</v>
      </c>
      <c r="EQ7" s="537">
        <f t="shared" si="9"/>
        <v>0</v>
      </c>
      <c r="ER7" s="537">
        <f t="shared" si="9"/>
        <v>0</v>
      </c>
      <c r="ES7" s="537">
        <f t="shared" si="9"/>
        <v>0</v>
      </c>
      <c r="ET7" s="537">
        <f t="shared" si="9"/>
        <v>0</v>
      </c>
      <c r="EU7" s="537">
        <f t="shared" si="9"/>
        <v>0</v>
      </c>
      <c r="EV7" s="537">
        <f t="shared" si="9"/>
        <v>0</v>
      </c>
      <c r="EW7" s="537">
        <f t="shared" si="9"/>
        <v>0</v>
      </c>
      <c r="EX7" s="537">
        <f t="shared" si="9"/>
        <v>0</v>
      </c>
      <c r="EY7" s="537">
        <f t="shared" si="9"/>
        <v>0</v>
      </c>
      <c r="EZ7" s="537">
        <f t="shared" si="9"/>
        <v>0</v>
      </c>
      <c r="FA7" s="537">
        <f t="shared" si="9"/>
        <v>0</v>
      </c>
      <c r="FB7" s="537">
        <f t="shared" si="9"/>
        <v>0</v>
      </c>
      <c r="FC7" s="537">
        <f t="shared" si="9"/>
        <v>0</v>
      </c>
      <c r="FD7" s="537">
        <f t="shared" si="9"/>
        <v>0</v>
      </c>
      <c r="FE7" s="537">
        <f t="shared" si="9"/>
        <v>0</v>
      </c>
      <c r="FF7" s="537">
        <f t="shared" si="9"/>
        <v>0</v>
      </c>
      <c r="FG7" s="537">
        <f t="shared" si="9"/>
        <v>0</v>
      </c>
      <c r="FH7" s="537">
        <f t="shared" si="9"/>
        <v>0</v>
      </c>
      <c r="FI7" s="537">
        <f t="shared" si="9"/>
        <v>0</v>
      </c>
      <c r="FJ7" s="537">
        <f t="shared" si="9"/>
        <v>0</v>
      </c>
      <c r="FK7" s="537">
        <f t="shared" si="9"/>
        <v>0</v>
      </c>
      <c r="FL7" s="537">
        <f t="shared" si="9"/>
        <v>0</v>
      </c>
      <c r="FM7" s="537">
        <f t="shared" si="9"/>
        <v>0</v>
      </c>
      <c r="FN7" s="537">
        <f t="shared" ref="FN7:FZ7" si="10">SUBTOTAL(9,FN10:FN202)</f>
        <v>0</v>
      </c>
      <c r="FO7" s="537">
        <f t="shared" si="10"/>
        <v>0</v>
      </c>
      <c r="FP7" s="537">
        <f t="shared" si="10"/>
        <v>0</v>
      </c>
      <c r="FQ7" s="537">
        <f t="shared" si="10"/>
        <v>0</v>
      </c>
      <c r="FR7" s="537">
        <f t="shared" si="10"/>
        <v>0</v>
      </c>
      <c r="FS7" s="537">
        <f t="shared" si="10"/>
        <v>0</v>
      </c>
      <c r="FT7" s="537">
        <f t="shared" si="10"/>
        <v>0</v>
      </c>
      <c r="FU7" s="537">
        <f t="shared" si="10"/>
        <v>0</v>
      </c>
      <c r="FV7" s="537">
        <f t="shared" si="10"/>
        <v>0</v>
      </c>
      <c r="FW7" s="537">
        <f t="shared" si="10"/>
        <v>0</v>
      </c>
      <c r="FX7" s="537">
        <f t="shared" si="10"/>
        <v>0</v>
      </c>
      <c r="FY7" s="537">
        <f t="shared" si="10"/>
        <v>0</v>
      </c>
      <c r="FZ7" s="537">
        <f t="shared" si="10"/>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3" s="27" customFormat="1" x14ac:dyDescent="0.2">
      <c r="A10" s="38"/>
      <c r="B10" s="37"/>
      <c r="C10" s="36">
        <f t="shared" ref="C10:C116" si="11">E10*D$5</f>
        <v>0</v>
      </c>
      <c r="D10" s="103" t="s">
        <v>106</v>
      </c>
      <c r="E10" s="36">
        <f t="shared" ref="E10:E36" si="12">SUM(G10:HS10)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11"/>
        <v>0</v>
      </c>
      <c r="D11" s="103" t="s">
        <v>471</v>
      </c>
      <c r="E11" s="86">
        <f t="shared" si="12"/>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11"/>
        <v>20</v>
      </c>
      <c r="D12" s="4" t="s">
        <v>2796</v>
      </c>
      <c r="E12" s="86">
        <f t="shared" si="12"/>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11"/>
        <v>20</v>
      </c>
      <c r="D13" s="4" t="s">
        <v>2797</v>
      </c>
      <c r="E13" s="86">
        <f t="shared" si="12"/>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ht="24" x14ac:dyDescent="0.2">
      <c r="B14" s="80"/>
      <c r="C14" s="36">
        <f t="shared" si="11"/>
        <v>-40</v>
      </c>
      <c r="D14" s="410" t="s">
        <v>2798</v>
      </c>
      <c r="E14" s="411">
        <f t="shared" si="12"/>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11"/>
        <v>18</v>
      </c>
      <c r="D15" s="4" t="s">
        <v>2799</v>
      </c>
      <c r="E15" s="36">
        <f t="shared" si="12"/>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11"/>
        <v>18</v>
      </c>
      <c r="D16" s="4" t="s">
        <v>2800</v>
      </c>
      <c r="E16" s="36">
        <f t="shared" si="12"/>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11"/>
        <v>18</v>
      </c>
      <c r="D17" s="4" t="s">
        <v>2801</v>
      </c>
      <c r="E17" s="36">
        <f t="shared" si="12"/>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11"/>
        <v>18</v>
      </c>
      <c r="D18" s="4" t="s">
        <v>2802</v>
      </c>
      <c r="E18" s="36">
        <f t="shared" si="12"/>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11"/>
        <v>8</v>
      </c>
      <c r="D19" s="3" t="s">
        <v>2803</v>
      </c>
      <c r="E19" s="36">
        <f t="shared" si="12"/>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11"/>
        <v>-43.076923076923073</v>
      </c>
      <c r="D20" s="412" t="s">
        <v>621</v>
      </c>
      <c r="E20" s="413">
        <f t="shared" si="12"/>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11"/>
        <v>1.5384615384615379</v>
      </c>
      <c r="D21" s="4" t="s">
        <v>2804</v>
      </c>
      <c r="E21" s="36">
        <f t="shared" si="12"/>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11"/>
        <v>14.871794871794856</v>
      </c>
      <c r="D22" s="4" t="s">
        <v>2805</v>
      </c>
      <c r="E22" s="86">
        <f t="shared" si="12"/>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c r="AI22" s="123"/>
      <c r="AJ22" s="123"/>
      <c r="AK22" s="121">
        <v>0.33333333333333298</v>
      </c>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11"/>
        <v>100</v>
      </c>
      <c r="D23" s="4" t="s">
        <v>599</v>
      </c>
      <c r="E23" s="86">
        <f t="shared" si="12"/>
        <v>2.5</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11"/>
        <v>-40</v>
      </c>
      <c r="D24" s="410" t="s">
        <v>632</v>
      </c>
      <c r="E24" s="413">
        <f t="shared" si="12"/>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11"/>
        <v>40</v>
      </c>
      <c r="D25" s="104" t="s">
        <v>633</v>
      </c>
      <c r="E25" s="86">
        <f t="shared" si="12"/>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11"/>
        <v>-26.01005722212588</v>
      </c>
      <c r="D26" s="412" t="s">
        <v>662</v>
      </c>
      <c r="E26" s="413">
        <f t="shared" si="12"/>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11"/>
        <v>19.074041962892316</v>
      </c>
      <c r="D27" s="104" t="s">
        <v>2806</v>
      </c>
      <c r="E27" s="36">
        <f t="shared" si="12"/>
        <v>0.47685104907230791</v>
      </c>
      <c r="F27" s="35" t="s">
        <v>228</v>
      </c>
      <c r="G27" s="121"/>
      <c r="H27" s="121"/>
      <c r="I27" s="121"/>
      <c r="J27" s="121"/>
      <c r="K27" s="121"/>
      <c r="L27" s="121"/>
      <c r="M27" s="6"/>
      <c r="N27" s="121">
        <v>0.65025143055314705</v>
      </c>
      <c r="O27" s="121"/>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1" s="27" customFormat="1" x14ac:dyDescent="0.2">
      <c r="A28" s="125"/>
      <c r="B28" s="39"/>
      <c r="C28" s="36">
        <f t="shared" si="11"/>
        <v>-19.07404196289232</v>
      </c>
      <c r="D28" s="410" t="s">
        <v>657</v>
      </c>
      <c r="E28" s="411">
        <f t="shared" si="12"/>
        <v>-0.47685104907230802</v>
      </c>
      <c r="F28" s="35" t="s">
        <v>228</v>
      </c>
      <c r="G28" s="121"/>
      <c r="H28" s="121"/>
      <c r="I28" s="121"/>
      <c r="J28" s="121"/>
      <c r="K28" s="121"/>
      <c r="L28" s="121"/>
      <c r="M28" s="5"/>
      <c r="N28" s="121"/>
      <c r="O28" s="121">
        <v>-0.47685104907230802</v>
      </c>
      <c r="P28" s="121"/>
      <c r="Q28" s="123"/>
      <c r="R28" s="123"/>
      <c r="S28" s="121"/>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1" s="27" customFormat="1" x14ac:dyDescent="0.2">
      <c r="A29" s="125"/>
      <c r="B29" s="39"/>
      <c r="C29" s="86">
        <f t="shared" si="11"/>
        <v>19.07404196289232</v>
      </c>
      <c r="D29" s="103" t="s">
        <v>658</v>
      </c>
      <c r="E29" s="86">
        <f t="shared" si="12"/>
        <v>0.47685104907230802</v>
      </c>
      <c r="F29" s="35" t="s">
        <v>228</v>
      </c>
      <c r="G29" s="121"/>
      <c r="H29" s="121"/>
      <c r="I29" s="121"/>
      <c r="J29" s="121"/>
      <c r="K29" s="121"/>
      <c r="L29" s="121"/>
      <c r="M29" s="5"/>
      <c r="N29" s="121"/>
      <c r="O29" s="121">
        <v>0.47685104907230802</v>
      </c>
      <c r="P29" s="121"/>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1" s="27" customFormat="1" x14ac:dyDescent="0.2">
      <c r="A30" s="125"/>
      <c r="B30" s="39"/>
      <c r="C30" s="36">
        <f t="shared" si="11"/>
        <v>3.4680076296167837</v>
      </c>
      <c r="D30" s="4" t="s">
        <v>225</v>
      </c>
      <c r="E30" s="36">
        <f t="shared" si="12"/>
        <v>8.6700190740419597E-2</v>
      </c>
      <c r="F30" s="35" t="s">
        <v>228</v>
      </c>
      <c r="G30" s="121"/>
      <c r="H30" s="121"/>
      <c r="I30" s="121"/>
      <c r="J30" s="121"/>
      <c r="K30" s="121"/>
      <c r="L30" s="121"/>
      <c r="M30" s="117"/>
      <c r="N30" s="121"/>
      <c r="O30" s="121"/>
      <c r="P30" s="121">
        <v>8.6700190740419597E-2</v>
      </c>
      <c r="Q30" s="123"/>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1" s="27" customFormat="1" x14ac:dyDescent="0.2">
      <c r="A31" s="125"/>
      <c r="B31" s="39"/>
      <c r="C31" s="86">
        <f t="shared" si="11"/>
        <v>3.4680076296167837</v>
      </c>
      <c r="D31" s="4" t="s">
        <v>671</v>
      </c>
      <c r="E31" s="86">
        <f t="shared" si="12"/>
        <v>8.6700190740419597E-2</v>
      </c>
      <c r="F31" s="35" t="s">
        <v>228</v>
      </c>
      <c r="G31" s="121"/>
      <c r="H31" s="121"/>
      <c r="I31" s="121"/>
      <c r="J31" s="121"/>
      <c r="K31" s="121"/>
      <c r="L31" s="121"/>
      <c r="M31" s="117"/>
      <c r="N31" s="121"/>
      <c r="O31" s="121"/>
      <c r="P31" s="121"/>
      <c r="Q31" s="123">
        <v>8.6700190740419597E-2</v>
      </c>
      <c r="R31" s="123"/>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1" s="27" customFormat="1" x14ac:dyDescent="0.2">
      <c r="A32" s="125"/>
      <c r="B32" s="39"/>
      <c r="C32" s="86">
        <f t="shared" si="11"/>
        <v>-9.2307692307692406</v>
      </c>
      <c r="D32" s="410" t="s">
        <v>693</v>
      </c>
      <c r="E32" s="413">
        <f t="shared" si="12"/>
        <v>-0.230769230769231</v>
      </c>
      <c r="F32" s="35" t="s">
        <v>228</v>
      </c>
      <c r="G32" s="121"/>
      <c r="H32" s="121"/>
      <c r="I32" s="121"/>
      <c r="J32" s="121"/>
      <c r="K32" s="121"/>
      <c r="L32" s="121"/>
      <c r="M32" s="117"/>
      <c r="N32" s="121"/>
      <c r="O32" s="121"/>
      <c r="P32" s="121"/>
      <c r="Q32" s="123"/>
      <c r="R32" s="123">
        <v>-0.230769230769231</v>
      </c>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6" s="27" customFormat="1" x14ac:dyDescent="0.2">
      <c r="A33" s="125"/>
      <c r="B33" s="39"/>
      <c r="C33" s="36">
        <f t="shared" si="11"/>
        <v>0</v>
      </c>
      <c r="D33" s="103" t="s">
        <v>694</v>
      </c>
      <c r="E33" s="36">
        <f t="shared" si="12"/>
        <v>0</v>
      </c>
      <c r="F33" s="35" t="s">
        <v>228</v>
      </c>
      <c r="G33" s="121"/>
      <c r="H33" s="121"/>
      <c r="I33" s="121"/>
      <c r="J33" s="121"/>
      <c r="K33" s="121"/>
      <c r="L33" s="121"/>
      <c r="M33" s="121"/>
      <c r="N33" s="121"/>
      <c r="O33" s="121"/>
      <c r="P33" s="121"/>
      <c r="Q33" s="123"/>
      <c r="R33" s="123">
        <v>0.230769230769231</v>
      </c>
      <c r="S33" s="121">
        <v>-0.15384615384615399</v>
      </c>
      <c r="T33" s="121">
        <v>-3.8461538461538498E-2</v>
      </c>
      <c r="U33" s="121">
        <v>-3.8461538461538498E-2</v>
      </c>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6" s="27" customFormat="1" x14ac:dyDescent="0.2">
      <c r="A34" s="125"/>
      <c r="B34" s="39"/>
      <c r="C34" s="36">
        <f t="shared" si="11"/>
        <v>0</v>
      </c>
      <c r="D34" s="103" t="s">
        <v>698</v>
      </c>
      <c r="E34" s="36">
        <f t="shared" si="12"/>
        <v>0</v>
      </c>
      <c r="F34" s="35" t="s">
        <v>228</v>
      </c>
      <c r="G34" s="121"/>
      <c r="H34" s="121"/>
      <c r="I34" s="121"/>
      <c r="J34" s="121"/>
      <c r="K34" s="121"/>
      <c r="L34" s="121"/>
      <c r="M34" s="121"/>
      <c r="N34" s="121"/>
      <c r="O34" s="121"/>
      <c r="P34" s="121"/>
      <c r="Q34" s="123"/>
      <c r="R34" s="123"/>
      <c r="S34" s="121">
        <v>0.15384615384615399</v>
      </c>
      <c r="T34" s="121"/>
      <c r="U34" s="121"/>
      <c r="V34" s="121"/>
      <c r="W34" s="129"/>
      <c r="X34" s="121">
        <v>-0.15384615384615399</v>
      </c>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6" s="27" customFormat="1" x14ac:dyDescent="0.2">
      <c r="A35" s="125"/>
      <c r="B35" s="39"/>
      <c r="C35" s="36">
        <f t="shared" si="11"/>
        <v>1.5384615384615399</v>
      </c>
      <c r="D35" s="4" t="s">
        <v>702</v>
      </c>
      <c r="E35" s="36">
        <f t="shared" si="12"/>
        <v>3.8461538461538498E-2</v>
      </c>
      <c r="F35" s="35" t="s">
        <v>228</v>
      </c>
      <c r="G35" s="121"/>
      <c r="H35" s="121"/>
      <c r="I35" s="121"/>
      <c r="J35" s="121"/>
      <c r="K35" s="121"/>
      <c r="L35" s="121"/>
      <c r="M35" s="121"/>
      <c r="N35" s="121"/>
      <c r="O35" s="121"/>
      <c r="P35" s="121"/>
      <c r="Q35" s="123"/>
      <c r="R35" s="123"/>
      <c r="S35" s="121"/>
      <c r="T35" s="121">
        <v>3.8461538461538498E-2</v>
      </c>
      <c r="U35" s="121"/>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6" s="27" customFormat="1" x14ac:dyDescent="0.2">
      <c r="A36" s="125"/>
      <c r="B36" s="39"/>
      <c r="C36" s="36">
        <f t="shared" si="11"/>
        <v>1.5384615384615399</v>
      </c>
      <c r="D36" s="4" t="s">
        <v>706</v>
      </c>
      <c r="E36" s="36">
        <f t="shared" si="12"/>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6" s="27" customFormat="1" x14ac:dyDescent="0.2">
      <c r="A37" s="125"/>
      <c r="B37" s="39"/>
      <c r="C37" s="86">
        <f>E37*D$5</f>
        <v>-1.5384615384615399</v>
      </c>
      <c r="D37" s="410" t="s">
        <v>791</v>
      </c>
      <c r="E37" s="413">
        <f>SUM(G37:HX37)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3">E38*D$5</f>
        <v>0.76923076923077194</v>
      </c>
      <c r="D38" s="4" t="s">
        <v>792</v>
      </c>
      <c r="E38" s="36">
        <f>SUM(G38:HS38)</f>
        <v>1.9230769230769298E-2</v>
      </c>
      <c r="F38" s="35" t="s">
        <v>228</v>
      </c>
      <c r="G38" s="121"/>
      <c r="H38" s="121"/>
      <c r="I38" s="121"/>
      <c r="J38" s="121"/>
      <c r="K38" s="121"/>
      <c r="L38" s="121"/>
      <c r="M38" s="121"/>
      <c r="N38" s="121"/>
      <c r="O38" s="121"/>
      <c r="P38" s="121"/>
      <c r="Q38" s="123"/>
      <c r="R38" s="123"/>
      <c r="S38" s="121"/>
      <c r="T38" s="121"/>
      <c r="U38" s="121"/>
      <c r="V38" s="121">
        <v>3.8461538461538498E-2</v>
      </c>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6" s="27" customFormat="1" x14ac:dyDescent="0.2">
      <c r="A39" s="125"/>
      <c r="B39" s="39"/>
      <c r="C39" s="36">
        <f t="shared" si="13"/>
        <v>-39.230769230769234</v>
      </c>
      <c r="D39" s="410" t="s">
        <v>795</v>
      </c>
      <c r="E39" s="411">
        <f>SUM(G39:HG39)</f>
        <v>-0.98076923076923084</v>
      </c>
      <c r="F39" s="35" t="s">
        <v>228</v>
      </c>
      <c r="G39" s="121"/>
      <c r="H39" s="122"/>
      <c r="I39" s="122"/>
      <c r="J39" s="122"/>
      <c r="K39" s="122"/>
      <c r="L39" s="123"/>
      <c r="M39" s="123"/>
      <c r="N39" s="123"/>
      <c r="O39" s="123"/>
      <c r="P39" s="123"/>
      <c r="Q39" s="123"/>
      <c r="R39" s="123"/>
      <c r="S39" s="123"/>
      <c r="T39" s="123"/>
      <c r="U39" s="123"/>
      <c r="V39" s="123"/>
      <c r="W39" s="123">
        <v>1.9230769230769201E-2</v>
      </c>
      <c r="X39" s="123"/>
      <c r="Y39" s="123">
        <v>-1</v>
      </c>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ht="24" x14ac:dyDescent="0.2">
      <c r="A40" s="125"/>
      <c r="B40" s="39"/>
      <c r="C40" s="86">
        <f t="shared" si="13"/>
        <v>6.1538461538461595</v>
      </c>
      <c r="D40" s="4" t="s">
        <v>2807</v>
      </c>
      <c r="E40" s="86">
        <f>SUM(G40:HG40)</f>
        <v>0.15384615384615399</v>
      </c>
      <c r="F40" s="35" t="s">
        <v>228</v>
      </c>
      <c r="G40" s="121"/>
      <c r="H40" s="122"/>
      <c r="I40" s="122"/>
      <c r="J40" s="122"/>
      <c r="K40" s="122"/>
      <c r="L40" s="123"/>
      <c r="M40" s="123"/>
      <c r="N40" s="123"/>
      <c r="O40" s="123"/>
      <c r="P40" s="123"/>
      <c r="Q40" s="123"/>
      <c r="R40" s="123"/>
      <c r="S40" s="123"/>
      <c r="T40" s="123"/>
      <c r="U40" s="123"/>
      <c r="V40" s="123"/>
      <c r="W40" s="123"/>
      <c r="X40" s="123">
        <v>0.15384615384615399</v>
      </c>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3"/>
        <v>40</v>
      </c>
      <c r="D41" s="4" t="s">
        <v>901</v>
      </c>
      <c r="E41" s="36">
        <f>SUM(G41:HG41)</f>
        <v>1</v>
      </c>
      <c r="F41" s="35" t="s">
        <v>228</v>
      </c>
      <c r="G41" s="121"/>
      <c r="H41" s="122"/>
      <c r="I41" s="122"/>
      <c r="J41" s="122"/>
      <c r="K41" s="122"/>
      <c r="L41" s="123"/>
      <c r="M41" s="123"/>
      <c r="N41" s="123"/>
      <c r="O41" s="123"/>
      <c r="P41" s="123"/>
      <c r="Q41" s="123"/>
      <c r="R41" s="123"/>
      <c r="S41" s="123"/>
      <c r="T41" s="123"/>
      <c r="U41" s="123"/>
      <c r="V41" s="123"/>
      <c r="W41" s="123"/>
      <c r="X41" s="123"/>
      <c r="Y41" s="123">
        <v>1</v>
      </c>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-0.3076923076923076</v>
      </c>
      <c r="D42" s="412" t="s">
        <v>927</v>
      </c>
      <c r="E42" s="413">
        <f>SUM(G42:HG42)</f>
        <v>-7.6923076923076901E-3</v>
      </c>
      <c r="F42" s="35" t="s">
        <v>228</v>
      </c>
      <c r="G42" s="121"/>
      <c r="H42" s="122"/>
      <c r="I42" s="122"/>
      <c r="J42" s="122"/>
      <c r="K42" s="122"/>
      <c r="L42" s="123"/>
      <c r="M42" s="123"/>
      <c r="N42" s="123"/>
      <c r="O42" s="123"/>
      <c r="P42" s="123"/>
      <c r="Q42" s="123"/>
      <c r="R42" s="123"/>
      <c r="S42" s="124"/>
      <c r="T42" s="124"/>
      <c r="U42" s="123"/>
      <c r="V42" s="123"/>
      <c r="W42" s="123"/>
      <c r="X42" s="123"/>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-1.2307692307692324</v>
      </c>
      <c r="D43" s="412" t="s">
        <v>928</v>
      </c>
      <c r="E43" s="413">
        <f>SUM(G43:HG43)</f>
        <v>-3.0769230769230809E-2</v>
      </c>
      <c r="F43" s="35" t="s">
        <v>228</v>
      </c>
      <c r="G43" s="121"/>
      <c r="H43" s="122"/>
      <c r="I43" s="122"/>
      <c r="J43" s="122"/>
      <c r="K43" s="122"/>
      <c r="L43" s="123"/>
      <c r="M43" s="123"/>
      <c r="N43" s="123"/>
      <c r="O43" s="124"/>
      <c r="P43" s="123"/>
      <c r="Q43" s="123"/>
      <c r="R43" s="123"/>
      <c r="S43" s="123"/>
      <c r="T43" s="123"/>
      <c r="U43" s="123"/>
      <c r="V43" s="123"/>
      <c r="W43" s="123"/>
      <c r="X43" s="123"/>
      <c r="Y43" s="123"/>
      <c r="Z43" s="123">
        <v>7.6923076923076901E-3</v>
      </c>
      <c r="AA43" s="123"/>
      <c r="AB43" s="123">
        <v>-3.8461538461538498E-2</v>
      </c>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11"/>
        <v>-40</v>
      </c>
      <c r="D44" s="410" t="s">
        <v>997</v>
      </c>
      <c r="E44" s="413">
        <f>SUM(G44:HS44)</f>
        <v>-1</v>
      </c>
      <c r="F44" s="35" t="s">
        <v>228</v>
      </c>
      <c r="G44" s="121"/>
      <c r="H44" s="121"/>
      <c r="I44" s="121"/>
      <c r="J44" s="121"/>
      <c r="K44" s="121"/>
      <c r="L44" s="121"/>
      <c r="M44" s="121"/>
      <c r="N44" s="121"/>
      <c r="O44" s="121"/>
      <c r="P44" s="121"/>
      <c r="Q44" s="123"/>
      <c r="R44" s="123"/>
      <c r="S44" s="121"/>
      <c r="T44" s="121"/>
      <c r="U44" s="121"/>
      <c r="V44" s="121"/>
      <c r="W44" s="121"/>
      <c r="X44" s="121"/>
      <c r="Y44" s="121"/>
      <c r="Z44" s="121"/>
      <c r="AA44" s="121">
        <v>-1</v>
      </c>
      <c r="AB44" s="121"/>
      <c r="AC44" s="121"/>
      <c r="AD44" s="123"/>
      <c r="AE44" s="123"/>
      <c r="AF44" s="123"/>
      <c r="AG44" s="123"/>
      <c r="AH44" s="124"/>
      <c r="AI44" s="124"/>
      <c r="AJ44" s="123"/>
      <c r="AK44" s="121"/>
      <c r="AL44" s="123"/>
      <c r="AM44" s="121"/>
      <c r="AN44" s="123"/>
      <c r="AO44" s="121"/>
      <c r="AP44" s="121"/>
      <c r="AQ44" s="28"/>
      <c r="AR44" s="28"/>
      <c r="AS44" s="28"/>
    </row>
    <row r="45" spans="1:186" s="27" customFormat="1" x14ac:dyDescent="0.2">
      <c r="A45" s="125"/>
      <c r="B45" s="39"/>
      <c r="C45" s="86">
        <f>E45*D$5</f>
        <v>39.230769230769234</v>
      </c>
      <c r="D45" s="3" t="s">
        <v>998</v>
      </c>
      <c r="E45" s="86">
        <f>SUM(G45:HO45)</f>
        <v>0.98076923076923084</v>
      </c>
      <c r="F45" s="35" t="s">
        <v>228</v>
      </c>
      <c r="G45" s="121"/>
      <c r="H45" s="123"/>
      <c r="I45" s="123"/>
      <c r="J45" s="123"/>
      <c r="K45" s="123"/>
      <c r="L45" s="123"/>
      <c r="M45" s="124"/>
      <c r="N45" s="124"/>
      <c r="O45" s="123"/>
      <c r="P45" s="123"/>
      <c r="Q45" s="123"/>
      <c r="R45" s="123"/>
      <c r="S45" s="123"/>
      <c r="T45" s="123"/>
      <c r="U45" s="123"/>
      <c r="V45" s="123"/>
      <c r="W45" s="123"/>
      <c r="X45" s="123"/>
      <c r="Y45" s="123"/>
      <c r="Z45" s="123"/>
      <c r="AA45" s="123">
        <v>1</v>
      </c>
      <c r="AB45" s="121"/>
      <c r="AC45" s="123"/>
      <c r="AD45" s="123"/>
      <c r="AE45" s="123"/>
      <c r="AF45" s="123"/>
      <c r="AG45" s="123"/>
      <c r="AH45" s="123"/>
      <c r="AI45" s="123">
        <v>-1.9230769230769201E-2</v>
      </c>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11"/>
        <v>-38.46153846153846</v>
      </c>
      <c r="D46" s="410" t="s">
        <v>1066</v>
      </c>
      <c r="E46" s="413">
        <f t="shared" ref="E46:E109" si="14">SUM(G46:HS46)</f>
        <v>-0.96153846153846145</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v>3.8461538461538498E-2</v>
      </c>
      <c r="AC46" s="121"/>
      <c r="AD46" s="123"/>
      <c r="AE46" s="123"/>
      <c r="AF46" s="123"/>
      <c r="AG46" s="123"/>
      <c r="AH46" s="123"/>
      <c r="AI46" s="123"/>
      <c r="AJ46" s="124"/>
      <c r="AK46" s="121"/>
      <c r="AL46" s="123"/>
      <c r="AM46" s="129"/>
      <c r="AN46" s="123"/>
      <c r="AO46" s="121"/>
      <c r="AP46" s="121"/>
      <c r="AQ46" s="28"/>
      <c r="AR46" s="28"/>
      <c r="AS46" s="28"/>
      <c r="AX46" s="27">
        <v>-1</v>
      </c>
    </row>
    <row r="47" spans="1:186" s="27" customFormat="1" x14ac:dyDescent="0.2">
      <c r="A47" s="125"/>
      <c r="B47" s="39"/>
      <c r="C47" s="86">
        <f t="shared" si="11"/>
        <v>-40</v>
      </c>
      <c r="D47" s="412" t="s">
        <v>1130</v>
      </c>
      <c r="E47" s="413">
        <f t="shared" si="14"/>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v>-1</v>
      </c>
      <c r="AD47" s="123"/>
      <c r="AE47" s="123"/>
      <c r="AF47" s="123"/>
      <c r="AG47" s="123"/>
      <c r="AH47" s="123"/>
      <c r="AI47" s="123"/>
      <c r="AJ47" s="123"/>
      <c r="AK47" s="121"/>
      <c r="AL47" s="123"/>
      <c r="AM47" s="129"/>
      <c r="AN47" s="124"/>
      <c r="AO47" s="121"/>
      <c r="AP47" s="121"/>
      <c r="AQ47" s="28"/>
      <c r="AR47" s="28"/>
      <c r="AS47" s="28"/>
    </row>
    <row r="48" spans="1:186" s="27" customFormat="1" x14ac:dyDescent="0.2">
      <c r="A48" s="125"/>
      <c r="B48" s="39"/>
      <c r="C48" s="36">
        <f t="shared" si="11"/>
        <v>0</v>
      </c>
      <c r="D48" s="4" t="s">
        <v>1131</v>
      </c>
      <c r="E48" s="36">
        <f t="shared" si="14"/>
        <v>0</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v>-1</v>
      </c>
      <c r="AG48" s="123"/>
      <c r="AH48" s="123"/>
      <c r="AI48" s="123"/>
      <c r="AJ48" s="123"/>
      <c r="AK48" s="121"/>
      <c r="AL48" s="123"/>
      <c r="AM48" s="129"/>
      <c r="AN48" s="124"/>
      <c r="AO48" s="121"/>
      <c r="AP48" s="121"/>
      <c r="AQ48" s="28"/>
      <c r="AR48" s="28"/>
      <c r="AS48" s="28"/>
    </row>
    <row r="49" spans="1:46" s="27" customFormat="1" x14ac:dyDescent="0.2">
      <c r="A49" s="125"/>
      <c r="B49" s="39"/>
      <c r="C49" s="86">
        <f t="shared" si="11"/>
        <v>-40</v>
      </c>
      <c r="D49" s="412" t="s">
        <v>1136</v>
      </c>
      <c r="E49" s="411">
        <f t="shared" si="14"/>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v>-1</v>
      </c>
      <c r="AE49" s="123"/>
      <c r="AF49" s="123"/>
      <c r="AG49" s="123"/>
      <c r="AH49" s="123"/>
      <c r="AI49" s="123"/>
      <c r="AJ49" s="123"/>
      <c r="AK49" s="121"/>
      <c r="AL49" s="123"/>
      <c r="AM49" s="121"/>
      <c r="AN49" s="124"/>
      <c r="AO49" s="121"/>
      <c r="AP49" s="121"/>
      <c r="AQ49" s="28"/>
      <c r="AR49" s="28"/>
      <c r="AS49" s="28"/>
    </row>
    <row r="50" spans="1:46" s="27" customFormat="1" x14ac:dyDescent="0.2">
      <c r="A50" s="38"/>
      <c r="B50" s="37"/>
      <c r="C50" s="36">
        <f t="shared" si="11"/>
        <v>120</v>
      </c>
      <c r="D50" s="4" t="s">
        <v>114</v>
      </c>
      <c r="E50" s="36">
        <f t="shared" si="14"/>
        <v>3</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1</v>
      </c>
      <c r="AE50" s="123">
        <v>-1</v>
      </c>
      <c r="AF50" s="123">
        <v>1</v>
      </c>
      <c r="AG50" s="123">
        <v>-1</v>
      </c>
      <c r="AH50" s="123"/>
      <c r="AI50" s="123"/>
      <c r="AJ50" s="123"/>
      <c r="AK50" s="121"/>
      <c r="AL50" s="123"/>
      <c r="AM50" s="121"/>
      <c r="AN50" s="123"/>
      <c r="AO50" s="121"/>
      <c r="AP50" s="121"/>
      <c r="AQ50" s="28"/>
      <c r="AR50" s="28">
        <v>1</v>
      </c>
      <c r="AS50" s="28">
        <v>1</v>
      </c>
      <c r="AT50" s="27">
        <v>1</v>
      </c>
    </row>
    <row r="51" spans="1:46" s="27" customFormat="1" x14ac:dyDescent="0.2">
      <c r="A51" s="38"/>
      <c r="B51" s="37"/>
      <c r="C51" s="36">
        <f t="shared" si="11"/>
        <v>40</v>
      </c>
      <c r="D51" s="4" t="s">
        <v>1139</v>
      </c>
      <c r="E51" s="36">
        <f t="shared" si="14"/>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6" s="27" customFormat="1" x14ac:dyDescent="0.2">
      <c r="A52" s="38"/>
      <c r="B52" s="37"/>
      <c r="C52" s="86">
        <f t="shared" si="11"/>
        <v>40</v>
      </c>
      <c r="D52" s="4" t="s">
        <v>1148</v>
      </c>
      <c r="E52" s="86">
        <f t="shared" si="14"/>
        <v>1</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v>1</v>
      </c>
      <c r="AH52" s="123"/>
      <c r="AI52" s="123"/>
      <c r="AJ52" s="123"/>
      <c r="AK52" s="121"/>
      <c r="AL52" s="123"/>
      <c r="AM52" s="121"/>
      <c r="AN52" s="123"/>
      <c r="AO52" s="121"/>
      <c r="AP52" s="121"/>
      <c r="AQ52" s="28"/>
      <c r="AR52" s="28"/>
      <c r="AS52" s="28"/>
    </row>
    <row r="53" spans="1:46" s="27" customFormat="1" x14ac:dyDescent="0.2">
      <c r="A53" s="38"/>
      <c r="B53" s="37"/>
      <c r="C53" s="86">
        <f t="shared" si="11"/>
        <v>-40</v>
      </c>
      <c r="D53" s="410" t="s">
        <v>1151</v>
      </c>
      <c r="E53" s="413">
        <f t="shared" si="14"/>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v>-1</v>
      </c>
      <c r="AI53" s="123"/>
      <c r="AJ53" s="123"/>
      <c r="AK53" s="121"/>
      <c r="AL53" s="123"/>
      <c r="AM53" s="121"/>
      <c r="AN53" s="123"/>
      <c r="AO53" s="121"/>
      <c r="AP53" s="121"/>
      <c r="AQ53" s="28"/>
      <c r="AR53" s="28"/>
      <c r="AS53" s="28"/>
    </row>
    <row r="54" spans="1:46" s="27" customFormat="1" ht="12.95" customHeight="1" x14ac:dyDescent="0.2">
      <c r="A54" s="38"/>
      <c r="B54" s="37"/>
      <c r="C54" s="36">
        <f t="shared" si="11"/>
        <v>40</v>
      </c>
      <c r="D54" s="4" t="s">
        <v>1152</v>
      </c>
      <c r="E54" s="36">
        <f t="shared" si="14"/>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6" s="27" customFormat="1" ht="14.1" customHeight="1" x14ac:dyDescent="0.2">
      <c r="A55" s="38"/>
      <c r="B55" s="37"/>
      <c r="C55" s="36">
        <f t="shared" si="11"/>
        <v>40.307692307692307</v>
      </c>
      <c r="D55" s="4" t="s">
        <v>1156</v>
      </c>
      <c r="E55" s="36">
        <f t="shared" si="14"/>
        <v>1.0076923076923077</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v>1.9230769230769201E-2</v>
      </c>
      <c r="AJ55" s="123">
        <v>1</v>
      </c>
      <c r="AK55" s="121"/>
      <c r="AL55" s="123"/>
      <c r="AM55" s="121">
        <v>-3.8461538461538498E-3</v>
      </c>
      <c r="AN55" s="124"/>
      <c r="AO55" s="121">
        <v>-7.6923076923076901E-3</v>
      </c>
      <c r="AP55" s="121"/>
      <c r="AQ55" s="28"/>
      <c r="AR55" s="28"/>
      <c r="AS55" s="28"/>
    </row>
    <row r="56" spans="1:46" s="27" customFormat="1" ht="17.45" customHeight="1" x14ac:dyDescent="0.2">
      <c r="A56" s="38"/>
      <c r="B56" s="37"/>
      <c r="C56" s="36">
        <f t="shared" si="11"/>
        <v>-40</v>
      </c>
      <c r="D56" s="414" t="s">
        <v>372</v>
      </c>
      <c r="E56" s="411">
        <f t="shared" si="14"/>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v>-1</v>
      </c>
      <c r="AK56" s="28"/>
      <c r="AL56" s="100"/>
      <c r="AM56" s="28"/>
      <c r="AN56" s="123"/>
      <c r="AO56" s="28"/>
      <c r="AP56" s="28"/>
      <c r="AQ56" s="28"/>
      <c r="AR56" s="28"/>
      <c r="AS56" s="28"/>
    </row>
    <row r="57" spans="1:46" s="27" customFormat="1" ht="17.45" customHeight="1" x14ac:dyDescent="0.2">
      <c r="A57" s="38"/>
      <c r="B57" s="37"/>
      <c r="C57" s="36">
        <f t="shared" si="11"/>
        <v>-40</v>
      </c>
      <c r="D57" s="415" t="s">
        <v>2808</v>
      </c>
      <c r="E57" s="411">
        <f t="shared" si="14"/>
        <v>-1</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v>-1</v>
      </c>
      <c r="AL57" s="100"/>
      <c r="AM57" s="28"/>
      <c r="AN57" s="123"/>
      <c r="AO57" s="28"/>
      <c r="AP57" s="28"/>
      <c r="AQ57" s="28"/>
      <c r="AR57" s="28"/>
      <c r="AS57" s="28"/>
    </row>
    <row r="58" spans="1:46" s="27" customFormat="1" ht="17.45" customHeight="1" x14ac:dyDescent="0.2">
      <c r="A58" s="38"/>
      <c r="B58" s="37"/>
      <c r="C58" s="36">
        <f t="shared" si="11"/>
        <v>-6.6666666666666803</v>
      </c>
      <c r="D58" s="414" t="s">
        <v>2809</v>
      </c>
      <c r="E58" s="411">
        <f t="shared" si="14"/>
        <v>-0.16666666666666702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v>0.33333333333333298</v>
      </c>
      <c r="AL58" s="100"/>
      <c r="AM58" s="28"/>
      <c r="AN58" s="123"/>
      <c r="AO58" s="28"/>
      <c r="AP58" s="28"/>
      <c r="AQ58" s="28"/>
      <c r="AR58" s="28"/>
      <c r="AS58" s="28">
        <v>-0.5</v>
      </c>
    </row>
    <row r="59" spans="1:46" s="27" customFormat="1" ht="17.45" customHeight="1" x14ac:dyDescent="0.2">
      <c r="A59" s="38"/>
      <c r="B59" s="37"/>
      <c r="C59" s="36">
        <f t="shared" si="11"/>
        <v>13.33333333333332</v>
      </c>
      <c r="D59" s="87" t="s">
        <v>2810</v>
      </c>
      <c r="E59" s="36">
        <f t="shared" si="14"/>
        <v>0.33333333333333298</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v>0.33333333333333298</v>
      </c>
      <c r="AL59" s="100"/>
      <c r="AM59" s="28"/>
      <c r="AN59" s="123"/>
      <c r="AO59" s="28"/>
      <c r="AP59" s="28"/>
      <c r="AQ59" s="28"/>
      <c r="AR59" s="28"/>
      <c r="AS59" s="28"/>
    </row>
    <row r="60" spans="1:46" s="27" customFormat="1" ht="16.5" customHeight="1" x14ac:dyDescent="0.2">
      <c r="A60" s="38"/>
      <c r="B60" s="37"/>
      <c r="C60" s="36">
        <f t="shared" si="11"/>
        <v>-40</v>
      </c>
      <c r="D60" s="414" t="s">
        <v>1195</v>
      </c>
      <c r="E60" s="411">
        <f t="shared" si="14"/>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v>-1</v>
      </c>
      <c r="AM60" s="28"/>
      <c r="AN60" s="123"/>
      <c r="AO60" s="28"/>
      <c r="AP60" s="28"/>
      <c r="AQ60" s="28"/>
      <c r="AR60" s="28"/>
      <c r="AS60" s="28"/>
    </row>
    <row r="61" spans="1:46" s="27" customFormat="1" x14ac:dyDescent="0.2">
      <c r="A61" s="38"/>
      <c r="B61" s="37"/>
      <c r="C61" s="36">
        <f t="shared" si="11"/>
        <v>40</v>
      </c>
      <c r="D61" s="4" t="s">
        <v>1196</v>
      </c>
      <c r="E61" s="36">
        <f t="shared" si="14"/>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v>1</v>
      </c>
      <c r="AM61" s="28"/>
      <c r="AN61" s="123"/>
      <c r="AO61" s="28"/>
      <c r="AP61" s="28"/>
      <c r="AQ61" s="28"/>
      <c r="AR61" s="28"/>
      <c r="AS61" s="28"/>
    </row>
    <row r="62" spans="1:46" s="27" customFormat="1" x14ac:dyDescent="0.2">
      <c r="A62" s="38"/>
      <c r="B62" s="37"/>
      <c r="C62" s="86">
        <f t="shared" si="11"/>
        <v>0.15384615384615399</v>
      </c>
      <c r="D62" s="3" t="s">
        <v>1199</v>
      </c>
      <c r="E62" s="86">
        <f t="shared" si="14"/>
        <v>3.8461538461538498E-3</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v>3.8461538461538498E-3</v>
      </c>
      <c r="AN62" s="123"/>
      <c r="AO62" s="28"/>
      <c r="AP62" s="28"/>
      <c r="AQ62" s="28"/>
      <c r="AR62" s="28"/>
      <c r="AS62" s="28"/>
    </row>
    <row r="63" spans="1:46" s="27" customFormat="1" ht="24" x14ac:dyDescent="0.2">
      <c r="A63" s="38"/>
      <c r="B63" s="37"/>
      <c r="C63" s="86">
        <f t="shared" si="11"/>
        <v>0</v>
      </c>
      <c r="D63" s="3" t="s">
        <v>2811</v>
      </c>
      <c r="E63" s="86">
        <f t="shared" si="14"/>
        <v>0</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6" s="27" customFormat="1" x14ac:dyDescent="0.2">
      <c r="A64" s="38"/>
      <c r="B64" s="37"/>
      <c r="C64" s="36">
        <f t="shared" si="11"/>
        <v>0</v>
      </c>
      <c r="D64" s="4" t="s">
        <v>339</v>
      </c>
      <c r="E64" s="36">
        <f t="shared" si="14"/>
        <v>0</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54" s="27" customFormat="1" x14ac:dyDescent="0.2">
      <c r="A65" s="38"/>
      <c r="B65" s="37"/>
      <c r="C65" s="86">
        <f t="shared" si="11"/>
        <v>0</v>
      </c>
      <c r="D65" s="3" t="s">
        <v>2812</v>
      </c>
      <c r="E65" s="86">
        <f t="shared" si="14"/>
        <v>0</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54" s="27" customFormat="1" x14ac:dyDescent="0.2">
      <c r="A66" s="38"/>
      <c r="B66" s="37"/>
      <c r="C66" s="86">
        <f t="shared" si="11"/>
        <v>0</v>
      </c>
      <c r="D66" s="3" t="s">
        <v>268</v>
      </c>
      <c r="E66" s="86">
        <f t="shared" si="14"/>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54" s="27" customFormat="1" x14ac:dyDescent="0.2">
      <c r="A67" s="38"/>
      <c r="B67" s="37"/>
      <c r="C67" s="36">
        <f t="shared" si="11"/>
        <v>0</v>
      </c>
      <c r="D67" s="4" t="s">
        <v>2813</v>
      </c>
      <c r="E67" s="36">
        <f t="shared" si="14"/>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54" s="27" customFormat="1" x14ac:dyDescent="0.2">
      <c r="A68" s="38"/>
      <c r="B68" s="37"/>
      <c r="C68" s="36">
        <f t="shared" si="11"/>
        <v>0</v>
      </c>
      <c r="D68" s="4" t="s">
        <v>8733</v>
      </c>
      <c r="E68" s="36">
        <f t="shared" si="14"/>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54" s="27" customFormat="1" x14ac:dyDescent="0.2">
      <c r="A69" s="38"/>
      <c r="B69" s="37"/>
      <c r="C69" s="36">
        <f t="shared" si="11"/>
        <v>0.1538461538461538</v>
      </c>
      <c r="D69" s="4" t="s">
        <v>2814</v>
      </c>
      <c r="E69" s="36">
        <f t="shared" si="14"/>
        <v>3.8461538461538451E-3</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3.8461538461538451E-3</v>
      </c>
      <c r="AP69" s="28"/>
      <c r="AQ69" s="28"/>
      <c r="AR69" s="28"/>
      <c r="AS69" s="28"/>
    </row>
    <row r="70" spans="1:54" s="27" customFormat="1" x14ac:dyDescent="0.2">
      <c r="A70" s="38"/>
      <c r="B70" s="37"/>
      <c r="C70" s="36">
        <f t="shared" si="11"/>
        <v>-79.84615384615384</v>
      </c>
      <c r="D70" s="415" t="s">
        <v>2815</v>
      </c>
      <c r="E70" s="411">
        <f t="shared" si="14"/>
        <v>-1.9961538461538462</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3.8461538461538451E-3</v>
      </c>
      <c r="AP70" s="28">
        <v>-1</v>
      </c>
      <c r="AQ70" s="28"/>
      <c r="AR70" s="28"/>
      <c r="AS70" s="28"/>
      <c r="BB70" s="27">
        <v>-1</v>
      </c>
    </row>
    <row r="71" spans="1:54" s="27" customFormat="1" ht="24" x14ac:dyDescent="0.2">
      <c r="A71" s="38"/>
      <c r="B71" s="37"/>
      <c r="C71" s="36">
        <f t="shared" si="11"/>
        <v>40</v>
      </c>
      <c r="D71" s="66" t="s">
        <v>1261</v>
      </c>
      <c r="E71" s="36">
        <f t="shared" si="14"/>
        <v>1</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1</v>
      </c>
      <c r="AQ71" s="28"/>
      <c r="AR71" s="28"/>
      <c r="AS71" s="28"/>
    </row>
    <row r="72" spans="1:54" s="27" customFormat="1" x14ac:dyDescent="0.2">
      <c r="A72" s="38"/>
      <c r="B72" s="37"/>
      <c r="C72" s="86">
        <f t="shared" si="11"/>
        <v>-40</v>
      </c>
      <c r="D72" s="416" t="s">
        <v>1374</v>
      </c>
      <c r="E72" s="413">
        <f t="shared" si="14"/>
        <v>-1</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0"/>
      <c r="AK72" s="28"/>
      <c r="AL72" s="100"/>
      <c r="AM72" s="28"/>
      <c r="AN72" s="123"/>
      <c r="AO72" s="28"/>
      <c r="AP72" s="28"/>
      <c r="AQ72" s="28">
        <v>-1</v>
      </c>
      <c r="AR72" s="28"/>
      <c r="AS72" s="28"/>
    </row>
    <row r="73" spans="1:54" s="27" customFormat="1" x14ac:dyDescent="0.2">
      <c r="A73" s="38"/>
      <c r="B73" s="37"/>
      <c r="C73" s="36">
        <f t="shared" si="11"/>
        <v>40</v>
      </c>
      <c r="D73" s="66" t="s">
        <v>1375</v>
      </c>
      <c r="E73" s="36">
        <f t="shared" si="14"/>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00"/>
      <c r="AO73" s="28"/>
      <c r="AP73" s="28"/>
      <c r="AQ73" s="28">
        <v>1</v>
      </c>
      <c r="AR73" s="28"/>
      <c r="AS73" s="28"/>
    </row>
    <row r="74" spans="1:54" s="27" customFormat="1" x14ac:dyDescent="0.2">
      <c r="A74" s="38"/>
      <c r="B74" s="37"/>
      <c r="C74" s="36">
        <f t="shared" si="11"/>
        <v>0</v>
      </c>
      <c r="D74" s="66" t="s">
        <v>1370</v>
      </c>
      <c r="E74" s="36">
        <f t="shared" si="14"/>
        <v>0</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00"/>
      <c r="AO74" s="28"/>
      <c r="AP74" s="28"/>
      <c r="AQ74" s="28"/>
      <c r="AR74" s="28">
        <v>-1</v>
      </c>
      <c r="AS74" s="28"/>
      <c r="AU74" s="27">
        <v>1</v>
      </c>
    </row>
    <row r="75" spans="1:54" s="27" customFormat="1" x14ac:dyDescent="0.2">
      <c r="A75" s="38"/>
      <c r="B75" s="37"/>
      <c r="C75" s="36">
        <f t="shared" si="11"/>
        <v>-20</v>
      </c>
      <c r="D75" s="417" t="s">
        <v>1422</v>
      </c>
      <c r="E75" s="411">
        <f t="shared" si="14"/>
        <v>-0.5</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-0.5</v>
      </c>
    </row>
    <row r="76" spans="1:54" s="27" customFormat="1" x14ac:dyDescent="0.2">
      <c r="A76" s="38"/>
      <c r="B76" s="37"/>
      <c r="C76" s="36">
        <f t="shared" si="11"/>
        <v>-40</v>
      </c>
      <c r="D76" s="416" t="s">
        <v>1425</v>
      </c>
      <c r="E76" s="411">
        <f t="shared" si="14"/>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ht="24" x14ac:dyDescent="0.2">
      <c r="A77" s="38"/>
      <c r="B77" s="37"/>
      <c r="C77" s="86">
        <f t="shared" si="11"/>
        <v>-40</v>
      </c>
      <c r="D77" s="412" t="s">
        <v>2819</v>
      </c>
      <c r="E77" s="413">
        <f t="shared" si="14"/>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-1</v>
      </c>
    </row>
    <row r="78" spans="1:54" s="27" customFormat="1" ht="24" x14ac:dyDescent="0.2">
      <c r="A78" s="38"/>
      <c r="B78" s="37"/>
      <c r="C78" s="36">
        <f t="shared" si="11"/>
        <v>0</v>
      </c>
      <c r="D78" s="66" t="s">
        <v>8593</v>
      </c>
      <c r="E78" s="36">
        <f t="shared" si="14"/>
        <v>0</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54" s="27" customFormat="1" x14ac:dyDescent="0.2">
      <c r="A79" s="38"/>
      <c r="B79" s="37"/>
      <c r="C79" s="86">
        <f t="shared" si="11"/>
        <v>0</v>
      </c>
      <c r="D79" s="3" t="s">
        <v>8734</v>
      </c>
      <c r="E79" s="86">
        <f t="shared" si="14"/>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54" s="27" customFormat="1" ht="24" x14ac:dyDescent="0.2">
      <c r="A80" s="38"/>
      <c r="B80" s="37"/>
      <c r="C80" s="36">
        <f t="shared" si="11"/>
        <v>-40</v>
      </c>
      <c r="D80" s="418" t="s">
        <v>2820</v>
      </c>
      <c r="E80" s="411">
        <f t="shared" si="14"/>
        <v>-1</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AW80" s="27">
        <v>-1</v>
      </c>
    </row>
    <row r="81" spans="1:58" s="27" customFormat="1" x14ac:dyDescent="0.2">
      <c r="A81" s="38"/>
      <c r="B81" s="37"/>
      <c r="C81" s="86">
        <f t="shared" si="11"/>
        <v>76.666666666666686</v>
      </c>
      <c r="D81" s="3" t="s">
        <v>102</v>
      </c>
      <c r="E81" s="86">
        <f t="shared" si="14"/>
        <v>1.916666666666667</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AW81" s="27">
        <v>1</v>
      </c>
      <c r="BC81" s="27">
        <v>0.91666666666666696</v>
      </c>
    </row>
    <row r="82" spans="1:58" s="27" customFormat="1" x14ac:dyDescent="0.2">
      <c r="A82" s="38"/>
      <c r="B82" s="37"/>
      <c r="C82" s="36">
        <f t="shared" si="11"/>
        <v>40</v>
      </c>
      <c r="D82" s="66" t="s">
        <v>1480</v>
      </c>
      <c r="E82" s="36">
        <f t="shared" si="14"/>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X82" s="27">
        <v>1</v>
      </c>
    </row>
    <row r="83" spans="1:58" s="27" customFormat="1" x14ac:dyDescent="0.2">
      <c r="A83" s="38"/>
      <c r="B83" s="37"/>
      <c r="C83" s="36">
        <f t="shared" si="11"/>
        <v>0</v>
      </c>
      <c r="D83" s="66"/>
      <c r="E83" s="36">
        <f t="shared" si="14"/>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58" s="27" customFormat="1" ht="24" x14ac:dyDescent="0.2">
      <c r="A84" s="38"/>
      <c r="B84" s="37"/>
      <c r="C84" s="36">
        <f t="shared" si="11"/>
        <v>-40</v>
      </c>
      <c r="D84" s="416" t="s">
        <v>2823</v>
      </c>
      <c r="E84" s="411">
        <f t="shared" si="14"/>
        <v>-1</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Y84" s="27">
        <v>-1</v>
      </c>
    </row>
    <row r="85" spans="1:58" s="27" customFormat="1" x14ac:dyDescent="0.2">
      <c r="A85" s="38"/>
      <c r="B85" s="37"/>
      <c r="C85" s="36">
        <f t="shared" si="11"/>
        <v>40</v>
      </c>
      <c r="D85" s="66" t="s">
        <v>1485</v>
      </c>
      <c r="E85" s="36">
        <f t="shared" si="14"/>
        <v>1</v>
      </c>
      <c r="F85" s="35" t="s">
        <v>228</v>
      </c>
      <c r="G85" s="121"/>
      <c r="Q85" s="100"/>
      <c r="R85" s="100"/>
      <c r="AD85" s="100"/>
      <c r="AE85" s="100"/>
      <c r="AF85" s="100"/>
      <c r="AG85" s="100"/>
      <c r="AH85" s="100"/>
      <c r="AI85" s="100"/>
      <c r="AJ85" s="100"/>
      <c r="AL85" s="100"/>
      <c r="AN85" s="100"/>
      <c r="AY85" s="27">
        <v>1</v>
      </c>
    </row>
    <row r="86" spans="1:58" s="27" customFormat="1" x14ac:dyDescent="0.2">
      <c r="A86" s="38"/>
      <c r="B86" s="37"/>
      <c r="C86" s="86">
        <f t="shared" si="11"/>
        <v>-40</v>
      </c>
      <c r="D86" s="412" t="s">
        <v>1597</v>
      </c>
      <c r="E86" s="413">
        <f t="shared" si="14"/>
        <v>-1</v>
      </c>
      <c r="F86" s="35" t="s">
        <v>228</v>
      </c>
      <c r="G86" s="121"/>
      <c r="Q86" s="100"/>
      <c r="R86" s="100"/>
      <c r="AD86" s="100"/>
      <c r="AE86" s="100"/>
      <c r="AF86" s="100"/>
      <c r="AG86" s="100"/>
      <c r="AH86" s="100"/>
      <c r="AI86" s="100"/>
      <c r="AJ86" s="100"/>
      <c r="AL86" s="100"/>
      <c r="AN86" s="100"/>
      <c r="AZ86" s="27">
        <v>-1</v>
      </c>
    </row>
    <row r="87" spans="1:58" s="27" customFormat="1" x14ac:dyDescent="0.2">
      <c r="A87" s="38"/>
      <c r="B87" s="37"/>
      <c r="C87" s="36">
        <f t="shared" si="11"/>
        <v>40</v>
      </c>
      <c r="D87" s="66" t="s">
        <v>1598</v>
      </c>
      <c r="E87" s="36">
        <f t="shared" si="14"/>
        <v>1</v>
      </c>
      <c r="F87" s="35" t="s">
        <v>228</v>
      </c>
      <c r="G87" s="121"/>
      <c r="Q87" s="100"/>
      <c r="R87" s="100"/>
      <c r="AD87" s="100"/>
      <c r="AE87" s="100"/>
      <c r="AF87" s="100"/>
      <c r="AG87" s="100"/>
      <c r="AH87" s="100"/>
      <c r="AI87" s="100"/>
      <c r="AJ87" s="100"/>
      <c r="AL87" s="100"/>
      <c r="AN87" s="100"/>
      <c r="AZ87" s="27">
        <v>1</v>
      </c>
    </row>
    <row r="88" spans="1:58" s="27" customFormat="1" x14ac:dyDescent="0.2">
      <c r="A88" s="38"/>
      <c r="B88" s="37"/>
      <c r="C88" s="36">
        <f t="shared" si="11"/>
        <v>-40</v>
      </c>
      <c r="D88" s="416" t="s">
        <v>2824</v>
      </c>
      <c r="E88" s="413">
        <f t="shared" si="14"/>
        <v>-1</v>
      </c>
      <c r="F88" s="35" t="s">
        <v>228</v>
      </c>
      <c r="G88" s="121"/>
      <c r="Q88" s="100"/>
      <c r="R88" s="100"/>
      <c r="AD88" s="100"/>
      <c r="AE88" s="100"/>
      <c r="AF88" s="100"/>
      <c r="AG88" s="100"/>
      <c r="AH88" s="100"/>
      <c r="AI88" s="100"/>
      <c r="AJ88" s="100"/>
      <c r="AL88" s="100"/>
      <c r="AN88" s="100"/>
      <c r="BA88" s="27">
        <v>-1</v>
      </c>
    </row>
    <row r="89" spans="1:58" s="27" customFormat="1" x14ac:dyDescent="0.2">
      <c r="A89" s="38"/>
      <c r="B89" s="37"/>
      <c r="C89" s="86">
        <f t="shared" si="11"/>
        <v>80</v>
      </c>
      <c r="D89" s="66" t="s">
        <v>1615</v>
      </c>
      <c r="E89" s="86">
        <f t="shared" si="14"/>
        <v>2</v>
      </c>
      <c r="F89" s="35" t="s">
        <v>228</v>
      </c>
      <c r="G89" s="121"/>
      <c r="Q89" s="100"/>
      <c r="R89" s="100"/>
      <c r="AD89" s="100"/>
      <c r="AE89" s="100"/>
      <c r="AF89" s="100"/>
      <c r="AG89" s="100"/>
      <c r="AH89" s="100"/>
      <c r="AI89" s="100"/>
      <c r="AJ89" s="100"/>
      <c r="AL89" s="100"/>
      <c r="AN89" s="100"/>
      <c r="BA89" s="27">
        <v>1</v>
      </c>
      <c r="BB89" s="27">
        <v>1</v>
      </c>
    </row>
    <row r="90" spans="1:58" s="27" customFormat="1" ht="24" x14ac:dyDescent="0.2">
      <c r="A90" s="38"/>
      <c r="B90" s="37"/>
      <c r="C90" s="36">
        <f t="shared" si="11"/>
        <v>-36.666666666666679</v>
      </c>
      <c r="D90" s="416" t="s">
        <v>2825</v>
      </c>
      <c r="E90" s="413">
        <f t="shared" si="14"/>
        <v>-0.91666666666666696</v>
      </c>
      <c r="F90" s="35" t="s">
        <v>228</v>
      </c>
      <c r="G90" s="121"/>
      <c r="Q90" s="100"/>
      <c r="R90" s="100"/>
      <c r="AD90" s="100"/>
      <c r="AE90" s="100"/>
      <c r="AF90" s="100"/>
      <c r="AG90" s="100"/>
      <c r="AH90" s="100"/>
      <c r="AI90" s="100"/>
      <c r="AJ90" s="100"/>
      <c r="AL90" s="100"/>
      <c r="AN90" s="100"/>
      <c r="BC90" s="27">
        <v>-0.91666666666666696</v>
      </c>
    </row>
    <row r="91" spans="1:58" s="27" customFormat="1" x14ac:dyDescent="0.2">
      <c r="A91" s="38"/>
      <c r="B91" s="37"/>
      <c r="C91" s="86">
        <f t="shared" si="11"/>
        <v>-40</v>
      </c>
      <c r="D91" s="416" t="s">
        <v>1966</v>
      </c>
      <c r="E91" s="413">
        <f t="shared" si="14"/>
        <v>-1</v>
      </c>
      <c r="F91" s="35" t="s">
        <v>228</v>
      </c>
      <c r="G91" s="121"/>
      <c r="Q91" s="100"/>
      <c r="R91" s="100"/>
      <c r="AD91" s="100"/>
      <c r="AE91" s="100"/>
      <c r="AF91" s="100"/>
      <c r="AG91" s="100"/>
      <c r="AH91" s="100"/>
      <c r="AI91" s="100"/>
      <c r="AJ91" s="100"/>
      <c r="AL91" s="100"/>
      <c r="AN91" s="100"/>
      <c r="BD91" s="27">
        <v>-1</v>
      </c>
    </row>
    <row r="92" spans="1:58" s="27" customFormat="1" ht="24" x14ac:dyDescent="0.2">
      <c r="A92" s="38"/>
      <c r="B92" s="37"/>
      <c r="C92" s="36">
        <f t="shared" si="11"/>
        <v>40</v>
      </c>
      <c r="D92" s="66" t="s">
        <v>8594</v>
      </c>
      <c r="E92" s="86">
        <f t="shared" si="14"/>
        <v>1</v>
      </c>
      <c r="F92" s="35" t="s">
        <v>228</v>
      </c>
      <c r="G92" s="121"/>
      <c r="Q92" s="100"/>
      <c r="R92" s="100"/>
      <c r="AD92" s="100"/>
      <c r="AE92" s="100"/>
      <c r="AF92" s="100"/>
      <c r="AG92" s="100"/>
      <c r="AH92" s="100"/>
      <c r="AI92" s="100"/>
      <c r="AJ92" s="100"/>
      <c r="AL92" s="100"/>
      <c r="AN92" s="100"/>
      <c r="BD92" s="27">
        <v>1</v>
      </c>
    </row>
    <row r="93" spans="1:58" s="27" customFormat="1" x14ac:dyDescent="0.2">
      <c r="A93" s="38"/>
      <c r="B93" s="37"/>
      <c r="C93" s="86">
        <f t="shared" si="11"/>
        <v>-40</v>
      </c>
      <c r="D93" s="416" t="s">
        <v>2084</v>
      </c>
      <c r="E93" s="413">
        <f t="shared" si="14"/>
        <v>-1</v>
      </c>
      <c r="F93" s="35" t="s">
        <v>228</v>
      </c>
      <c r="G93" s="121"/>
      <c r="Q93" s="100"/>
      <c r="R93" s="100"/>
      <c r="AD93" s="100"/>
      <c r="AE93" s="100"/>
      <c r="AF93" s="100"/>
      <c r="AG93" s="100"/>
      <c r="AH93" s="100"/>
      <c r="AI93" s="100"/>
      <c r="AJ93" s="100"/>
      <c r="AL93" s="100"/>
      <c r="AN93" s="100"/>
      <c r="BE93" s="27">
        <v>-1</v>
      </c>
    </row>
    <row r="94" spans="1:58" s="27" customFormat="1" ht="24" x14ac:dyDescent="0.2">
      <c r="A94" s="38"/>
      <c r="B94" s="37"/>
      <c r="C94" s="36">
        <f t="shared" si="11"/>
        <v>26.666666666666639</v>
      </c>
      <c r="D94" s="66" t="s">
        <v>2827</v>
      </c>
      <c r="E94" s="36">
        <f t="shared" si="14"/>
        <v>0.66666666666666596</v>
      </c>
      <c r="F94" s="35" t="s">
        <v>228</v>
      </c>
      <c r="G94" s="121"/>
      <c r="Q94" s="100"/>
      <c r="R94" s="100"/>
      <c r="AD94" s="100"/>
      <c r="AE94" s="100"/>
      <c r="AF94" s="100"/>
      <c r="AG94" s="100"/>
      <c r="AH94" s="100"/>
      <c r="AI94" s="100"/>
      <c r="AJ94" s="100"/>
      <c r="AL94" s="100"/>
      <c r="AN94" s="100"/>
      <c r="BE94" s="27">
        <v>0.33333333333333298</v>
      </c>
      <c r="BF94" s="27">
        <v>0.33333333333333298</v>
      </c>
    </row>
    <row r="95" spans="1:58" s="27" customFormat="1" ht="36" x14ac:dyDescent="0.2">
      <c r="A95" s="38"/>
      <c r="B95" s="37"/>
      <c r="C95" s="36">
        <f t="shared" si="11"/>
        <v>26.666666666666639</v>
      </c>
      <c r="D95" s="374" t="s">
        <v>2828</v>
      </c>
      <c r="E95" s="36">
        <f t="shared" si="14"/>
        <v>0.66666666666666596</v>
      </c>
      <c r="F95" s="35" t="s">
        <v>228</v>
      </c>
      <c r="G95" s="121"/>
      <c r="Q95" s="100"/>
      <c r="R95" s="100"/>
      <c r="AD95" s="100"/>
      <c r="AE95" s="100"/>
      <c r="AF95" s="100"/>
      <c r="AG95" s="100"/>
      <c r="AH95" s="100"/>
      <c r="AI95" s="100"/>
      <c r="AJ95" s="100"/>
      <c r="AL95" s="100"/>
      <c r="AN95" s="100"/>
      <c r="BE95" s="27">
        <v>0.33333333333333298</v>
      </c>
      <c r="BF95" s="27">
        <v>0.33333333333333298</v>
      </c>
    </row>
    <row r="96" spans="1:58" s="27" customFormat="1" x14ac:dyDescent="0.2">
      <c r="A96" s="38"/>
      <c r="B96" s="37"/>
      <c r="C96" s="36">
        <f t="shared" si="11"/>
        <v>26.666666666666639</v>
      </c>
      <c r="D96" s="66" t="s">
        <v>2829</v>
      </c>
      <c r="E96" s="36">
        <f t="shared" si="14"/>
        <v>0.66666666666666596</v>
      </c>
      <c r="F96" s="35" t="s">
        <v>228</v>
      </c>
      <c r="G96" s="121"/>
      <c r="Q96" s="100"/>
      <c r="R96" s="100"/>
      <c r="AD96" s="100"/>
      <c r="AE96" s="100"/>
      <c r="AF96" s="100"/>
      <c r="AG96" s="100"/>
      <c r="AH96" s="100"/>
      <c r="AI96" s="100"/>
      <c r="AJ96" s="100"/>
      <c r="AL96" s="100"/>
      <c r="AN96" s="100"/>
      <c r="BE96" s="27">
        <v>0.33333333333333298</v>
      </c>
      <c r="BF96" s="27">
        <v>0.33333333333333298</v>
      </c>
    </row>
    <row r="97" spans="1:64" s="27" customFormat="1" ht="24" x14ac:dyDescent="0.2">
      <c r="A97" s="38"/>
      <c r="B97" s="37"/>
      <c r="C97" s="36">
        <f t="shared" si="11"/>
        <v>-40</v>
      </c>
      <c r="D97" s="412" t="s">
        <v>2080</v>
      </c>
      <c r="E97" s="411">
        <f t="shared" si="14"/>
        <v>-1</v>
      </c>
      <c r="F97" s="35" t="s">
        <v>228</v>
      </c>
      <c r="G97" s="121"/>
      <c r="Q97" s="100"/>
      <c r="R97" s="100"/>
      <c r="AD97" s="100"/>
      <c r="AE97" s="100"/>
      <c r="AF97" s="100"/>
      <c r="AG97" s="100"/>
      <c r="AH97" s="100"/>
      <c r="AI97" s="100"/>
      <c r="AJ97" s="100"/>
      <c r="AL97" s="100"/>
      <c r="AN97" s="100"/>
      <c r="BF97" s="27">
        <v>-1</v>
      </c>
    </row>
    <row r="98" spans="1:64" s="27" customFormat="1" ht="24" x14ac:dyDescent="0.2">
      <c r="A98" s="38"/>
      <c r="B98" s="37"/>
      <c r="C98" s="36">
        <f t="shared" si="11"/>
        <v>-40</v>
      </c>
      <c r="D98" s="412" t="s">
        <v>2087</v>
      </c>
      <c r="E98" s="411">
        <f t="shared" si="14"/>
        <v>-1</v>
      </c>
      <c r="F98" s="35" t="s">
        <v>228</v>
      </c>
      <c r="G98" s="121"/>
      <c r="Q98" s="100"/>
      <c r="R98" s="100"/>
      <c r="AD98" s="100"/>
      <c r="AE98" s="100"/>
      <c r="AF98" s="100"/>
      <c r="AG98" s="100"/>
      <c r="AH98" s="100"/>
      <c r="AI98" s="100"/>
      <c r="AJ98" s="100"/>
      <c r="AL98" s="100"/>
      <c r="AN98" s="100"/>
      <c r="BG98" s="27">
        <v>-1</v>
      </c>
    </row>
    <row r="99" spans="1:64" s="27" customFormat="1" x14ac:dyDescent="0.2">
      <c r="A99" s="38"/>
      <c r="B99" s="37"/>
      <c r="C99" s="36">
        <f t="shared" si="11"/>
        <v>0</v>
      </c>
      <c r="D99" s="20"/>
      <c r="E99" s="36">
        <f t="shared" si="14"/>
        <v>0</v>
      </c>
      <c r="F99" s="35" t="s">
        <v>228</v>
      </c>
      <c r="G99" s="121"/>
      <c r="Q99" s="100"/>
      <c r="R99" s="100"/>
      <c r="AD99" s="100"/>
      <c r="AE99" s="100"/>
      <c r="AF99" s="100"/>
      <c r="AG99" s="100"/>
      <c r="AH99" s="100"/>
      <c r="AI99" s="100"/>
      <c r="AJ99" s="100"/>
      <c r="AL99" s="100"/>
      <c r="AN99" s="100"/>
    </row>
    <row r="100" spans="1:64" s="27" customFormat="1" x14ac:dyDescent="0.2">
      <c r="A100" s="38"/>
      <c r="B100" s="37"/>
      <c r="C100" s="36">
        <f t="shared" si="11"/>
        <v>0</v>
      </c>
      <c r="D100" s="20"/>
      <c r="E100" s="36">
        <f t="shared" si="14"/>
        <v>0</v>
      </c>
      <c r="F100" s="35" t="s">
        <v>228</v>
      </c>
      <c r="G100" s="121"/>
      <c r="Q100" s="100"/>
      <c r="R100" s="100"/>
      <c r="AD100" s="100"/>
      <c r="AE100" s="100"/>
      <c r="AF100" s="100"/>
      <c r="AG100" s="100"/>
      <c r="AH100" s="100"/>
      <c r="AI100" s="100"/>
      <c r="AJ100" s="100"/>
      <c r="AL100" s="100"/>
      <c r="AN100" s="100"/>
    </row>
    <row r="101" spans="1:64" s="27" customFormat="1" ht="38.25" x14ac:dyDescent="0.2">
      <c r="A101" s="38"/>
      <c r="B101" s="37"/>
      <c r="C101" s="36">
        <f t="shared" si="11"/>
        <v>40</v>
      </c>
      <c r="D101" s="20" t="s">
        <v>2088</v>
      </c>
      <c r="E101" s="36">
        <f t="shared" si="14"/>
        <v>1</v>
      </c>
      <c r="F101" s="35" t="s">
        <v>228</v>
      </c>
      <c r="G101" s="121"/>
      <c r="Q101" s="100"/>
      <c r="R101" s="100"/>
      <c r="AD101" s="100"/>
      <c r="AE101" s="100"/>
      <c r="AF101" s="100"/>
      <c r="AG101" s="100"/>
      <c r="AH101" s="100"/>
      <c r="AI101" s="100"/>
      <c r="AJ101" s="100"/>
      <c r="AL101" s="100"/>
      <c r="AN101" s="100"/>
      <c r="BG101" s="27">
        <v>1</v>
      </c>
    </row>
    <row r="102" spans="1:64" s="27" customFormat="1" x14ac:dyDescent="0.2">
      <c r="A102" s="38"/>
      <c r="B102" s="37"/>
      <c r="C102" s="36">
        <f t="shared" si="11"/>
        <v>13.281461129291065</v>
      </c>
      <c r="D102" s="20" t="s">
        <v>357</v>
      </c>
      <c r="E102" s="36">
        <f t="shared" si="14"/>
        <v>0.33203652823227664</v>
      </c>
      <c r="F102" s="35" t="s">
        <v>228</v>
      </c>
      <c r="G102" s="121"/>
      <c r="Q102" s="100"/>
      <c r="R102" s="100"/>
      <c r="AD102" s="100"/>
      <c r="AE102" s="100"/>
      <c r="AF102" s="100"/>
      <c r="AG102" s="100"/>
      <c r="AH102" s="100"/>
      <c r="AI102" s="100"/>
      <c r="AJ102" s="100"/>
      <c r="AL102" s="100"/>
      <c r="AN102" s="100"/>
      <c r="BH102" s="27">
        <v>-1.2634717677233499E-3</v>
      </c>
      <c r="BI102" s="27">
        <v>0.33329999999999999</v>
      </c>
    </row>
    <row r="103" spans="1:64" s="27" customFormat="1" x14ac:dyDescent="0.2">
      <c r="A103" s="38"/>
      <c r="B103" s="37"/>
      <c r="C103" s="36">
        <f t="shared" si="11"/>
        <v>5.0538870708933994E-2</v>
      </c>
      <c r="D103" s="20" t="s">
        <v>164</v>
      </c>
      <c r="E103" s="36">
        <f t="shared" si="14"/>
        <v>1.2634717677233499E-3</v>
      </c>
      <c r="F103" s="35" t="s">
        <v>228</v>
      </c>
      <c r="G103" s="121"/>
      <c r="Q103" s="100"/>
      <c r="R103" s="100"/>
      <c r="AD103" s="100"/>
      <c r="AE103" s="100"/>
      <c r="AF103" s="100"/>
      <c r="AG103" s="100"/>
      <c r="AH103" s="100"/>
      <c r="AI103" s="100"/>
      <c r="AJ103" s="100"/>
      <c r="AL103" s="100"/>
      <c r="AN103" s="100"/>
      <c r="BH103" s="27">
        <v>1.2634717677233499E-3</v>
      </c>
    </row>
    <row r="104" spans="1:64" s="27" customFormat="1" ht="51" x14ac:dyDescent="0.2">
      <c r="A104" s="38"/>
      <c r="B104" s="37"/>
      <c r="C104" s="36">
        <f t="shared" si="11"/>
        <v>-40</v>
      </c>
      <c r="D104" s="419" t="s">
        <v>8758</v>
      </c>
      <c r="E104" s="411">
        <f t="shared" si="14"/>
        <v>-1</v>
      </c>
      <c r="F104" s="35" t="s">
        <v>228</v>
      </c>
      <c r="G104" s="121"/>
      <c r="Q104" s="100"/>
      <c r="R104" s="100"/>
      <c r="AD104" s="100"/>
      <c r="AE104" s="100"/>
      <c r="AF104" s="100"/>
      <c r="AG104" s="100"/>
      <c r="AH104" s="100"/>
      <c r="AI104" s="100"/>
      <c r="AJ104" s="100"/>
      <c r="AL104" s="100"/>
      <c r="AN104" s="100"/>
      <c r="BI104" s="27">
        <v>-1</v>
      </c>
    </row>
    <row r="105" spans="1:64" s="27" customFormat="1" x14ac:dyDescent="0.2">
      <c r="A105" s="38"/>
      <c r="B105" s="37"/>
      <c r="C105" s="36">
        <f t="shared" si="11"/>
        <v>13.331999999999999</v>
      </c>
      <c r="D105" s="335" t="s">
        <v>838</v>
      </c>
      <c r="E105" s="36">
        <f t="shared" si="14"/>
        <v>0.33329999999999999</v>
      </c>
      <c r="F105" s="35" t="s">
        <v>228</v>
      </c>
      <c r="G105" s="121"/>
      <c r="Q105" s="100"/>
      <c r="R105" s="100"/>
      <c r="AD105" s="100"/>
      <c r="AE105" s="100"/>
      <c r="AF105" s="100"/>
      <c r="AG105" s="100"/>
      <c r="AH105" s="100"/>
      <c r="AI105" s="100"/>
      <c r="AJ105" s="100"/>
      <c r="AL105" s="100"/>
      <c r="AN105" s="100"/>
      <c r="BI105" s="27">
        <v>0.33329999999999999</v>
      </c>
    </row>
    <row r="106" spans="1:64" s="27" customFormat="1" x14ac:dyDescent="0.2">
      <c r="A106" s="38"/>
      <c r="B106" s="37"/>
      <c r="C106" s="36">
        <f t="shared" si="11"/>
        <v>13.336000000000002</v>
      </c>
      <c r="D106" s="20" t="s">
        <v>8735</v>
      </c>
      <c r="E106" s="36">
        <f t="shared" si="14"/>
        <v>0.33340000000000003</v>
      </c>
      <c r="F106" s="35" t="s">
        <v>228</v>
      </c>
      <c r="G106" s="121"/>
      <c r="Q106" s="100"/>
      <c r="R106" s="100"/>
      <c r="AD106" s="100"/>
      <c r="AE106" s="100"/>
      <c r="AF106" s="100"/>
      <c r="AG106" s="100"/>
      <c r="AH106" s="100"/>
      <c r="AI106" s="100"/>
      <c r="AJ106" s="100"/>
      <c r="AL106" s="100"/>
      <c r="AN106" s="100"/>
      <c r="BI106" s="27">
        <v>0.33340000000000003</v>
      </c>
    </row>
    <row r="107" spans="1:64" s="27" customFormat="1" ht="38.25" x14ac:dyDescent="0.2">
      <c r="A107" s="38"/>
      <c r="B107" s="37"/>
      <c r="C107" s="36">
        <f t="shared" si="11"/>
        <v>-40</v>
      </c>
      <c r="D107" s="419" t="s">
        <v>2833</v>
      </c>
      <c r="E107" s="411">
        <f t="shared" si="14"/>
        <v>-1</v>
      </c>
      <c r="F107" s="35" t="s">
        <v>228</v>
      </c>
      <c r="G107" s="121"/>
      <c r="Q107" s="100"/>
      <c r="R107" s="100"/>
      <c r="AD107" s="100"/>
      <c r="AE107" s="100"/>
      <c r="AF107" s="100"/>
      <c r="AG107" s="100"/>
      <c r="AH107" s="100"/>
      <c r="AI107" s="100"/>
      <c r="AJ107" s="100"/>
      <c r="AL107" s="100"/>
      <c r="AN107" s="100"/>
      <c r="BJ107" s="27">
        <v>-1</v>
      </c>
    </row>
    <row r="108" spans="1:64" s="27" customFormat="1" x14ac:dyDescent="0.2">
      <c r="A108" s="38"/>
      <c r="B108" s="37"/>
      <c r="C108" s="36">
        <f t="shared" si="11"/>
        <v>40</v>
      </c>
      <c r="D108" s="20" t="s">
        <v>186</v>
      </c>
      <c r="E108" s="36">
        <f t="shared" si="14"/>
        <v>1</v>
      </c>
      <c r="F108" s="35" t="s">
        <v>228</v>
      </c>
      <c r="G108" s="121"/>
      <c r="Q108" s="100"/>
      <c r="R108" s="100"/>
      <c r="AD108" s="100"/>
      <c r="AE108" s="100"/>
      <c r="AF108" s="100"/>
      <c r="AG108" s="100"/>
      <c r="AH108" s="100"/>
      <c r="AI108" s="100"/>
      <c r="AJ108" s="100"/>
      <c r="AL108" s="100"/>
      <c r="AN108" s="100"/>
      <c r="BJ108" s="27">
        <v>1</v>
      </c>
    </row>
    <row r="109" spans="1:64" s="27" customFormat="1" x14ac:dyDescent="0.2">
      <c r="A109" s="38"/>
      <c r="B109" s="37"/>
      <c r="C109" s="36">
        <f t="shared" si="11"/>
        <v>-16.92307692307692</v>
      </c>
      <c r="D109" s="419" t="s">
        <v>2271</v>
      </c>
      <c r="E109" s="411">
        <f t="shared" si="14"/>
        <v>-0.42307692307692302</v>
      </c>
      <c r="F109" s="35" t="s">
        <v>228</v>
      </c>
      <c r="G109" s="121"/>
      <c r="Q109" s="100"/>
      <c r="R109" s="100"/>
      <c r="AD109" s="100"/>
      <c r="AE109" s="100"/>
      <c r="AF109" s="100"/>
      <c r="AG109" s="100"/>
      <c r="AH109" s="100"/>
      <c r="AI109" s="100"/>
      <c r="AJ109" s="100"/>
      <c r="AL109" s="100"/>
      <c r="AN109" s="100"/>
      <c r="BK109" s="27">
        <v>-0.42307692307692302</v>
      </c>
    </row>
    <row r="110" spans="1:64" s="27" customFormat="1" ht="51" x14ac:dyDescent="0.2">
      <c r="A110" s="38"/>
      <c r="B110" s="37"/>
      <c r="C110" s="36">
        <f t="shared" si="11"/>
        <v>16.92307692307692</v>
      </c>
      <c r="D110" s="20" t="s">
        <v>2834</v>
      </c>
      <c r="E110" s="36">
        <f t="shared" ref="E110:E173" si="15">SUM(G110:HS110)</f>
        <v>0.42307692307692302</v>
      </c>
      <c r="F110" s="35" t="s">
        <v>228</v>
      </c>
      <c r="G110" s="121"/>
      <c r="Q110" s="100"/>
      <c r="R110" s="100"/>
      <c r="AD110" s="100"/>
      <c r="AE110" s="100"/>
      <c r="AF110" s="100"/>
      <c r="AG110" s="100"/>
      <c r="AH110" s="100"/>
      <c r="AI110" s="100"/>
      <c r="AJ110" s="100"/>
      <c r="AL110" s="100"/>
      <c r="AN110" s="100"/>
      <c r="BK110" s="27">
        <v>0.42307692307692302</v>
      </c>
    </row>
    <row r="111" spans="1:64" s="27" customFormat="1" ht="25.5" x14ac:dyDescent="0.2">
      <c r="A111" s="38"/>
      <c r="B111" s="37"/>
      <c r="C111" s="36">
        <f t="shared" si="11"/>
        <v>-40</v>
      </c>
      <c r="D111" s="419" t="s">
        <v>2302</v>
      </c>
      <c r="E111" s="411">
        <f t="shared" si="15"/>
        <v>-1</v>
      </c>
      <c r="F111" s="35" t="s">
        <v>228</v>
      </c>
      <c r="G111" s="121"/>
      <c r="Q111" s="100"/>
      <c r="R111" s="100"/>
      <c r="AD111" s="100"/>
      <c r="AE111" s="100"/>
      <c r="AF111" s="100"/>
      <c r="AG111" s="100"/>
      <c r="AH111" s="100"/>
      <c r="AI111" s="100"/>
      <c r="AJ111" s="100"/>
      <c r="AL111" s="100"/>
      <c r="AN111" s="100"/>
      <c r="BL111" s="27">
        <v>-1</v>
      </c>
    </row>
    <row r="112" spans="1:64" s="27" customFormat="1" x14ac:dyDescent="0.2">
      <c r="A112" s="38"/>
      <c r="B112" s="37"/>
      <c r="C112" s="36">
        <f t="shared" si="11"/>
        <v>40</v>
      </c>
      <c r="D112" s="20" t="s">
        <v>2303</v>
      </c>
      <c r="E112" s="36">
        <f t="shared" si="15"/>
        <v>1</v>
      </c>
      <c r="F112" s="35" t="s">
        <v>228</v>
      </c>
      <c r="G112" s="121"/>
      <c r="Q112" s="100"/>
      <c r="R112" s="100"/>
      <c r="AD112" s="100"/>
      <c r="AE112" s="100"/>
      <c r="AF112" s="100"/>
      <c r="AG112" s="100"/>
      <c r="AH112" s="100"/>
      <c r="AI112" s="100"/>
      <c r="AJ112" s="100"/>
      <c r="AL112" s="100"/>
      <c r="AN112" s="100"/>
      <c r="BL112" s="27">
        <v>1</v>
      </c>
    </row>
    <row r="113" spans="1:77" s="27" customFormat="1" ht="38.25" x14ac:dyDescent="0.2">
      <c r="A113" s="38"/>
      <c r="B113" s="37"/>
      <c r="C113" s="36">
        <f t="shared" si="11"/>
        <v>-40</v>
      </c>
      <c r="D113" s="419" t="s">
        <v>2419</v>
      </c>
      <c r="E113" s="411">
        <f t="shared" si="15"/>
        <v>-1</v>
      </c>
      <c r="F113" s="35" t="s">
        <v>228</v>
      </c>
      <c r="G113" s="121"/>
      <c r="Q113" s="100"/>
      <c r="R113" s="100"/>
      <c r="AD113" s="100"/>
      <c r="AE113" s="100"/>
      <c r="AF113" s="100"/>
      <c r="AG113" s="100"/>
      <c r="AH113" s="100"/>
      <c r="AI113" s="100"/>
      <c r="AJ113" s="100"/>
      <c r="AL113" s="100"/>
      <c r="AN113" s="100"/>
      <c r="BM113" s="27">
        <v>-1</v>
      </c>
    </row>
    <row r="114" spans="1:77" s="27" customFormat="1" ht="63.75" x14ac:dyDescent="0.2">
      <c r="A114" s="38"/>
      <c r="B114" s="37"/>
      <c r="C114" s="36">
        <f t="shared" si="11"/>
        <v>40</v>
      </c>
      <c r="D114" s="20" t="s">
        <v>2835</v>
      </c>
      <c r="E114" s="36">
        <f t="shared" si="15"/>
        <v>1</v>
      </c>
      <c r="F114" s="35" t="s">
        <v>228</v>
      </c>
      <c r="G114" s="121"/>
      <c r="Q114" s="100"/>
      <c r="R114" s="100"/>
      <c r="AD114" s="100"/>
      <c r="AE114" s="100"/>
      <c r="AF114" s="100"/>
      <c r="AG114" s="100"/>
      <c r="AH114" s="100"/>
      <c r="AI114" s="100"/>
      <c r="AJ114" s="100"/>
      <c r="AL114" s="100"/>
      <c r="AN114" s="100"/>
      <c r="BM114" s="27">
        <v>1</v>
      </c>
    </row>
    <row r="115" spans="1:77" s="27" customFormat="1" ht="25.5" x14ac:dyDescent="0.2">
      <c r="A115" s="38"/>
      <c r="B115" s="37"/>
      <c r="C115" s="36">
        <f t="shared" si="11"/>
        <v>-40</v>
      </c>
      <c r="D115" s="419" t="s">
        <v>2836</v>
      </c>
      <c r="E115" s="411">
        <f t="shared" si="15"/>
        <v>-1</v>
      </c>
      <c r="F115" s="35" t="s">
        <v>228</v>
      </c>
      <c r="G115" s="121"/>
      <c r="Q115" s="100"/>
      <c r="R115" s="100"/>
      <c r="AD115" s="100"/>
      <c r="AE115" s="100"/>
      <c r="AF115" s="100"/>
      <c r="AG115" s="100"/>
      <c r="AH115" s="100"/>
      <c r="AI115" s="100"/>
      <c r="AJ115" s="100"/>
      <c r="AL115" s="100"/>
      <c r="AN115" s="100"/>
      <c r="BN115" s="27">
        <v>-1</v>
      </c>
    </row>
    <row r="116" spans="1:77" s="27" customFormat="1" x14ac:dyDescent="0.2">
      <c r="A116" s="38"/>
      <c r="B116" s="37"/>
      <c r="C116" s="36">
        <f t="shared" si="11"/>
        <v>40</v>
      </c>
      <c r="D116" s="20" t="s">
        <v>2430</v>
      </c>
      <c r="E116" s="36">
        <f t="shared" si="15"/>
        <v>1</v>
      </c>
      <c r="F116" s="35" t="s">
        <v>228</v>
      </c>
      <c r="G116" s="121"/>
      <c r="Q116" s="100"/>
      <c r="R116" s="100"/>
      <c r="AD116" s="100"/>
      <c r="AE116" s="100"/>
      <c r="AF116" s="100"/>
      <c r="AG116" s="100"/>
      <c r="AH116" s="100"/>
      <c r="AI116" s="100"/>
      <c r="AJ116" s="100"/>
      <c r="AL116" s="100"/>
      <c r="AN116" s="100"/>
      <c r="BN116" s="27">
        <v>1</v>
      </c>
    </row>
    <row r="117" spans="1:77" s="27" customFormat="1" x14ac:dyDescent="0.2">
      <c r="A117" s="38"/>
      <c r="B117" s="37"/>
      <c r="C117" s="36">
        <f t="shared" ref="C117:C180" si="16">E117*D$5</f>
        <v>-40</v>
      </c>
      <c r="D117" s="419" t="s">
        <v>2456</v>
      </c>
      <c r="E117" s="411">
        <f t="shared" si="15"/>
        <v>-1</v>
      </c>
      <c r="F117" s="35" t="s">
        <v>228</v>
      </c>
      <c r="G117" s="121"/>
      <c r="Q117" s="100"/>
      <c r="R117" s="100"/>
      <c r="AD117" s="100"/>
      <c r="AE117" s="100"/>
      <c r="AF117" s="100"/>
      <c r="AG117" s="100"/>
      <c r="AH117" s="100"/>
      <c r="AI117" s="100"/>
      <c r="AJ117" s="100"/>
      <c r="AL117" s="100"/>
      <c r="AN117" s="100"/>
      <c r="BO117" s="27">
        <v>-1</v>
      </c>
    </row>
    <row r="118" spans="1:77" s="27" customFormat="1" x14ac:dyDescent="0.2">
      <c r="A118" s="38"/>
      <c r="B118" s="37"/>
      <c r="C118" s="36">
        <f t="shared" si="16"/>
        <v>40</v>
      </c>
      <c r="D118" s="20" t="s">
        <v>2457</v>
      </c>
      <c r="E118" s="36">
        <f t="shared" si="15"/>
        <v>1</v>
      </c>
      <c r="F118" s="35" t="s">
        <v>228</v>
      </c>
      <c r="G118" s="121"/>
      <c r="Q118" s="100"/>
      <c r="R118" s="100"/>
      <c r="AD118" s="100"/>
      <c r="AE118" s="100"/>
      <c r="AF118" s="100"/>
      <c r="AG118" s="100"/>
      <c r="AH118" s="100"/>
      <c r="AI118" s="100"/>
      <c r="AJ118" s="100"/>
      <c r="AL118" s="100"/>
      <c r="AN118" s="100"/>
      <c r="BO118" s="27">
        <v>1</v>
      </c>
    </row>
    <row r="119" spans="1:77" s="27" customFormat="1" x14ac:dyDescent="0.2">
      <c r="A119" s="38"/>
      <c r="B119" s="37"/>
      <c r="C119" s="36">
        <f t="shared" si="16"/>
        <v>-40</v>
      </c>
      <c r="D119" s="420" t="s">
        <v>2837</v>
      </c>
      <c r="E119" s="411">
        <f t="shared" si="15"/>
        <v>-1</v>
      </c>
      <c r="F119" s="35" t="s">
        <v>228</v>
      </c>
      <c r="G119" s="121"/>
      <c r="Q119" s="100"/>
      <c r="R119" s="100"/>
      <c r="AD119" s="100"/>
      <c r="AE119" s="100"/>
      <c r="AF119" s="100"/>
      <c r="AG119" s="100"/>
      <c r="AH119" s="100"/>
      <c r="AI119" s="100"/>
      <c r="AJ119" s="100"/>
      <c r="AL119" s="100"/>
      <c r="AN119" s="100"/>
      <c r="BP119" s="27">
        <v>-1</v>
      </c>
    </row>
    <row r="120" spans="1:77" s="27" customFormat="1" x14ac:dyDescent="0.2">
      <c r="A120" s="38"/>
      <c r="B120" s="37"/>
      <c r="C120" s="36">
        <f t="shared" si="16"/>
        <v>40</v>
      </c>
      <c r="D120" s="20" t="s">
        <v>2494</v>
      </c>
      <c r="E120" s="36">
        <f t="shared" si="15"/>
        <v>1</v>
      </c>
      <c r="F120" s="35" t="s">
        <v>228</v>
      </c>
      <c r="G120" s="121"/>
      <c r="Q120" s="100"/>
      <c r="R120" s="100"/>
      <c r="AD120" s="100"/>
      <c r="AE120" s="100"/>
      <c r="AF120" s="100"/>
      <c r="AG120" s="100"/>
      <c r="AH120" s="100"/>
      <c r="AI120" s="100"/>
      <c r="AJ120" s="100"/>
      <c r="AL120" s="100"/>
      <c r="AN120" s="100"/>
      <c r="BP120" s="27">
        <v>1</v>
      </c>
    </row>
    <row r="121" spans="1:77" s="27" customFormat="1" x14ac:dyDescent="0.2">
      <c r="A121" s="38"/>
      <c r="B121" s="37"/>
      <c r="C121" s="36">
        <f t="shared" si="16"/>
        <v>-40</v>
      </c>
      <c r="D121" s="419" t="s">
        <v>2560</v>
      </c>
      <c r="E121" s="411">
        <f t="shared" si="15"/>
        <v>-1</v>
      </c>
      <c r="F121" s="35" t="s">
        <v>228</v>
      </c>
      <c r="G121" s="121"/>
      <c r="Q121" s="100"/>
      <c r="R121" s="100"/>
      <c r="AD121" s="100"/>
      <c r="AE121" s="100"/>
      <c r="AF121" s="100"/>
      <c r="AG121" s="100"/>
      <c r="AH121" s="100"/>
      <c r="AI121" s="100"/>
      <c r="AJ121" s="100"/>
      <c r="AL121" s="100"/>
      <c r="AN121" s="100"/>
      <c r="BQ121" s="27">
        <v>-1</v>
      </c>
    </row>
    <row r="122" spans="1:77" s="27" customFormat="1" ht="25.5" x14ac:dyDescent="0.2">
      <c r="A122" s="38"/>
      <c r="B122" s="37"/>
      <c r="C122" s="36">
        <f t="shared" si="16"/>
        <v>40</v>
      </c>
      <c r="D122" s="20" t="s">
        <v>2561</v>
      </c>
      <c r="E122" s="36">
        <f t="shared" si="15"/>
        <v>1</v>
      </c>
      <c r="F122" s="35" t="s">
        <v>228</v>
      </c>
      <c r="G122" s="121"/>
      <c r="Q122" s="100"/>
      <c r="R122" s="100"/>
      <c r="AD122" s="100"/>
      <c r="AE122" s="100"/>
      <c r="AF122" s="100"/>
      <c r="AG122" s="100"/>
      <c r="AH122" s="100"/>
      <c r="AI122" s="100"/>
      <c r="AJ122" s="100"/>
      <c r="AL122" s="100"/>
      <c r="AN122" s="100"/>
      <c r="BQ122" s="27">
        <v>1</v>
      </c>
    </row>
    <row r="123" spans="1:77" s="27" customFormat="1" x14ac:dyDescent="0.2">
      <c r="A123" s="38"/>
      <c r="B123" s="37"/>
      <c r="C123" s="36">
        <f t="shared" si="16"/>
        <v>-40</v>
      </c>
      <c r="D123" s="419" t="s">
        <v>2597</v>
      </c>
      <c r="E123" s="411">
        <f t="shared" si="15"/>
        <v>-1</v>
      </c>
      <c r="F123" s="35" t="s">
        <v>228</v>
      </c>
      <c r="G123" s="121"/>
      <c r="Q123" s="100"/>
      <c r="R123" s="100"/>
      <c r="AD123" s="100"/>
      <c r="AE123" s="100"/>
      <c r="AF123" s="100"/>
      <c r="AG123" s="100"/>
      <c r="AH123" s="100"/>
      <c r="AI123" s="100"/>
      <c r="AJ123" s="100"/>
      <c r="AL123" s="100"/>
      <c r="AN123" s="100"/>
      <c r="BR123" s="27">
        <v>-1</v>
      </c>
    </row>
    <row r="124" spans="1:77" s="27" customFormat="1" x14ac:dyDescent="0.2">
      <c r="A124" s="38"/>
      <c r="B124" s="37"/>
      <c r="C124" s="36">
        <f t="shared" si="16"/>
        <v>40</v>
      </c>
      <c r="D124" s="20" t="s">
        <v>2598</v>
      </c>
      <c r="E124" s="36">
        <f t="shared" si="15"/>
        <v>1</v>
      </c>
      <c r="F124" s="35" t="s">
        <v>228</v>
      </c>
      <c r="G124" s="121"/>
      <c r="Q124" s="100"/>
      <c r="R124" s="100"/>
      <c r="AD124" s="100"/>
      <c r="AE124" s="100"/>
      <c r="AF124" s="100"/>
      <c r="AG124" s="100"/>
      <c r="AH124" s="100"/>
      <c r="AI124" s="100"/>
      <c r="AJ124" s="100"/>
      <c r="AL124" s="100"/>
      <c r="AN124" s="100"/>
      <c r="BR124" s="27">
        <v>1</v>
      </c>
    </row>
    <row r="125" spans="1:77" s="27" customFormat="1" x14ac:dyDescent="0.2">
      <c r="A125" s="38"/>
      <c r="B125" s="37"/>
      <c r="C125" s="36">
        <f t="shared" si="16"/>
        <v>-40</v>
      </c>
      <c r="D125" s="419" t="s">
        <v>496</v>
      </c>
      <c r="E125" s="411">
        <f t="shared" si="15"/>
        <v>-1</v>
      </c>
      <c r="F125" s="35" t="s">
        <v>228</v>
      </c>
      <c r="G125" s="121"/>
      <c r="Q125" s="100"/>
      <c r="R125" s="100"/>
      <c r="AD125" s="100"/>
      <c r="AE125" s="100"/>
      <c r="AF125" s="100"/>
      <c r="AG125" s="100"/>
      <c r="AH125" s="100"/>
      <c r="AI125" s="100"/>
      <c r="AJ125" s="100"/>
      <c r="AL125" s="100"/>
      <c r="AN125" s="100"/>
      <c r="BS125" s="27">
        <v>-1</v>
      </c>
    </row>
    <row r="126" spans="1:77" s="27" customFormat="1" x14ac:dyDescent="0.2">
      <c r="A126" s="38"/>
      <c r="B126" s="37"/>
      <c r="C126" s="36">
        <f t="shared" si="16"/>
        <v>40</v>
      </c>
      <c r="D126" s="20" t="s">
        <v>497</v>
      </c>
      <c r="E126" s="36">
        <f t="shared" si="15"/>
        <v>1</v>
      </c>
      <c r="F126" s="35" t="s">
        <v>228</v>
      </c>
      <c r="G126" s="121"/>
      <c r="Q126" s="100"/>
      <c r="R126" s="100"/>
      <c r="AD126" s="100"/>
      <c r="AE126" s="100"/>
      <c r="AF126" s="100"/>
      <c r="AG126" s="100"/>
      <c r="AH126" s="100"/>
      <c r="AI126" s="100"/>
      <c r="AJ126" s="100"/>
      <c r="AL126" s="100"/>
      <c r="AN126" s="100"/>
      <c r="BS126" s="27">
        <v>1</v>
      </c>
    </row>
    <row r="127" spans="1:77" s="27" customFormat="1" x14ac:dyDescent="0.2">
      <c r="A127" s="38"/>
      <c r="B127" s="37"/>
      <c r="C127" s="36">
        <f t="shared" si="16"/>
        <v>-40</v>
      </c>
      <c r="D127" s="419" t="s">
        <v>535</v>
      </c>
      <c r="E127" s="411">
        <f t="shared" si="15"/>
        <v>-1</v>
      </c>
      <c r="F127" s="35" t="s">
        <v>228</v>
      </c>
      <c r="G127" s="121"/>
      <c r="Q127" s="100"/>
      <c r="R127" s="100"/>
      <c r="AD127" s="100"/>
      <c r="AE127" s="100"/>
      <c r="AF127" s="100"/>
      <c r="AG127" s="100"/>
      <c r="AH127" s="100"/>
      <c r="AI127" s="100"/>
      <c r="AJ127" s="100"/>
      <c r="AL127" s="100"/>
      <c r="AN127" s="100"/>
      <c r="BT127" s="27">
        <v>-1</v>
      </c>
    </row>
    <row r="128" spans="1:77" s="27" customFormat="1" x14ac:dyDescent="0.2">
      <c r="A128" s="38"/>
      <c r="B128" s="37"/>
      <c r="C128" s="36">
        <f t="shared" si="16"/>
        <v>-80</v>
      </c>
      <c r="D128" s="419" t="s">
        <v>1284</v>
      </c>
      <c r="E128" s="411">
        <f t="shared" si="15"/>
        <v>-2</v>
      </c>
      <c r="F128" s="35" t="s">
        <v>228</v>
      </c>
      <c r="G128" s="121"/>
      <c r="Q128" s="100"/>
      <c r="R128" s="100"/>
      <c r="AD128" s="100"/>
      <c r="AE128" s="100"/>
      <c r="AF128" s="100"/>
      <c r="AG128" s="100"/>
      <c r="AH128" s="100"/>
      <c r="AI128" s="100"/>
      <c r="AJ128" s="100"/>
      <c r="AL128" s="100"/>
      <c r="AN128" s="100"/>
      <c r="BU128" s="27">
        <v>-1</v>
      </c>
      <c r="BY128" s="27">
        <v>-1</v>
      </c>
    </row>
    <row r="129" spans="1:79" s="27" customFormat="1" x14ac:dyDescent="0.2">
      <c r="A129" s="38"/>
      <c r="B129" s="37"/>
      <c r="C129" s="36">
        <f t="shared" si="16"/>
        <v>0</v>
      </c>
      <c r="D129" s="20"/>
      <c r="E129" s="36">
        <f t="shared" si="15"/>
        <v>0</v>
      </c>
      <c r="F129" s="35" t="s">
        <v>228</v>
      </c>
      <c r="G129" s="121"/>
      <c r="Q129" s="100"/>
      <c r="R129" s="100"/>
      <c r="AD129" s="100"/>
      <c r="AE129" s="100"/>
      <c r="AF129" s="100"/>
      <c r="AG129" s="100"/>
      <c r="AH129" s="100"/>
      <c r="AI129" s="100"/>
      <c r="AJ129" s="100"/>
      <c r="AL129" s="100"/>
      <c r="AN129" s="100"/>
    </row>
    <row r="130" spans="1:79" s="27" customFormat="1" x14ac:dyDescent="0.2">
      <c r="A130" s="38"/>
      <c r="B130" s="37"/>
      <c r="C130" s="36">
        <f t="shared" si="16"/>
        <v>0</v>
      </c>
      <c r="D130" s="20"/>
      <c r="E130" s="36">
        <f t="shared" si="15"/>
        <v>0</v>
      </c>
      <c r="F130" s="35" t="s">
        <v>228</v>
      </c>
      <c r="G130" s="121"/>
      <c r="Q130" s="100"/>
      <c r="R130" s="100"/>
      <c r="AD130" s="100"/>
      <c r="AE130" s="100"/>
      <c r="AF130" s="100"/>
      <c r="AG130" s="100"/>
      <c r="AH130" s="100"/>
      <c r="AI130" s="100"/>
      <c r="AJ130" s="100"/>
      <c r="AL130" s="100"/>
      <c r="AN130" s="100"/>
    </row>
    <row r="131" spans="1:79" s="27" customFormat="1" x14ac:dyDescent="0.2">
      <c r="A131" s="38"/>
      <c r="B131" s="37"/>
      <c r="C131" s="36">
        <f t="shared" si="16"/>
        <v>80</v>
      </c>
      <c r="D131" s="20" t="s">
        <v>1285</v>
      </c>
      <c r="E131" s="36">
        <f t="shared" si="15"/>
        <v>2</v>
      </c>
      <c r="F131" s="35" t="s">
        <v>228</v>
      </c>
      <c r="G131" s="121"/>
      <c r="Q131" s="100"/>
      <c r="R131" s="100"/>
      <c r="AD131" s="100"/>
      <c r="AE131" s="100"/>
      <c r="AF131" s="100"/>
      <c r="AG131" s="100"/>
      <c r="AH131" s="100"/>
      <c r="AI131" s="100"/>
      <c r="AJ131" s="100"/>
      <c r="AL131" s="100"/>
      <c r="AN131" s="100"/>
      <c r="BU131" s="27">
        <v>1</v>
      </c>
      <c r="BY131" s="27">
        <v>1</v>
      </c>
    </row>
    <row r="132" spans="1:79" s="27" customFormat="1" ht="25.5" x14ac:dyDescent="0.2">
      <c r="A132" s="38"/>
      <c r="B132" s="37"/>
      <c r="C132" s="36">
        <f t="shared" si="16"/>
        <v>-8</v>
      </c>
      <c r="D132" s="419" t="s">
        <v>2840</v>
      </c>
      <c r="E132" s="411">
        <f t="shared" si="15"/>
        <v>-0.2</v>
      </c>
      <c r="F132" s="35" t="s">
        <v>228</v>
      </c>
      <c r="G132" s="121"/>
      <c r="Q132" s="100"/>
      <c r="R132" s="100"/>
      <c r="AD132" s="100"/>
      <c r="AE132" s="100"/>
      <c r="AF132" s="100"/>
      <c r="AG132" s="100"/>
      <c r="AH132" s="100"/>
      <c r="AI132" s="100"/>
      <c r="AJ132" s="100"/>
      <c r="AL132" s="100"/>
      <c r="AN132" s="100"/>
      <c r="BV132" s="27">
        <v>-0.2</v>
      </c>
    </row>
    <row r="133" spans="1:79" s="27" customFormat="1" x14ac:dyDescent="0.2">
      <c r="A133" s="38"/>
      <c r="B133" s="37"/>
      <c r="C133" s="36">
        <f t="shared" si="16"/>
        <v>-8</v>
      </c>
      <c r="D133" s="419" t="s">
        <v>2841</v>
      </c>
      <c r="E133" s="411">
        <f t="shared" si="15"/>
        <v>-0.2</v>
      </c>
      <c r="F133" s="35" t="s">
        <v>228</v>
      </c>
      <c r="G133" s="121"/>
      <c r="Q133" s="100"/>
      <c r="R133" s="100"/>
      <c r="AD133" s="100"/>
      <c r="AE133" s="100"/>
      <c r="AF133" s="100"/>
      <c r="AG133" s="100"/>
      <c r="AH133" s="100"/>
      <c r="AI133" s="100"/>
      <c r="AJ133" s="100"/>
      <c r="AL133" s="100"/>
      <c r="AN133" s="100"/>
      <c r="BV133" s="27">
        <v>-0.2</v>
      </c>
    </row>
    <row r="134" spans="1:79" s="27" customFormat="1" x14ac:dyDescent="0.2">
      <c r="A134" s="38"/>
      <c r="B134" s="37"/>
      <c r="C134" s="36">
        <f t="shared" si="16"/>
        <v>-8</v>
      </c>
      <c r="D134" s="419" t="s">
        <v>2842</v>
      </c>
      <c r="E134" s="411">
        <f t="shared" si="15"/>
        <v>-0.2</v>
      </c>
      <c r="F134" s="35" t="s">
        <v>228</v>
      </c>
      <c r="G134" s="121"/>
      <c r="Q134" s="100"/>
      <c r="R134" s="100"/>
      <c r="AD134" s="100"/>
      <c r="AE134" s="100"/>
      <c r="AF134" s="100"/>
      <c r="AG134" s="100"/>
      <c r="AH134" s="100"/>
      <c r="AI134" s="100"/>
      <c r="AJ134" s="100"/>
      <c r="AL134" s="100"/>
      <c r="AN134" s="100"/>
      <c r="BV134" s="27">
        <v>-0.2</v>
      </c>
    </row>
    <row r="135" spans="1:79" s="27" customFormat="1" x14ac:dyDescent="0.2">
      <c r="A135" s="38"/>
      <c r="B135" s="37"/>
      <c r="C135" s="36">
        <f t="shared" si="16"/>
        <v>-8</v>
      </c>
      <c r="D135" s="419" t="s">
        <v>2843</v>
      </c>
      <c r="E135" s="411">
        <f t="shared" si="15"/>
        <v>-0.2</v>
      </c>
      <c r="F135" s="35" t="s">
        <v>228</v>
      </c>
      <c r="G135" s="121"/>
      <c r="Q135" s="100"/>
      <c r="R135" s="100"/>
      <c r="AD135" s="100"/>
      <c r="AE135" s="100"/>
      <c r="AF135" s="100"/>
      <c r="AG135" s="100"/>
      <c r="AH135" s="100"/>
      <c r="AI135" s="100"/>
      <c r="AJ135" s="100"/>
      <c r="AL135" s="100"/>
      <c r="AN135" s="100"/>
      <c r="BV135" s="27">
        <v>-0.2</v>
      </c>
    </row>
    <row r="136" spans="1:79" s="27" customFormat="1" x14ac:dyDescent="0.2">
      <c r="A136" s="38"/>
      <c r="B136" s="37"/>
      <c r="C136" s="36">
        <f t="shared" si="16"/>
        <v>-8</v>
      </c>
      <c r="D136" s="419" t="s">
        <v>2844</v>
      </c>
      <c r="E136" s="411">
        <f t="shared" si="15"/>
        <v>-0.2</v>
      </c>
      <c r="F136" s="35" t="s">
        <v>228</v>
      </c>
      <c r="G136" s="121"/>
      <c r="Q136" s="100"/>
      <c r="R136" s="100"/>
      <c r="AD136" s="100"/>
      <c r="AE136" s="100"/>
      <c r="AF136" s="100"/>
      <c r="AG136" s="100"/>
      <c r="AH136" s="100"/>
      <c r="AI136" s="100"/>
      <c r="AJ136" s="100"/>
      <c r="AL136" s="100"/>
      <c r="AN136" s="100"/>
      <c r="BV136" s="27">
        <v>-0.2</v>
      </c>
    </row>
    <row r="137" spans="1:79" s="27" customFormat="1" x14ac:dyDescent="0.2">
      <c r="A137" s="38"/>
      <c r="B137" s="37"/>
      <c r="C137" s="36">
        <f t="shared" si="16"/>
        <v>40</v>
      </c>
      <c r="D137" s="20" t="s">
        <v>560</v>
      </c>
      <c r="E137" s="36">
        <f t="shared" si="15"/>
        <v>1</v>
      </c>
      <c r="F137" s="35" t="s">
        <v>228</v>
      </c>
      <c r="G137" s="121"/>
      <c r="Q137" s="100"/>
      <c r="R137" s="100"/>
      <c r="AD137" s="100"/>
      <c r="AE137" s="100"/>
      <c r="AF137" s="100"/>
      <c r="AG137" s="100"/>
      <c r="AH137" s="100"/>
      <c r="AI137" s="100"/>
      <c r="AJ137" s="100"/>
      <c r="AL137" s="100"/>
      <c r="AN137" s="100"/>
      <c r="BV137" s="27">
        <v>1</v>
      </c>
    </row>
    <row r="138" spans="1:79" s="27" customFormat="1" x14ac:dyDescent="0.2">
      <c r="A138" s="38"/>
      <c r="B138" s="37"/>
      <c r="C138" s="36">
        <f t="shared" si="16"/>
        <v>-40</v>
      </c>
      <c r="D138" s="419" t="s">
        <v>611</v>
      </c>
      <c r="E138" s="411">
        <f t="shared" si="15"/>
        <v>-1</v>
      </c>
      <c r="F138" s="35" t="s">
        <v>228</v>
      </c>
      <c r="G138" s="121"/>
      <c r="Q138" s="100"/>
      <c r="R138" s="100"/>
      <c r="AD138" s="100"/>
      <c r="AE138" s="100"/>
      <c r="AF138" s="100"/>
      <c r="AG138" s="100"/>
      <c r="AH138" s="100"/>
      <c r="AI138" s="100"/>
      <c r="AJ138" s="100"/>
      <c r="AL138" s="100"/>
      <c r="AN138" s="100"/>
      <c r="BW138" s="27">
        <v>-1</v>
      </c>
    </row>
    <row r="139" spans="1:79" s="27" customFormat="1" x14ac:dyDescent="0.2">
      <c r="A139" s="38"/>
      <c r="B139" s="37"/>
      <c r="C139" s="36">
        <f t="shared" si="16"/>
        <v>-20</v>
      </c>
      <c r="D139" s="419" t="s">
        <v>598</v>
      </c>
      <c r="E139" s="411">
        <f t="shared" si="15"/>
        <v>-0.5</v>
      </c>
      <c r="F139" s="35" t="s">
        <v>228</v>
      </c>
      <c r="G139" s="121"/>
      <c r="Q139" s="100"/>
      <c r="R139" s="100"/>
      <c r="AD139" s="100"/>
      <c r="AE139" s="100"/>
      <c r="AF139" s="100"/>
      <c r="AG139" s="100"/>
      <c r="AH139" s="100"/>
      <c r="AI139" s="100"/>
      <c r="AJ139" s="100"/>
      <c r="AL139" s="100"/>
      <c r="AN139" s="100"/>
      <c r="BX139" s="27">
        <v>-0.5</v>
      </c>
    </row>
    <row r="140" spans="1:79" s="27" customFormat="1" ht="25.5" x14ac:dyDescent="0.2">
      <c r="A140" s="38"/>
      <c r="B140" s="37"/>
      <c r="C140" s="36">
        <f t="shared" si="16"/>
        <v>-40</v>
      </c>
      <c r="D140" s="419" t="s">
        <v>2845</v>
      </c>
      <c r="E140" s="411">
        <f t="shared" si="15"/>
        <v>-1</v>
      </c>
      <c r="F140" s="35" t="s">
        <v>228</v>
      </c>
      <c r="G140" s="121"/>
      <c r="Q140" s="100"/>
      <c r="R140" s="100"/>
      <c r="AD140" s="100"/>
      <c r="AE140" s="100"/>
      <c r="AF140" s="100"/>
      <c r="AG140" s="100"/>
      <c r="AH140" s="100"/>
      <c r="AI140" s="100"/>
      <c r="AJ140" s="100"/>
      <c r="AL140" s="100"/>
      <c r="AN140" s="100"/>
      <c r="BZ140" s="27">
        <v>-1</v>
      </c>
    </row>
    <row r="141" spans="1:79" s="27" customFormat="1" x14ac:dyDescent="0.2">
      <c r="A141" s="38"/>
      <c r="B141" s="37"/>
      <c r="C141" s="36">
        <f t="shared" si="16"/>
        <v>0</v>
      </c>
      <c r="D141" s="20" t="s">
        <v>1392</v>
      </c>
      <c r="E141" s="36">
        <f t="shared" si="15"/>
        <v>0</v>
      </c>
      <c r="F141" s="35" t="s">
        <v>228</v>
      </c>
      <c r="G141" s="121"/>
      <c r="Q141" s="100"/>
      <c r="R141" s="100"/>
      <c r="AD141" s="100"/>
      <c r="AE141" s="100"/>
      <c r="AF141" s="100"/>
      <c r="AG141" s="100"/>
      <c r="AH141" s="100"/>
      <c r="AI141" s="100"/>
      <c r="AJ141" s="100"/>
      <c r="AL141" s="100"/>
      <c r="AN141" s="100"/>
      <c r="BZ141" s="27">
        <v>1</v>
      </c>
      <c r="CA141" s="27">
        <v>-1</v>
      </c>
    </row>
    <row r="142" spans="1:79" s="27" customFormat="1" ht="25.5" x14ac:dyDescent="0.2">
      <c r="A142" s="38"/>
      <c r="B142" s="37"/>
      <c r="C142" s="36">
        <f t="shared" si="16"/>
        <v>40</v>
      </c>
      <c r="D142" s="20" t="s">
        <v>1419</v>
      </c>
      <c r="E142" s="36">
        <f t="shared" si="15"/>
        <v>1</v>
      </c>
      <c r="F142" s="35" t="s">
        <v>228</v>
      </c>
      <c r="G142" s="121"/>
      <c r="Q142" s="100"/>
      <c r="R142" s="100"/>
      <c r="AD142" s="100"/>
      <c r="AE142" s="100"/>
      <c r="AF142" s="100"/>
      <c r="AG142" s="100"/>
      <c r="AH142" s="100"/>
      <c r="AI142" s="100"/>
      <c r="AJ142" s="100"/>
      <c r="AL142" s="100"/>
      <c r="AN142" s="100"/>
      <c r="CA142" s="27">
        <v>1</v>
      </c>
    </row>
    <row r="143" spans="1:79" s="27" customFormat="1" x14ac:dyDescent="0.2">
      <c r="A143" s="38"/>
      <c r="B143" s="37"/>
      <c r="C143" s="36">
        <f t="shared" si="16"/>
        <v>0</v>
      </c>
      <c r="D143" s="20" t="s">
        <v>106</v>
      </c>
      <c r="E143" s="36">
        <f t="shared" si="15"/>
        <v>0</v>
      </c>
      <c r="F143" s="35" t="s">
        <v>228</v>
      </c>
      <c r="G143" s="121"/>
      <c r="Q143" s="100"/>
      <c r="R143" s="100"/>
      <c r="AD143" s="100"/>
      <c r="AE143" s="100"/>
      <c r="AF143" s="100"/>
      <c r="AG143" s="100"/>
      <c r="AH143" s="100"/>
      <c r="AI143" s="100"/>
      <c r="AJ143" s="100"/>
      <c r="AL143" s="100"/>
      <c r="AN143" s="100"/>
    </row>
    <row r="144" spans="1:79" s="27" customFormat="1" x14ac:dyDescent="0.2">
      <c r="A144" s="38"/>
      <c r="B144" s="37"/>
      <c r="C144" s="36">
        <f t="shared" si="16"/>
        <v>0</v>
      </c>
      <c r="D144" s="20" t="s">
        <v>431</v>
      </c>
      <c r="E144" s="36">
        <f t="shared" si="15"/>
        <v>0</v>
      </c>
      <c r="F144" s="35" t="s">
        <v>228</v>
      </c>
      <c r="G144" s="121"/>
      <c r="Q144" s="100"/>
      <c r="R144" s="100"/>
      <c r="AD144" s="100"/>
      <c r="AE144" s="100"/>
      <c r="AF144" s="100"/>
      <c r="AG144" s="100"/>
      <c r="AH144" s="100"/>
      <c r="AI144" s="100"/>
      <c r="AJ144" s="100"/>
      <c r="AL144" s="100"/>
      <c r="AN144" s="100"/>
    </row>
    <row r="145" spans="1:41" s="27" customFormat="1" x14ac:dyDescent="0.2">
      <c r="A145" s="38"/>
      <c r="B145" s="37"/>
      <c r="C145" s="36">
        <f t="shared" si="16"/>
        <v>0</v>
      </c>
      <c r="D145" s="20"/>
      <c r="E145" s="36">
        <f t="shared" si="15"/>
        <v>0</v>
      </c>
      <c r="Q145" s="100"/>
      <c r="R145" s="100"/>
      <c r="AD145" s="100"/>
      <c r="AE145" s="100"/>
      <c r="AF145" s="100"/>
      <c r="AG145" s="100"/>
      <c r="AH145" s="100"/>
      <c r="AI145" s="100"/>
      <c r="AJ145" s="100"/>
      <c r="AL145" s="100"/>
      <c r="AN145" s="100"/>
    </row>
    <row r="146" spans="1:41" s="27" customFormat="1" x14ac:dyDescent="0.2">
      <c r="A146" s="38"/>
      <c r="B146" s="37"/>
      <c r="C146" s="36">
        <f t="shared" si="16"/>
        <v>0</v>
      </c>
      <c r="D146" s="20"/>
      <c r="E146" s="36">
        <f t="shared" si="15"/>
        <v>0</v>
      </c>
      <c r="Q146" s="100"/>
      <c r="R146" s="100"/>
      <c r="AD146" s="100"/>
      <c r="AE146" s="100"/>
      <c r="AF146" s="100"/>
      <c r="AG146" s="100"/>
      <c r="AH146" s="100"/>
      <c r="AI146" s="100"/>
      <c r="AJ146" s="100"/>
      <c r="AL146" s="100"/>
      <c r="AN146" s="100"/>
    </row>
    <row r="147" spans="1:41" s="27" customFormat="1" x14ac:dyDescent="0.2">
      <c r="A147" s="38"/>
      <c r="B147" s="37"/>
      <c r="C147" s="36">
        <f t="shared" si="16"/>
        <v>0</v>
      </c>
      <c r="D147" s="20"/>
      <c r="E147" s="36">
        <f t="shared" si="15"/>
        <v>0</v>
      </c>
      <c r="Q147" s="100"/>
      <c r="R147" s="100"/>
      <c r="AD147" s="100"/>
      <c r="AE147" s="100"/>
      <c r="AF147" s="100"/>
      <c r="AG147" s="100"/>
      <c r="AH147" s="100"/>
      <c r="AI147" s="100"/>
      <c r="AJ147" s="100"/>
      <c r="AL147" s="100"/>
      <c r="AN147" s="100"/>
    </row>
    <row r="148" spans="1:41" s="27" customFormat="1" x14ac:dyDescent="0.2">
      <c r="A148" s="38"/>
      <c r="B148" s="37"/>
      <c r="C148" s="36">
        <f t="shared" si="16"/>
        <v>0</v>
      </c>
      <c r="D148" s="20"/>
      <c r="E148" s="36">
        <f t="shared" si="15"/>
        <v>0</v>
      </c>
      <c r="Q148" s="100"/>
      <c r="R148" s="100"/>
      <c r="AD148" s="100"/>
      <c r="AE148" s="100"/>
      <c r="AF148" s="100"/>
      <c r="AG148" s="100"/>
      <c r="AH148" s="100"/>
      <c r="AI148" s="100"/>
      <c r="AJ148" s="100"/>
      <c r="AL148" s="100"/>
      <c r="AN148" s="100"/>
    </row>
    <row r="149" spans="1:41" s="27" customFormat="1" x14ac:dyDescent="0.2">
      <c r="A149" s="38"/>
      <c r="B149" s="37"/>
      <c r="C149" s="36">
        <f t="shared" si="16"/>
        <v>0</v>
      </c>
      <c r="D149" s="20"/>
      <c r="E149" s="36">
        <f t="shared" si="15"/>
        <v>0</v>
      </c>
      <c r="Q149" s="100"/>
      <c r="R149" s="100"/>
      <c r="AD149" s="100"/>
      <c r="AE149" s="100"/>
      <c r="AF149" s="100"/>
      <c r="AG149" s="100"/>
      <c r="AH149" s="100"/>
      <c r="AI149" s="100"/>
      <c r="AJ149" s="100"/>
      <c r="AL149" s="100"/>
      <c r="AN149" s="100"/>
    </row>
    <row r="150" spans="1:41" s="27" customFormat="1" x14ac:dyDescent="0.2">
      <c r="A150" s="38"/>
      <c r="B150" s="37"/>
      <c r="C150" s="36">
        <f t="shared" si="16"/>
        <v>0</v>
      </c>
      <c r="D150" s="20"/>
      <c r="E150" s="36">
        <f t="shared" si="15"/>
        <v>0</v>
      </c>
      <c r="Q150" s="100"/>
      <c r="R150" s="100"/>
      <c r="AD150" s="100"/>
      <c r="AE150" s="100"/>
      <c r="AF150" s="100"/>
      <c r="AG150" s="100"/>
      <c r="AH150" s="100"/>
      <c r="AI150" s="100"/>
      <c r="AJ150" s="100"/>
      <c r="AL150" s="100"/>
      <c r="AN150" s="100"/>
    </row>
    <row r="151" spans="1:41" s="27" customFormat="1" x14ac:dyDescent="0.2">
      <c r="A151" s="38"/>
      <c r="B151" s="37"/>
      <c r="C151" s="36">
        <f t="shared" si="16"/>
        <v>0</v>
      </c>
      <c r="D151" s="20"/>
      <c r="E151" s="36">
        <f t="shared" si="15"/>
        <v>0</v>
      </c>
      <c r="Q151" s="100"/>
      <c r="R151" s="100"/>
      <c r="AD151" s="100"/>
      <c r="AE151" s="100"/>
      <c r="AF151" s="100"/>
      <c r="AG151" s="100"/>
      <c r="AH151" s="100"/>
      <c r="AI151" s="100"/>
      <c r="AJ151" s="100"/>
      <c r="AL151" s="100"/>
      <c r="AN151" s="100"/>
    </row>
    <row r="152" spans="1:41" s="27" customFormat="1" x14ac:dyDescent="0.2">
      <c r="A152" s="38"/>
      <c r="B152" s="37"/>
      <c r="C152" s="36">
        <f t="shared" si="16"/>
        <v>0</v>
      </c>
      <c r="D152" s="20"/>
      <c r="E152" s="36">
        <f t="shared" si="15"/>
        <v>0</v>
      </c>
      <c r="Q152" s="100"/>
      <c r="R152" s="100"/>
      <c r="AD152" s="100"/>
      <c r="AE152" s="100"/>
      <c r="AF152" s="100"/>
      <c r="AG152" s="100"/>
      <c r="AH152" s="100"/>
      <c r="AI152" s="100"/>
      <c r="AJ152" s="100"/>
      <c r="AL152" s="100"/>
      <c r="AN152" s="100"/>
    </row>
    <row r="153" spans="1:41" s="27" customFormat="1" x14ac:dyDescent="0.2">
      <c r="A153" s="38"/>
      <c r="B153" s="37"/>
      <c r="C153" s="36">
        <f t="shared" si="16"/>
        <v>0</v>
      </c>
      <c r="D153" s="20"/>
      <c r="E153" s="36">
        <f t="shared" si="15"/>
        <v>0</v>
      </c>
      <c r="Q153" s="100"/>
      <c r="R153" s="100"/>
      <c r="AD153" s="100"/>
      <c r="AE153" s="100"/>
      <c r="AF153" s="100"/>
      <c r="AG153" s="100"/>
      <c r="AH153" s="100"/>
      <c r="AI153" s="100"/>
      <c r="AJ153" s="100"/>
      <c r="AL153" s="100"/>
      <c r="AN153" s="100"/>
    </row>
    <row r="154" spans="1:41" s="27" customFormat="1" x14ac:dyDescent="0.2">
      <c r="A154" s="38"/>
      <c r="B154" s="37"/>
      <c r="C154" s="36">
        <f t="shared" si="16"/>
        <v>0</v>
      </c>
      <c r="D154" s="20"/>
      <c r="E154" s="36">
        <f t="shared" si="15"/>
        <v>0</v>
      </c>
      <c r="Q154" s="100"/>
      <c r="R154" s="100"/>
      <c r="AD154" s="100"/>
      <c r="AE154" s="100"/>
      <c r="AF154" s="100"/>
      <c r="AG154" s="100"/>
      <c r="AH154" s="100"/>
      <c r="AI154" s="100"/>
      <c r="AJ154" s="100"/>
      <c r="AL154" s="100"/>
      <c r="AN154" s="100"/>
    </row>
    <row r="155" spans="1:41" s="27" customFormat="1" x14ac:dyDescent="0.2">
      <c r="A155" s="38"/>
      <c r="B155" s="37"/>
      <c r="C155" s="36">
        <f t="shared" si="16"/>
        <v>0</v>
      </c>
      <c r="D155" s="20"/>
      <c r="E155" s="36">
        <f t="shared" si="15"/>
        <v>0</v>
      </c>
      <c r="Q155" s="100"/>
      <c r="R155" s="100"/>
      <c r="AD155" s="100"/>
      <c r="AE155" s="100"/>
      <c r="AF155" s="100"/>
      <c r="AG155" s="100"/>
      <c r="AH155" s="100"/>
      <c r="AI155" s="100"/>
      <c r="AJ155" s="100"/>
      <c r="AL155" s="100"/>
      <c r="AN155" s="100"/>
    </row>
    <row r="156" spans="1:41" s="27" customFormat="1" x14ac:dyDescent="0.2">
      <c r="A156" s="38"/>
      <c r="B156" s="37"/>
      <c r="C156" s="36">
        <f t="shared" si="16"/>
        <v>0</v>
      </c>
      <c r="D156" s="20"/>
      <c r="E156" s="36">
        <f t="shared" si="15"/>
        <v>0</v>
      </c>
      <c r="R156" s="100"/>
      <c r="S156" s="100"/>
      <c r="AE156" s="100"/>
      <c r="AF156" s="100"/>
      <c r="AG156" s="100"/>
      <c r="AH156" s="100"/>
      <c r="AI156" s="100"/>
      <c r="AJ156" s="100"/>
      <c r="AK156" s="100"/>
      <c r="AM156" s="100"/>
      <c r="AO156" s="100"/>
    </row>
    <row r="157" spans="1:41" s="27" customFormat="1" x14ac:dyDescent="0.2">
      <c r="A157" s="38"/>
      <c r="B157" s="37"/>
      <c r="C157" s="36">
        <f t="shared" si="16"/>
        <v>0</v>
      </c>
      <c r="D157" s="20"/>
      <c r="E157" s="36">
        <f t="shared" si="15"/>
        <v>0</v>
      </c>
      <c r="R157" s="100"/>
      <c r="S157" s="100"/>
      <c r="AE157" s="100"/>
      <c r="AF157" s="100"/>
      <c r="AG157" s="100"/>
      <c r="AH157" s="100"/>
      <c r="AI157" s="100"/>
      <c r="AJ157" s="100"/>
      <c r="AK157" s="100"/>
      <c r="AM157" s="100"/>
      <c r="AO157" s="100"/>
    </row>
    <row r="158" spans="1:41" s="27" customFormat="1" x14ac:dyDescent="0.2">
      <c r="A158" s="38"/>
      <c r="B158" s="37"/>
      <c r="C158" s="36">
        <f t="shared" si="16"/>
        <v>0</v>
      </c>
      <c r="D158" s="20"/>
      <c r="E158" s="36">
        <f t="shared" si="15"/>
        <v>0</v>
      </c>
      <c r="R158" s="100"/>
      <c r="S158" s="100"/>
      <c r="AE158" s="100"/>
      <c r="AF158" s="100"/>
      <c r="AG158" s="100"/>
      <c r="AH158" s="100"/>
      <c r="AI158" s="100"/>
      <c r="AJ158" s="100"/>
      <c r="AK158" s="100"/>
      <c r="AM158" s="100"/>
      <c r="AO158" s="100"/>
    </row>
    <row r="159" spans="1:41" s="27" customFormat="1" x14ac:dyDescent="0.2">
      <c r="A159" s="38"/>
      <c r="B159" s="37"/>
      <c r="C159" s="36">
        <f t="shared" si="16"/>
        <v>0</v>
      </c>
      <c r="D159" s="20"/>
      <c r="E159" s="36">
        <f t="shared" si="15"/>
        <v>0</v>
      </c>
      <c r="R159" s="100"/>
      <c r="S159" s="100"/>
      <c r="AE159" s="100"/>
      <c r="AF159" s="100"/>
      <c r="AG159" s="100"/>
      <c r="AH159" s="100"/>
      <c r="AI159" s="100"/>
      <c r="AJ159" s="100"/>
      <c r="AK159" s="100"/>
      <c r="AM159" s="100"/>
      <c r="AO159" s="100"/>
    </row>
    <row r="160" spans="1:41" s="27" customFormat="1" x14ac:dyDescent="0.2">
      <c r="A160" s="38"/>
      <c r="B160" s="37"/>
      <c r="C160" s="36">
        <f t="shared" si="16"/>
        <v>0</v>
      </c>
      <c r="D160" s="20"/>
      <c r="E160" s="36">
        <f t="shared" si="15"/>
        <v>0</v>
      </c>
      <c r="R160" s="100"/>
      <c r="S160" s="100"/>
      <c r="AE160" s="100"/>
      <c r="AF160" s="100"/>
      <c r="AG160" s="100"/>
      <c r="AH160" s="100"/>
      <c r="AI160" s="100"/>
      <c r="AJ160" s="100"/>
      <c r="AK160" s="100"/>
      <c r="AM160" s="100"/>
      <c r="AO160" s="100"/>
    </row>
    <row r="161" spans="1:41" s="27" customFormat="1" x14ac:dyDescent="0.2">
      <c r="A161" s="38"/>
      <c r="B161" s="37"/>
      <c r="C161" s="36">
        <f t="shared" si="16"/>
        <v>0</v>
      </c>
      <c r="D161" s="20"/>
      <c r="E161" s="36">
        <f t="shared" si="15"/>
        <v>0</v>
      </c>
      <c r="R161" s="100"/>
      <c r="S161" s="100"/>
      <c r="AE161" s="100"/>
      <c r="AF161" s="100"/>
      <c r="AG161" s="100"/>
      <c r="AH161" s="100"/>
      <c r="AI161" s="100"/>
      <c r="AJ161" s="100"/>
      <c r="AK161" s="100"/>
      <c r="AM161" s="100"/>
      <c r="AO161" s="100"/>
    </row>
    <row r="162" spans="1:41" s="27" customFormat="1" x14ac:dyDescent="0.2">
      <c r="A162" s="38"/>
      <c r="B162" s="37"/>
      <c r="C162" s="36">
        <f t="shared" si="16"/>
        <v>0</v>
      </c>
      <c r="D162" s="20"/>
      <c r="E162" s="36">
        <f t="shared" si="15"/>
        <v>0</v>
      </c>
      <c r="R162" s="100"/>
      <c r="S162" s="100"/>
      <c r="AE162" s="100"/>
      <c r="AF162" s="100"/>
      <c r="AG162" s="100"/>
      <c r="AH162" s="100"/>
      <c r="AI162" s="100"/>
      <c r="AJ162" s="100"/>
      <c r="AK162" s="100"/>
      <c r="AM162" s="100"/>
      <c r="AO162" s="100"/>
    </row>
    <row r="163" spans="1:41" s="27" customFormat="1" x14ac:dyDescent="0.2">
      <c r="A163" s="38"/>
      <c r="B163" s="37"/>
      <c r="C163" s="36">
        <f t="shared" si="16"/>
        <v>0</v>
      </c>
      <c r="D163" s="20"/>
      <c r="E163" s="36">
        <f t="shared" si="15"/>
        <v>0</v>
      </c>
      <c r="R163" s="100"/>
      <c r="S163" s="100"/>
      <c r="AE163" s="100"/>
      <c r="AF163" s="100"/>
      <c r="AG163" s="100"/>
      <c r="AH163" s="100"/>
      <c r="AI163" s="100"/>
      <c r="AJ163" s="100"/>
      <c r="AK163" s="100"/>
      <c r="AM163" s="100"/>
      <c r="AO163" s="100"/>
    </row>
    <row r="164" spans="1:41" s="27" customFormat="1" x14ac:dyDescent="0.2">
      <c r="A164" s="38"/>
      <c r="B164" s="37"/>
      <c r="C164" s="36">
        <f t="shared" si="16"/>
        <v>0</v>
      </c>
      <c r="D164" s="20"/>
      <c r="E164" s="36">
        <f t="shared" si="15"/>
        <v>0</v>
      </c>
      <c r="R164" s="100"/>
      <c r="S164" s="100"/>
      <c r="AE164" s="100"/>
      <c r="AF164" s="100"/>
      <c r="AG164" s="100"/>
      <c r="AH164" s="100"/>
      <c r="AI164" s="100"/>
      <c r="AJ164" s="100"/>
      <c r="AK164" s="100"/>
      <c r="AM164" s="100"/>
      <c r="AO164" s="100"/>
    </row>
    <row r="165" spans="1:41" s="27" customFormat="1" x14ac:dyDescent="0.2">
      <c r="A165" s="38"/>
      <c r="B165" s="37"/>
      <c r="C165" s="36">
        <f t="shared" si="16"/>
        <v>0</v>
      </c>
      <c r="D165" s="20"/>
      <c r="E165" s="36">
        <f t="shared" si="15"/>
        <v>0</v>
      </c>
      <c r="R165" s="100"/>
      <c r="S165" s="100"/>
      <c r="AE165" s="100"/>
      <c r="AF165" s="100"/>
      <c r="AG165" s="100"/>
      <c r="AH165" s="100"/>
      <c r="AI165" s="100"/>
      <c r="AJ165" s="100"/>
      <c r="AK165" s="100"/>
      <c r="AM165" s="100"/>
      <c r="AO165" s="100"/>
    </row>
    <row r="166" spans="1:41" s="27" customFormat="1" x14ac:dyDescent="0.2">
      <c r="A166" s="38"/>
      <c r="B166" s="37"/>
      <c r="C166" s="36">
        <f t="shared" si="16"/>
        <v>0</v>
      </c>
      <c r="D166" s="20"/>
      <c r="E166" s="36">
        <f t="shared" si="15"/>
        <v>0</v>
      </c>
      <c r="R166" s="100"/>
      <c r="S166" s="100"/>
      <c r="AE166" s="100"/>
      <c r="AF166" s="100"/>
      <c r="AG166" s="100"/>
      <c r="AH166" s="100"/>
      <c r="AI166" s="100"/>
      <c r="AJ166" s="100"/>
      <c r="AK166" s="100"/>
      <c r="AM166" s="100"/>
      <c r="AO166" s="100"/>
    </row>
    <row r="167" spans="1:41" s="27" customFormat="1" x14ac:dyDescent="0.2">
      <c r="A167" s="38"/>
      <c r="B167" s="37"/>
      <c r="C167" s="36">
        <f t="shared" si="16"/>
        <v>0</v>
      </c>
      <c r="D167" s="20"/>
      <c r="E167" s="36">
        <f t="shared" si="15"/>
        <v>0</v>
      </c>
      <c r="R167" s="100"/>
      <c r="S167" s="100"/>
      <c r="AE167" s="100"/>
      <c r="AF167" s="100"/>
      <c r="AG167" s="100"/>
      <c r="AH167" s="100"/>
      <c r="AI167" s="100"/>
      <c r="AJ167" s="100"/>
      <c r="AK167" s="100"/>
      <c r="AM167" s="100"/>
      <c r="AO167" s="100"/>
    </row>
    <row r="168" spans="1:41" s="27" customFormat="1" x14ac:dyDescent="0.2">
      <c r="A168" s="38"/>
      <c r="B168" s="37"/>
      <c r="C168" s="36">
        <f t="shared" si="16"/>
        <v>0</v>
      </c>
      <c r="D168" s="20"/>
      <c r="E168" s="36">
        <f t="shared" si="15"/>
        <v>0</v>
      </c>
      <c r="R168" s="100"/>
      <c r="S168" s="100"/>
      <c r="AE168" s="100"/>
      <c r="AF168" s="100"/>
      <c r="AG168" s="100"/>
      <c r="AH168" s="100"/>
      <c r="AI168" s="100"/>
      <c r="AJ168" s="100"/>
      <c r="AK168" s="100"/>
      <c r="AM168" s="100"/>
      <c r="AO168" s="100"/>
    </row>
    <row r="169" spans="1:41" s="27" customFormat="1" x14ac:dyDescent="0.2">
      <c r="A169" s="38"/>
      <c r="B169" s="37"/>
      <c r="C169" s="36">
        <f t="shared" si="16"/>
        <v>0</v>
      </c>
      <c r="D169" s="20"/>
      <c r="E169" s="36">
        <f t="shared" si="15"/>
        <v>0</v>
      </c>
      <c r="R169" s="100"/>
      <c r="S169" s="100"/>
      <c r="AE169" s="100"/>
      <c r="AF169" s="100"/>
      <c r="AG169" s="100"/>
      <c r="AH169" s="100"/>
      <c r="AI169" s="100"/>
      <c r="AJ169" s="100"/>
      <c r="AK169" s="100"/>
      <c r="AM169" s="100"/>
      <c r="AO169" s="100"/>
    </row>
    <row r="170" spans="1:41" s="27" customFormat="1" x14ac:dyDescent="0.2">
      <c r="A170" s="38"/>
      <c r="B170" s="37"/>
      <c r="C170" s="36">
        <f t="shared" si="16"/>
        <v>0</v>
      </c>
      <c r="D170" s="20"/>
      <c r="E170" s="36">
        <f t="shared" si="15"/>
        <v>0</v>
      </c>
      <c r="R170" s="100"/>
      <c r="S170" s="100"/>
      <c r="AE170" s="100"/>
      <c r="AF170" s="100"/>
      <c r="AG170" s="100"/>
      <c r="AH170" s="100"/>
      <c r="AI170" s="100"/>
      <c r="AJ170" s="100"/>
      <c r="AK170" s="100"/>
      <c r="AM170" s="100"/>
      <c r="AO170" s="100"/>
    </row>
    <row r="171" spans="1:41" s="27" customFormat="1" x14ac:dyDescent="0.2">
      <c r="A171" s="38"/>
      <c r="B171" s="37"/>
      <c r="C171" s="36">
        <f t="shared" si="16"/>
        <v>0</v>
      </c>
      <c r="D171" s="20"/>
      <c r="E171" s="36">
        <f t="shared" si="15"/>
        <v>0</v>
      </c>
      <c r="R171" s="100"/>
      <c r="S171" s="100"/>
      <c r="AE171" s="100"/>
      <c r="AF171" s="100"/>
      <c r="AG171" s="100"/>
      <c r="AH171" s="100"/>
      <c r="AI171" s="100"/>
      <c r="AJ171" s="100"/>
      <c r="AK171" s="100"/>
      <c r="AM171" s="100"/>
      <c r="AO171" s="100"/>
    </row>
    <row r="172" spans="1:41" s="27" customFormat="1" x14ac:dyDescent="0.2">
      <c r="A172" s="38"/>
      <c r="B172" s="37"/>
      <c r="C172" s="36">
        <f t="shared" si="16"/>
        <v>0</v>
      </c>
      <c r="D172" s="20"/>
      <c r="E172" s="36">
        <f t="shared" si="15"/>
        <v>0</v>
      </c>
      <c r="R172" s="100"/>
      <c r="S172" s="100"/>
      <c r="AE172" s="100"/>
      <c r="AF172" s="100"/>
      <c r="AG172" s="100"/>
      <c r="AH172" s="100"/>
      <c r="AI172" s="100"/>
      <c r="AJ172" s="100"/>
      <c r="AK172" s="100"/>
      <c r="AM172" s="100"/>
      <c r="AO172" s="100"/>
    </row>
    <row r="173" spans="1:41" s="27" customFormat="1" x14ac:dyDescent="0.2">
      <c r="A173" s="38"/>
      <c r="B173" s="37"/>
      <c r="C173" s="36">
        <f t="shared" si="16"/>
        <v>0</v>
      </c>
      <c r="D173" s="20"/>
      <c r="E173" s="36">
        <f t="shared" si="15"/>
        <v>0</v>
      </c>
      <c r="R173" s="100"/>
      <c r="S173" s="100"/>
      <c r="AE173" s="100"/>
      <c r="AF173" s="100"/>
      <c r="AG173" s="100"/>
      <c r="AH173" s="100"/>
      <c r="AI173" s="100"/>
      <c r="AJ173" s="100"/>
      <c r="AK173" s="100"/>
      <c r="AM173" s="100"/>
      <c r="AO173" s="100"/>
    </row>
    <row r="174" spans="1:41" s="27" customFormat="1" x14ac:dyDescent="0.2">
      <c r="A174" s="38"/>
      <c r="B174" s="37"/>
      <c r="C174" s="36">
        <f t="shared" si="16"/>
        <v>0</v>
      </c>
      <c r="D174" s="20"/>
      <c r="E174" s="36">
        <f t="shared" ref="E174:E201" si="17">SUM(G174:HS174)</f>
        <v>0</v>
      </c>
      <c r="R174" s="100"/>
      <c r="S174" s="100"/>
      <c r="AE174" s="100"/>
      <c r="AF174" s="100"/>
      <c r="AG174" s="100"/>
      <c r="AH174" s="100"/>
      <c r="AI174" s="100"/>
      <c r="AJ174" s="100"/>
      <c r="AK174" s="100"/>
      <c r="AM174" s="100"/>
      <c r="AO174" s="100"/>
    </row>
    <row r="175" spans="1:41" s="27" customFormat="1" x14ac:dyDescent="0.2">
      <c r="A175" s="38"/>
      <c r="B175" s="37"/>
      <c r="C175" s="36">
        <f t="shared" si="16"/>
        <v>0</v>
      </c>
      <c r="D175" s="20"/>
      <c r="E175" s="36">
        <f t="shared" si="17"/>
        <v>0</v>
      </c>
      <c r="R175" s="100"/>
      <c r="S175" s="100"/>
      <c r="AE175" s="100"/>
      <c r="AF175" s="100"/>
      <c r="AG175" s="100"/>
      <c r="AH175" s="100"/>
      <c r="AI175" s="100"/>
      <c r="AJ175" s="100"/>
      <c r="AK175" s="100"/>
      <c r="AM175" s="100"/>
      <c r="AO175" s="100"/>
    </row>
    <row r="176" spans="1:41" s="27" customFormat="1" x14ac:dyDescent="0.2">
      <c r="A176" s="38"/>
      <c r="B176" s="37"/>
      <c r="C176" s="36">
        <f t="shared" si="16"/>
        <v>0</v>
      </c>
      <c r="D176" s="20"/>
      <c r="E176" s="36">
        <f t="shared" si="17"/>
        <v>0</v>
      </c>
      <c r="R176" s="100"/>
      <c r="S176" s="100"/>
      <c r="AE176" s="100"/>
      <c r="AF176" s="100"/>
      <c r="AG176" s="100"/>
      <c r="AH176" s="100"/>
      <c r="AI176" s="100"/>
      <c r="AJ176" s="100"/>
      <c r="AK176" s="100"/>
      <c r="AM176" s="100"/>
      <c r="AO176" s="100"/>
    </row>
    <row r="177" spans="1:41" s="27" customFormat="1" x14ac:dyDescent="0.2">
      <c r="A177" s="38"/>
      <c r="B177" s="37"/>
      <c r="C177" s="36">
        <f t="shared" si="16"/>
        <v>0</v>
      </c>
      <c r="D177" s="20"/>
      <c r="E177" s="36">
        <f t="shared" si="17"/>
        <v>0</v>
      </c>
      <c r="R177" s="100"/>
      <c r="S177" s="100"/>
      <c r="AE177" s="100"/>
      <c r="AF177" s="100"/>
      <c r="AG177" s="100"/>
      <c r="AH177" s="100"/>
      <c r="AI177" s="100"/>
      <c r="AJ177" s="100"/>
      <c r="AK177" s="100"/>
      <c r="AM177" s="100"/>
      <c r="AO177" s="100"/>
    </row>
    <row r="178" spans="1:41" s="27" customFormat="1" x14ac:dyDescent="0.2">
      <c r="A178" s="38"/>
      <c r="B178" s="37"/>
      <c r="C178" s="36">
        <f t="shared" si="16"/>
        <v>0</v>
      </c>
      <c r="D178" s="20"/>
      <c r="E178" s="36">
        <f t="shared" si="17"/>
        <v>0</v>
      </c>
      <c r="R178" s="100"/>
      <c r="S178" s="100"/>
      <c r="AE178" s="100"/>
      <c r="AF178" s="100"/>
      <c r="AG178" s="100"/>
      <c r="AH178" s="100"/>
      <c r="AI178" s="100"/>
      <c r="AJ178" s="100"/>
      <c r="AK178" s="100"/>
      <c r="AM178" s="100"/>
      <c r="AO178" s="100"/>
    </row>
    <row r="179" spans="1:41" s="27" customFormat="1" x14ac:dyDescent="0.2">
      <c r="A179" s="38"/>
      <c r="B179" s="37"/>
      <c r="C179" s="36">
        <f t="shared" si="16"/>
        <v>0</v>
      </c>
      <c r="D179" s="20"/>
      <c r="E179" s="36">
        <f t="shared" si="17"/>
        <v>0</v>
      </c>
      <c r="R179" s="100"/>
      <c r="S179" s="100"/>
      <c r="AE179" s="100"/>
      <c r="AF179" s="100"/>
      <c r="AG179" s="100"/>
      <c r="AH179" s="100"/>
      <c r="AI179" s="100"/>
      <c r="AJ179" s="100"/>
      <c r="AK179" s="100"/>
      <c r="AM179" s="100"/>
      <c r="AO179" s="100"/>
    </row>
    <row r="180" spans="1:41" s="27" customFormat="1" x14ac:dyDescent="0.2">
      <c r="A180" s="38"/>
      <c r="B180" s="37"/>
      <c r="C180" s="36">
        <f t="shared" si="16"/>
        <v>0</v>
      </c>
      <c r="D180" s="20"/>
      <c r="E180" s="36">
        <f t="shared" si="17"/>
        <v>0</v>
      </c>
      <c r="R180" s="100"/>
      <c r="S180" s="100"/>
      <c r="AE180" s="100"/>
      <c r="AF180" s="100"/>
      <c r="AG180" s="100"/>
      <c r="AH180" s="100"/>
      <c r="AI180" s="100"/>
      <c r="AJ180" s="100"/>
      <c r="AK180" s="100"/>
      <c r="AM180" s="100"/>
      <c r="AO180" s="100"/>
    </row>
    <row r="181" spans="1:41" s="27" customFormat="1" x14ac:dyDescent="0.2">
      <c r="A181" s="38"/>
      <c r="B181" s="37"/>
      <c r="C181" s="36">
        <f t="shared" ref="C181:C201" si="18">E181*D$5</f>
        <v>0</v>
      </c>
      <c r="D181" s="20"/>
      <c r="E181" s="36">
        <f t="shared" si="17"/>
        <v>0</v>
      </c>
      <c r="R181" s="100"/>
      <c r="S181" s="100"/>
      <c r="AE181" s="100"/>
      <c r="AF181" s="100"/>
      <c r="AG181" s="100"/>
      <c r="AH181" s="100"/>
      <c r="AI181" s="100"/>
      <c r="AJ181" s="100"/>
      <c r="AK181" s="100"/>
      <c r="AM181" s="100"/>
      <c r="AO181" s="100"/>
    </row>
    <row r="182" spans="1:41" s="27" customFormat="1" x14ac:dyDescent="0.2">
      <c r="A182" s="38"/>
      <c r="B182" s="37"/>
      <c r="C182" s="36">
        <f t="shared" si="18"/>
        <v>0</v>
      </c>
      <c r="D182" s="20"/>
      <c r="E182" s="36">
        <f t="shared" si="17"/>
        <v>0</v>
      </c>
      <c r="R182" s="100"/>
      <c r="S182" s="100"/>
      <c r="AE182" s="100"/>
      <c r="AF182" s="100"/>
      <c r="AG182" s="100"/>
      <c r="AH182" s="100"/>
      <c r="AI182" s="100"/>
      <c r="AJ182" s="100"/>
      <c r="AK182" s="100"/>
      <c r="AM182" s="100"/>
      <c r="AO182" s="100"/>
    </row>
    <row r="183" spans="1:41" s="27" customFormat="1" x14ac:dyDescent="0.2">
      <c r="A183" s="38"/>
      <c r="B183" s="37"/>
      <c r="C183" s="36">
        <f t="shared" si="18"/>
        <v>0</v>
      </c>
      <c r="D183" s="20"/>
      <c r="E183" s="36">
        <f t="shared" si="17"/>
        <v>0</v>
      </c>
      <c r="R183" s="100"/>
      <c r="S183" s="100"/>
      <c r="AE183" s="100"/>
      <c r="AF183" s="100"/>
      <c r="AG183" s="100"/>
      <c r="AH183" s="100"/>
      <c r="AI183" s="100"/>
      <c r="AJ183" s="100"/>
      <c r="AK183" s="100"/>
      <c r="AM183" s="100"/>
      <c r="AO183" s="100"/>
    </row>
    <row r="184" spans="1:41" s="27" customFormat="1" x14ac:dyDescent="0.2">
      <c r="A184" s="38"/>
      <c r="B184" s="37"/>
      <c r="C184" s="36">
        <f t="shared" si="18"/>
        <v>0</v>
      </c>
      <c r="D184" s="20"/>
      <c r="E184" s="36">
        <f t="shared" si="17"/>
        <v>0</v>
      </c>
      <c r="R184" s="100"/>
      <c r="S184" s="100"/>
      <c r="AE184" s="100"/>
      <c r="AF184" s="100"/>
      <c r="AG184" s="100"/>
      <c r="AH184" s="100"/>
      <c r="AI184" s="100"/>
      <c r="AJ184" s="100"/>
      <c r="AK184" s="100"/>
      <c r="AM184" s="100"/>
      <c r="AO184" s="100"/>
    </row>
    <row r="185" spans="1:41" s="27" customFormat="1" x14ac:dyDescent="0.2">
      <c r="A185" s="38"/>
      <c r="B185" s="37"/>
      <c r="C185" s="36">
        <f t="shared" si="18"/>
        <v>0</v>
      </c>
      <c r="D185" s="20"/>
      <c r="E185" s="36">
        <f t="shared" si="17"/>
        <v>0</v>
      </c>
      <c r="R185" s="100"/>
      <c r="S185" s="100"/>
      <c r="AE185" s="100"/>
      <c r="AF185" s="100"/>
      <c r="AG185" s="100"/>
      <c r="AH185" s="100"/>
      <c r="AI185" s="100"/>
      <c r="AJ185" s="100"/>
      <c r="AK185" s="100"/>
      <c r="AM185" s="100"/>
      <c r="AO185" s="100"/>
    </row>
    <row r="186" spans="1:41" s="27" customFormat="1" x14ac:dyDescent="0.2">
      <c r="A186" s="38"/>
      <c r="B186" s="37"/>
      <c r="C186" s="36">
        <f t="shared" si="18"/>
        <v>0</v>
      </c>
      <c r="D186" s="20"/>
      <c r="E186" s="36">
        <f t="shared" si="17"/>
        <v>0</v>
      </c>
      <c r="R186" s="100"/>
      <c r="S186" s="100"/>
      <c r="AE186" s="100"/>
      <c r="AF186" s="100"/>
      <c r="AG186" s="100"/>
      <c r="AH186" s="100"/>
      <c r="AI186" s="100"/>
      <c r="AJ186" s="100"/>
      <c r="AK186" s="100"/>
      <c r="AM186" s="100"/>
      <c r="AO186" s="100"/>
    </row>
    <row r="187" spans="1:41" s="27" customFormat="1" x14ac:dyDescent="0.2">
      <c r="A187" s="38"/>
      <c r="B187" s="37"/>
      <c r="C187" s="36">
        <f t="shared" si="18"/>
        <v>0</v>
      </c>
      <c r="D187" s="20"/>
      <c r="E187" s="36">
        <f t="shared" si="17"/>
        <v>0</v>
      </c>
      <c r="R187" s="100"/>
      <c r="S187" s="100"/>
      <c r="AE187" s="100"/>
      <c r="AF187" s="100"/>
      <c r="AG187" s="100"/>
      <c r="AH187" s="100"/>
      <c r="AI187" s="100"/>
      <c r="AJ187" s="100"/>
      <c r="AK187" s="100"/>
      <c r="AM187" s="100"/>
      <c r="AO187" s="100"/>
    </row>
    <row r="188" spans="1:41" s="27" customFormat="1" x14ac:dyDescent="0.2">
      <c r="A188" s="38"/>
      <c r="B188" s="37"/>
      <c r="C188" s="36">
        <f t="shared" si="18"/>
        <v>0</v>
      </c>
      <c r="D188" s="20"/>
      <c r="E188" s="36">
        <f t="shared" si="17"/>
        <v>0</v>
      </c>
      <c r="R188" s="100"/>
      <c r="S188" s="100"/>
      <c r="AE188" s="100"/>
      <c r="AF188" s="100"/>
      <c r="AG188" s="100"/>
      <c r="AH188" s="100"/>
      <c r="AI188" s="100"/>
      <c r="AJ188" s="100"/>
      <c r="AK188" s="100"/>
      <c r="AM188" s="100"/>
      <c r="AO188" s="100"/>
    </row>
    <row r="189" spans="1:41" s="27" customFormat="1" x14ac:dyDescent="0.2">
      <c r="A189" s="38"/>
      <c r="B189" s="37"/>
      <c r="C189" s="36">
        <f t="shared" si="18"/>
        <v>0</v>
      </c>
      <c r="D189" s="20"/>
      <c r="E189" s="36">
        <f t="shared" si="17"/>
        <v>0</v>
      </c>
      <c r="R189" s="100"/>
      <c r="S189" s="100"/>
      <c r="AE189" s="100"/>
      <c r="AF189" s="100"/>
      <c r="AG189" s="100"/>
      <c r="AH189" s="100"/>
      <c r="AI189" s="100"/>
      <c r="AJ189" s="100"/>
      <c r="AK189" s="100"/>
      <c r="AM189" s="100"/>
      <c r="AO189" s="100"/>
    </row>
    <row r="190" spans="1:41" s="27" customFormat="1" x14ac:dyDescent="0.2">
      <c r="A190" s="38"/>
      <c r="B190" s="37"/>
      <c r="C190" s="36">
        <f t="shared" si="18"/>
        <v>0</v>
      </c>
      <c r="D190" s="20"/>
      <c r="E190" s="36">
        <f t="shared" si="17"/>
        <v>0</v>
      </c>
      <c r="R190" s="100"/>
      <c r="S190" s="100"/>
      <c r="AE190" s="100"/>
      <c r="AF190" s="100"/>
      <c r="AG190" s="100"/>
      <c r="AH190" s="100"/>
      <c r="AI190" s="100"/>
      <c r="AJ190" s="100"/>
      <c r="AK190" s="100"/>
      <c r="AM190" s="100"/>
      <c r="AO190" s="100"/>
    </row>
    <row r="191" spans="1:41" s="27" customFormat="1" x14ac:dyDescent="0.2">
      <c r="A191" s="38"/>
      <c r="B191" s="37"/>
      <c r="C191" s="36">
        <f t="shared" si="18"/>
        <v>0</v>
      </c>
      <c r="D191" s="20"/>
      <c r="E191" s="36">
        <f t="shared" si="17"/>
        <v>0</v>
      </c>
      <c r="R191" s="100"/>
      <c r="S191" s="100"/>
      <c r="AE191" s="100"/>
      <c r="AF191" s="100"/>
      <c r="AG191" s="100"/>
      <c r="AH191" s="100"/>
      <c r="AI191" s="100"/>
      <c r="AJ191" s="100"/>
      <c r="AK191" s="100"/>
      <c r="AM191" s="100"/>
      <c r="AO191" s="100"/>
    </row>
    <row r="192" spans="1:41" s="27" customFormat="1" x14ac:dyDescent="0.2">
      <c r="A192" s="38"/>
      <c r="B192" s="37"/>
      <c r="C192" s="36">
        <f t="shared" si="18"/>
        <v>0</v>
      </c>
      <c r="D192" s="20"/>
      <c r="E192" s="36">
        <f t="shared" si="17"/>
        <v>0</v>
      </c>
      <c r="R192" s="100"/>
      <c r="S192" s="100"/>
      <c r="AE192" s="100"/>
      <c r="AF192" s="100"/>
      <c r="AG192" s="100"/>
      <c r="AH192" s="100"/>
      <c r="AI192" s="100"/>
      <c r="AJ192" s="100"/>
      <c r="AK192" s="100"/>
      <c r="AM192" s="100"/>
      <c r="AO192" s="100"/>
    </row>
    <row r="193" spans="1:41" s="27" customFormat="1" x14ac:dyDescent="0.2">
      <c r="A193" s="38"/>
      <c r="B193" s="37"/>
      <c r="C193" s="36">
        <f t="shared" si="18"/>
        <v>0</v>
      </c>
      <c r="D193" s="20"/>
      <c r="E193" s="36">
        <f t="shared" si="17"/>
        <v>0</v>
      </c>
      <c r="R193" s="100"/>
      <c r="S193" s="100"/>
      <c r="AE193" s="100"/>
      <c r="AF193" s="100"/>
      <c r="AG193" s="100"/>
      <c r="AH193" s="100"/>
      <c r="AI193" s="100"/>
      <c r="AJ193" s="100"/>
      <c r="AK193" s="100"/>
      <c r="AM193" s="100"/>
      <c r="AO193" s="100"/>
    </row>
    <row r="194" spans="1:41" s="27" customFormat="1" x14ac:dyDescent="0.2">
      <c r="A194" s="38"/>
      <c r="B194" s="37"/>
      <c r="C194" s="36">
        <f t="shared" si="18"/>
        <v>0</v>
      </c>
      <c r="D194" s="20"/>
      <c r="E194" s="36">
        <f t="shared" si="17"/>
        <v>0</v>
      </c>
      <c r="R194" s="100"/>
      <c r="S194" s="100"/>
      <c r="AE194" s="100"/>
      <c r="AF194" s="100"/>
      <c r="AG194" s="100"/>
      <c r="AH194" s="100"/>
      <c r="AI194" s="100"/>
      <c r="AJ194" s="100"/>
      <c r="AK194" s="100"/>
      <c r="AM194" s="100"/>
      <c r="AO194" s="100"/>
    </row>
    <row r="195" spans="1:41" s="27" customFormat="1" x14ac:dyDescent="0.2">
      <c r="A195" s="38"/>
      <c r="B195" s="37"/>
      <c r="C195" s="36">
        <f t="shared" si="18"/>
        <v>0</v>
      </c>
      <c r="D195" s="20"/>
      <c r="E195" s="36">
        <f t="shared" si="17"/>
        <v>0</v>
      </c>
      <c r="R195" s="100"/>
      <c r="S195" s="100"/>
      <c r="AE195" s="100"/>
      <c r="AF195" s="100"/>
      <c r="AG195" s="100"/>
      <c r="AH195" s="100"/>
      <c r="AI195" s="100"/>
      <c r="AJ195" s="100"/>
      <c r="AK195" s="100"/>
      <c r="AM195" s="100"/>
      <c r="AO195" s="100"/>
    </row>
    <row r="196" spans="1:41" s="27" customFormat="1" x14ac:dyDescent="0.2">
      <c r="A196" s="38"/>
      <c r="B196" s="37"/>
      <c r="C196" s="36">
        <f t="shared" si="18"/>
        <v>0</v>
      </c>
      <c r="D196" s="20"/>
      <c r="E196" s="36">
        <f t="shared" si="17"/>
        <v>0</v>
      </c>
      <c r="R196" s="100"/>
      <c r="S196" s="100"/>
      <c r="AE196" s="100"/>
      <c r="AF196" s="100"/>
      <c r="AG196" s="100"/>
      <c r="AH196" s="100"/>
      <c r="AI196" s="100"/>
      <c r="AJ196" s="100"/>
      <c r="AK196" s="100"/>
      <c r="AM196" s="100"/>
      <c r="AO196" s="100"/>
    </row>
    <row r="197" spans="1:41" s="27" customFormat="1" x14ac:dyDescent="0.2">
      <c r="A197" s="38"/>
      <c r="B197" s="37"/>
      <c r="C197" s="36">
        <f t="shared" si="18"/>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8"/>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8"/>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8"/>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8"/>
        <v>0</v>
      </c>
      <c r="D201" s="20"/>
      <c r="E201" s="36">
        <f t="shared" si="17"/>
        <v>0</v>
      </c>
      <c r="R201" s="100"/>
      <c r="S201" s="100"/>
      <c r="AE201" s="100"/>
      <c r="AF201" s="100"/>
      <c r="AG201" s="100"/>
      <c r="AH201" s="100"/>
      <c r="AI201" s="100"/>
      <c r="AJ201" s="100"/>
      <c r="AK201" s="100"/>
      <c r="AM201" s="102"/>
      <c r="AO201" s="100"/>
    </row>
    <row r="202" spans="1:41" s="29" customFormat="1" x14ac:dyDescent="0.2">
      <c r="A202" s="34"/>
      <c r="B202" s="33"/>
      <c r="C202" s="32"/>
      <c r="D202" s="31"/>
      <c r="E202" s="30"/>
      <c r="R202" s="100"/>
      <c r="S202" s="100"/>
      <c r="AE202" s="100"/>
      <c r="AF202" s="100"/>
      <c r="AG202" s="100"/>
      <c r="AH202" s="100"/>
      <c r="AI202" s="100"/>
      <c r="AJ202" s="100"/>
      <c r="AK202" s="100"/>
      <c r="AM202" s="95"/>
      <c r="AO202" s="100"/>
    </row>
    <row r="203" spans="1:41" s="26" customFormat="1" x14ac:dyDescent="0.2">
      <c r="A203" s="25"/>
      <c r="B203" s="24"/>
      <c r="C203" s="23"/>
      <c r="D203" s="22"/>
      <c r="E203" s="21"/>
      <c r="R203" s="100"/>
      <c r="S203" s="100"/>
      <c r="AE203" s="100"/>
      <c r="AF203" s="100"/>
      <c r="AG203" s="100"/>
      <c r="AH203" s="100"/>
      <c r="AI203" s="100"/>
      <c r="AJ203" s="100"/>
      <c r="AK203" s="100"/>
      <c r="AM203" s="95"/>
      <c r="AO203" s="100"/>
    </row>
    <row r="204" spans="1:41" x14ac:dyDescent="0.2">
      <c r="A204" s="25"/>
      <c r="B204" s="24"/>
      <c r="C204" s="23"/>
      <c r="D204" s="22"/>
      <c r="E204" s="21"/>
      <c r="R204" s="100"/>
      <c r="S204" s="100"/>
      <c r="AE204" s="100"/>
      <c r="AF204" s="100"/>
      <c r="AG204" s="100"/>
      <c r="AH204" s="102"/>
      <c r="AI204" s="102"/>
      <c r="AJ204" s="102"/>
      <c r="AK204" s="102"/>
      <c r="AO204" s="102"/>
    </row>
    <row r="205" spans="1:41" x14ac:dyDescent="0.2">
      <c r="R205" s="100"/>
      <c r="S205" s="100"/>
      <c r="AE205" s="102"/>
      <c r="AF205" s="100"/>
      <c r="AG205" s="100"/>
    </row>
    <row r="206" spans="1:41" x14ac:dyDescent="0.2">
      <c r="R206" s="102"/>
      <c r="S206" s="102"/>
      <c r="AF206" s="102"/>
      <c r="AG206" s="100"/>
    </row>
    <row r="207" spans="1:41" x14ac:dyDescent="0.2">
      <c r="AG207" s="100"/>
    </row>
    <row r="208" spans="1:41" x14ac:dyDescent="0.2">
      <c r="AG208" s="100"/>
    </row>
    <row r="209" spans="33:33" x14ac:dyDescent="0.2">
      <c r="AG209" s="100"/>
    </row>
    <row r="210" spans="33:33" x14ac:dyDescent="0.2">
      <c r="AG210" s="102"/>
    </row>
  </sheetData>
  <mergeCells count="192">
    <mergeCell ref="E1:F1"/>
    <mergeCell ref="A2:A6"/>
    <mergeCell ref="B2:C2"/>
    <mergeCell ref="D2:D4"/>
    <mergeCell ref="E2:F2"/>
    <mergeCell ref="B3:C3"/>
    <mergeCell ref="E3:F3"/>
    <mergeCell ref="B4:C4"/>
    <mergeCell ref="E4:F4"/>
    <mergeCell ref="B5:C5"/>
    <mergeCell ref="G7:G8"/>
    <mergeCell ref="H7:H8"/>
    <mergeCell ref="I7:I8"/>
    <mergeCell ref="J7:J8"/>
    <mergeCell ref="K7:K8"/>
    <mergeCell ref="L7:L8"/>
    <mergeCell ref="E5:F5"/>
    <mergeCell ref="B6:B8"/>
    <mergeCell ref="C6:C7"/>
    <mergeCell ref="D6:D7"/>
    <mergeCell ref="E6:E7"/>
    <mergeCell ref="F6:F8"/>
    <mergeCell ref="S7:S8"/>
    <mergeCell ref="T7:T8"/>
    <mergeCell ref="U7:U8"/>
    <mergeCell ref="V7:V8"/>
    <mergeCell ref="W7:W8"/>
    <mergeCell ref="X7:X8"/>
    <mergeCell ref="M7:M8"/>
    <mergeCell ref="N7:N8"/>
    <mergeCell ref="O7:O8"/>
    <mergeCell ref="P7:P8"/>
    <mergeCell ref="Q7:Q8"/>
    <mergeCell ref="R7:R8"/>
    <mergeCell ref="AE7:AE8"/>
    <mergeCell ref="AF7:AF8"/>
    <mergeCell ref="AG7:AG8"/>
    <mergeCell ref="AH7:AH8"/>
    <mergeCell ref="AI7:AI8"/>
    <mergeCell ref="AJ7:AJ8"/>
    <mergeCell ref="Y7:Y8"/>
    <mergeCell ref="Z7:Z8"/>
    <mergeCell ref="AA7:AA8"/>
    <mergeCell ref="AB7:AB8"/>
    <mergeCell ref="AC7:AC8"/>
    <mergeCell ref="AD7:AD8"/>
    <mergeCell ref="AQ7:AQ8"/>
    <mergeCell ref="AR7:AR8"/>
    <mergeCell ref="AS7:AS8"/>
    <mergeCell ref="AT7:AT8"/>
    <mergeCell ref="AU7:AU8"/>
    <mergeCell ref="AV7:AV8"/>
    <mergeCell ref="AK7:AK8"/>
    <mergeCell ref="AL7:AL8"/>
    <mergeCell ref="AM7:AM8"/>
    <mergeCell ref="AN7:AN8"/>
    <mergeCell ref="AO7:AO8"/>
    <mergeCell ref="AP7:AP8"/>
    <mergeCell ref="BC7:BC8"/>
    <mergeCell ref="BD7:BD8"/>
    <mergeCell ref="BE7:BE8"/>
    <mergeCell ref="BF7:BF8"/>
    <mergeCell ref="BG7:BG8"/>
    <mergeCell ref="BH7:BH8"/>
    <mergeCell ref="AW7:AW8"/>
    <mergeCell ref="AX7:AX8"/>
    <mergeCell ref="AY7:AY8"/>
    <mergeCell ref="AZ7:AZ8"/>
    <mergeCell ref="BA7:BA8"/>
    <mergeCell ref="BB7:BB8"/>
    <mergeCell ref="BO7:BO8"/>
    <mergeCell ref="BP7:BP8"/>
    <mergeCell ref="BQ7:BQ8"/>
    <mergeCell ref="BR7:BR8"/>
    <mergeCell ref="BS7:BS8"/>
    <mergeCell ref="BT7:BT8"/>
    <mergeCell ref="BI7:BI8"/>
    <mergeCell ref="BJ7:BJ8"/>
    <mergeCell ref="BK7:BK8"/>
    <mergeCell ref="BL7:BL8"/>
    <mergeCell ref="BM7:BM8"/>
    <mergeCell ref="BN7:BN8"/>
    <mergeCell ref="CA7:CA8"/>
    <mergeCell ref="CB7:CB8"/>
    <mergeCell ref="CC7:CC8"/>
    <mergeCell ref="CD7:CD8"/>
    <mergeCell ref="CE7:CE8"/>
    <mergeCell ref="CF7:CF8"/>
    <mergeCell ref="BU7:BU8"/>
    <mergeCell ref="BV7:BV8"/>
    <mergeCell ref="BW7:BW8"/>
    <mergeCell ref="BX7:BX8"/>
    <mergeCell ref="BY7:BY8"/>
    <mergeCell ref="BZ7:BZ8"/>
    <mergeCell ref="CM7:CM8"/>
    <mergeCell ref="CN7:CN8"/>
    <mergeCell ref="CO7:CO8"/>
    <mergeCell ref="CP7:CP8"/>
    <mergeCell ref="CQ7:CQ8"/>
    <mergeCell ref="CR7:CR8"/>
    <mergeCell ref="CG7:CG8"/>
    <mergeCell ref="CH7:CH8"/>
    <mergeCell ref="CI7:CI8"/>
    <mergeCell ref="CJ7:CJ8"/>
    <mergeCell ref="CK7:CK8"/>
    <mergeCell ref="CL7:CL8"/>
    <mergeCell ref="CY7:CY8"/>
    <mergeCell ref="CZ7:CZ8"/>
    <mergeCell ref="DA7:DA8"/>
    <mergeCell ref="DB7:DB8"/>
    <mergeCell ref="DC7:DC8"/>
    <mergeCell ref="DD7:DD8"/>
    <mergeCell ref="CS7:CS8"/>
    <mergeCell ref="CT7:CT8"/>
    <mergeCell ref="CU7:CU8"/>
    <mergeCell ref="CV7:CV8"/>
    <mergeCell ref="CW7:CW8"/>
    <mergeCell ref="CX7:CX8"/>
    <mergeCell ref="DK7:DK8"/>
    <mergeCell ref="DL7:DL8"/>
    <mergeCell ref="DM7:DM8"/>
    <mergeCell ref="DN7:DN8"/>
    <mergeCell ref="DO7:DO8"/>
    <mergeCell ref="DP7:DP8"/>
    <mergeCell ref="DE7:DE8"/>
    <mergeCell ref="DF7:DF8"/>
    <mergeCell ref="DG7:DG8"/>
    <mergeCell ref="DH7:DH8"/>
    <mergeCell ref="DI7:DI8"/>
    <mergeCell ref="DJ7:DJ8"/>
    <mergeCell ref="DW7:DW8"/>
    <mergeCell ref="DX7:DX8"/>
    <mergeCell ref="DY7:DY8"/>
    <mergeCell ref="DZ7:DZ8"/>
    <mergeCell ref="EA7:EA8"/>
    <mergeCell ref="EB7:EB8"/>
    <mergeCell ref="DQ7:DQ8"/>
    <mergeCell ref="DR7:DR8"/>
    <mergeCell ref="DS7:DS8"/>
    <mergeCell ref="DT7:DT8"/>
    <mergeCell ref="DU7:DU8"/>
    <mergeCell ref="DV7:DV8"/>
    <mergeCell ref="EI7:EI8"/>
    <mergeCell ref="EJ7:EJ8"/>
    <mergeCell ref="EK7:EK8"/>
    <mergeCell ref="EL7:EL8"/>
    <mergeCell ref="EM7:EM8"/>
    <mergeCell ref="EN7:EN8"/>
    <mergeCell ref="EC7:EC8"/>
    <mergeCell ref="ED7:ED8"/>
    <mergeCell ref="EE7:EE8"/>
    <mergeCell ref="EF7:EF8"/>
    <mergeCell ref="EG7:EG8"/>
    <mergeCell ref="EH7:EH8"/>
    <mergeCell ref="EU7:EU8"/>
    <mergeCell ref="EV7:EV8"/>
    <mergeCell ref="EW7:EW8"/>
    <mergeCell ref="EX7:EX8"/>
    <mergeCell ref="EY7:EY8"/>
    <mergeCell ref="EZ7:EZ8"/>
    <mergeCell ref="EO7:EO8"/>
    <mergeCell ref="EP7:EP8"/>
    <mergeCell ref="EQ7:EQ8"/>
    <mergeCell ref="ER7:ER8"/>
    <mergeCell ref="ES7:ES8"/>
    <mergeCell ref="ET7:ET8"/>
    <mergeCell ref="FG7:FG8"/>
    <mergeCell ref="FH7:FH8"/>
    <mergeCell ref="FI7:FI8"/>
    <mergeCell ref="FJ7:FJ8"/>
    <mergeCell ref="FK7:FK8"/>
    <mergeCell ref="FL7:FL8"/>
    <mergeCell ref="FA7:FA8"/>
    <mergeCell ref="FB7:FB8"/>
    <mergeCell ref="FC7:FC8"/>
    <mergeCell ref="FD7:FD8"/>
    <mergeCell ref="FE7:FE8"/>
    <mergeCell ref="FF7:FF8"/>
    <mergeCell ref="FY7:FY8"/>
    <mergeCell ref="FZ7:FZ8"/>
    <mergeCell ref="FS7:FS8"/>
    <mergeCell ref="FT7:FT8"/>
    <mergeCell ref="FU7:FU8"/>
    <mergeCell ref="FV7:FV8"/>
    <mergeCell ref="FW7:FW8"/>
    <mergeCell ref="FX7:FX8"/>
    <mergeCell ref="FM7:FM8"/>
    <mergeCell ref="FN7:FN8"/>
    <mergeCell ref="FO7:FO8"/>
    <mergeCell ref="FP7:FP8"/>
    <mergeCell ref="FQ7:FQ8"/>
    <mergeCell ref="FR7:FR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A030-C391-4F1E-8C76-C0F72B0A0356}">
  <dimension ref="A1:GE212"/>
  <sheetViews>
    <sheetView zoomScaleNormal="120" workbookViewId="0">
      <pane xSplit="6" topLeftCell="G1" activePane="topRight" state="frozen"/>
      <selection pane="topRight" activeCell="K124" sqref="K124"/>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64</v>
      </c>
      <c r="K1" s="116" t="s">
        <v>107</v>
      </c>
      <c r="L1" s="116" t="s">
        <v>107</v>
      </c>
      <c r="M1" s="116" t="s">
        <v>64</v>
      </c>
      <c r="N1" s="116" t="s">
        <v>64</v>
      </c>
      <c r="O1" s="116" t="s">
        <v>64</v>
      </c>
      <c r="P1" s="116" t="s">
        <v>64</v>
      </c>
      <c r="Q1" s="116" t="s">
        <v>107</v>
      </c>
      <c r="R1" s="116" t="s">
        <v>2866</v>
      </c>
      <c r="S1" s="116" t="s">
        <v>8623</v>
      </c>
      <c r="T1" s="116" t="s">
        <v>64</v>
      </c>
      <c r="U1" s="116" t="s">
        <v>64</v>
      </c>
      <c r="V1" s="116" t="s">
        <v>64</v>
      </c>
      <c r="W1" s="116" t="s">
        <v>64</v>
      </c>
      <c r="X1" s="116" t="s">
        <v>64</v>
      </c>
      <c r="Y1" s="116" t="s">
        <v>64</v>
      </c>
      <c r="Z1" s="116" t="s">
        <v>64</v>
      </c>
      <c r="AA1" s="116" t="s">
        <v>64</v>
      </c>
      <c r="AB1" s="116" t="s">
        <v>64</v>
      </c>
      <c r="AC1" s="116" t="s">
        <v>64</v>
      </c>
      <c r="AD1" s="116" t="s">
        <v>112</v>
      </c>
      <c r="AE1" s="116" t="s">
        <v>64</v>
      </c>
      <c r="AF1" s="116" t="s">
        <v>64</v>
      </c>
      <c r="AG1" s="116" t="s">
        <v>64</v>
      </c>
      <c r="AH1" s="116" t="s">
        <v>64</v>
      </c>
      <c r="AI1" s="116" t="s">
        <v>64</v>
      </c>
      <c r="AJ1" s="116" t="s">
        <v>64</v>
      </c>
      <c r="AK1" s="116" t="s">
        <v>112</v>
      </c>
      <c r="AL1" s="116" t="s">
        <v>112</v>
      </c>
      <c r="AM1" s="116" t="s">
        <v>112</v>
      </c>
      <c r="AN1" s="116" t="s">
        <v>112</v>
      </c>
      <c r="AO1" s="116" t="s">
        <v>112</v>
      </c>
      <c r="AP1" s="95" t="s">
        <v>64</v>
      </c>
      <c r="AQ1" s="95" t="s">
        <v>112</v>
      </c>
      <c r="AR1" s="95" t="s">
        <v>8623</v>
      </c>
      <c r="AS1" s="95" t="s">
        <v>64</v>
      </c>
      <c r="AT1" s="95" t="s">
        <v>64</v>
      </c>
      <c r="AU1" s="95" t="s">
        <v>64</v>
      </c>
      <c r="AV1" s="95" t="s">
        <v>64</v>
      </c>
      <c r="AW1" s="95" t="s">
        <v>112</v>
      </c>
      <c r="AX1" s="95" t="s">
        <v>8623</v>
      </c>
      <c r="AY1" s="95" t="s">
        <v>64</v>
      </c>
      <c r="AZ1" s="95" t="s">
        <v>64</v>
      </c>
      <c r="BA1" s="95" t="s">
        <v>64</v>
      </c>
      <c r="BB1" s="95" t="s">
        <v>64</v>
      </c>
      <c r="BC1" s="95" t="s">
        <v>8623</v>
      </c>
      <c r="BD1" s="95" t="s">
        <v>64</v>
      </c>
      <c r="BE1" s="95" t="s">
        <v>8623</v>
      </c>
      <c r="BF1" s="95" t="s">
        <v>107</v>
      </c>
      <c r="BG1" s="95" t="s">
        <v>8623</v>
      </c>
      <c r="BH1" s="95" t="s">
        <v>64</v>
      </c>
      <c r="BI1" s="95" t="s">
        <v>64</v>
      </c>
      <c r="BJ1" s="95" t="s">
        <v>64</v>
      </c>
      <c r="BK1" s="95" t="s">
        <v>64</v>
      </c>
      <c r="BL1" s="95" t="s">
        <v>64</v>
      </c>
      <c r="BM1" s="95" t="s">
        <v>64</v>
      </c>
      <c r="BN1" s="95" t="s">
        <v>64</v>
      </c>
      <c r="BO1" s="95" t="s">
        <v>112</v>
      </c>
      <c r="BP1" s="95" t="s">
        <v>64</v>
      </c>
      <c r="BQ1" s="95" t="s">
        <v>64</v>
      </c>
      <c r="BR1" s="95" t="s">
        <v>64</v>
      </c>
      <c r="BS1" s="95" t="s">
        <v>64</v>
      </c>
      <c r="BT1" s="95" t="s">
        <v>8623</v>
      </c>
      <c r="BU1" s="95" t="s">
        <v>64</v>
      </c>
      <c r="BV1" s="95" t="s">
        <v>64</v>
      </c>
      <c r="BW1" s="95" t="s">
        <v>64</v>
      </c>
      <c r="BX1" s="95" t="s">
        <v>112</v>
      </c>
      <c r="BY1" s="95" t="s">
        <v>64</v>
      </c>
      <c r="BZ1" s="95" t="s">
        <v>64</v>
      </c>
      <c r="CA1" s="95" t="s">
        <v>107</v>
      </c>
      <c r="CB1" s="95" t="s">
        <v>116</v>
      </c>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121</v>
      </c>
      <c r="B2" s="555" t="s">
        <v>21</v>
      </c>
      <c r="C2" s="556"/>
      <c r="D2" s="557" t="s">
        <v>2870</v>
      </c>
      <c r="E2" s="560" t="s">
        <v>22</v>
      </c>
      <c r="F2" s="561"/>
      <c r="G2" s="63"/>
      <c r="H2" s="118" t="s">
        <v>414</v>
      </c>
      <c r="I2" s="118" t="s">
        <v>407</v>
      </c>
      <c r="J2" s="118" t="s">
        <v>618</v>
      </c>
      <c r="K2" s="118" t="s">
        <v>627</v>
      </c>
      <c r="L2" s="118" t="s">
        <v>630</v>
      </c>
      <c r="M2" s="118" t="s">
        <v>691</v>
      </c>
      <c r="N2" s="118" t="s">
        <v>696</v>
      </c>
      <c r="O2" s="118" t="s">
        <v>700</v>
      </c>
      <c r="P2" s="118" t="s">
        <v>704</v>
      </c>
      <c r="Q2" s="118" t="s">
        <v>707</v>
      </c>
      <c r="R2" s="118" t="s">
        <v>713</v>
      </c>
      <c r="S2" s="118" t="s">
        <v>748</v>
      </c>
      <c r="T2" s="118" t="s">
        <v>784</v>
      </c>
      <c r="U2" s="118" t="s">
        <v>789</v>
      </c>
      <c r="V2" s="118" t="s">
        <v>793</v>
      </c>
      <c r="W2" s="118" t="s">
        <v>797</v>
      </c>
      <c r="X2" s="118" t="s">
        <v>802</v>
      </c>
      <c r="Y2" s="118" t="s">
        <v>807</v>
      </c>
      <c r="Z2" s="118" t="s">
        <v>813</v>
      </c>
      <c r="AA2" s="118" t="s">
        <v>822</v>
      </c>
      <c r="AB2" s="118" t="s">
        <v>880</v>
      </c>
      <c r="AC2" s="118" t="s">
        <v>886</v>
      </c>
      <c r="AD2" s="118" t="s">
        <v>898</v>
      </c>
      <c r="AE2" s="118" t="s">
        <v>925</v>
      </c>
      <c r="AF2" s="118" t="s">
        <v>930</v>
      </c>
      <c r="AG2" s="118" t="s">
        <v>943</v>
      </c>
      <c r="AH2" s="118" t="s">
        <v>969</v>
      </c>
      <c r="AI2" s="118" t="s">
        <v>995</v>
      </c>
      <c r="AJ2" s="118" t="s">
        <v>1064</v>
      </c>
      <c r="AK2" s="118" t="s">
        <v>1127</v>
      </c>
      <c r="AL2" s="118" t="s">
        <v>1133</v>
      </c>
      <c r="AM2" s="118" t="s">
        <v>1137</v>
      </c>
      <c r="AN2" s="118" t="s">
        <v>1144</v>
      </c>
      <c r="AO2" s="118" t="s">
        <v>1146</v>
      </c>
      <c r="AP2" s="96" t="s">
        <v>1154</v>
      </c>
      <c r="AQ2" s="96" t="s">
        <v>1157</v>
      </c>
      <c r="AR2" s="96" t="s">
        <v>1164</v>
      </c>
      <c r="AS2" s="96" t="s">
        <v>1192</v>
      </c>
      <c r="AT2" s="96" t="s">
        <v>1197</v>
      </c>
      <c r="AU2" s="96" t="s">
        <v>1253</v>
      </c>
      <c r="AV2" s="96" t="s">
        <v>1258</v>
      </c>
      <c r="AW2" s="96" t="s">
        <v>1270</v>
      </c>
      <c r="AX2" s="96" t="s">
        <v>1361</v>
      </c>
      <c r="AY2" s="96" t="s">
        <v>1372</v>
      </c>
      <c r="AZ2" s="96" t="s">
        <v>1409</v>
      </c>
      <c r="BA2" s="96" t="s">
        <v>1420</v>
      </c>
      <c r="BB2" s="96" t="s">
        <v>1423</v>
      </c>
      <c r="BC2" s="96" t="s">
        <v>1426</v>
      </c>
      <c r="BD2" s="96" t="s">
        <v>1450</v>
      </c>
      <c r="BE2" s="96" t="s">
        <v>1471</v>
      </c>
      <c r="BF2" s="96" t="s">
        <v>1477</v>
      </c>
      <c r="BG2" s="96" t="s">
        <v>1482</v>
      </c>
      <c r="BH2" s="96" t="s">
        <v>1582</v>
      </c>
      <c r="BI2" s="96" t="s">
        <v>1592</v>
      </c>
      <c r="BJ2" s="96" t="s">
        <v>1595</v>
      </c>
      <c r="BK2" s="96" t="s">
        <v>1599</v>
      </c>
      <c r="BL2" s="96" t="s">
        <v>1612</v>
      </c>
      <c r="BM2" s="96" t="s">
        <v>1695</v>
      </c>
      <c r="BN2" s="96" t="s">
        <v>1757</v>
      </c>
      <c r="BO2" s="96" t="s">
        <v>1824</v>
      </c>
      <c r="BP2" s="96" t="s">
        <v>2068</v>
      </c>
      <c r="BQ2" s="96" t="s">
        <v>2082</v>
      </c>
      <c r="BR2" s="96" t="s">
        <v>2077</v>
      </c>
      <c r="BS2" s="96" t="s">
        <v>2085</v>
      </c>
      <c r="BT2" s="96" t="s">
        <v>2195</v>
      </c>
      <c r="BU2" s="96" t="s">
        <v>2269</v>
      </c>
      <c r="BV2" s="96" t="s">
        <v>2295</v>
      </c>
      <c r="BW2" s="96" t="s">
        <v>2300</v>
      </c>
      <c r="BX2" s="96" t="s">
        <v>2417</v>
      </c>
      <c r="BY2" s="96" t="s">
        <v>2437</v>
      </c>
      <c r="BZ2" s="96" t="s">
        <v>2491</v>
      </c>
      <c r="CA2" s="96" t="s">
        <v>596</v>
      </c>
      <c r="CB2" s="96" t="s">
        <v>414</v>
      </c>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409</v>
      </c>
      <c r="J3" s="6" t="s">
        <v>620</v>
      </c>
      <c r="K3" s="6" t="s">
        <v>628</v>
      </c>
      <c r="L3" s="6" t="s">
        <v>631</v>
      </c>
      <c r="M3" s="6" t="s">
        <v>692</v>
      </c>
      <c r="N3" s="6" t="s">
        <v>697</v>
      </c>
      <c r="O3" s="6" t="s">
        <v>701</v>
      </c>
      <c r="P3" s="6" t="s">
        <v>705</v>
      </c>
      <c r="Q3" s="6" t="s">
        <v>708</v>
      </c>
      <c r="R3" s="6" t="s">
        <v>715</v>
      </c>
      <c r="S3" s="6" t="s">
        <v>749</v>
      </c>
      <c r="T3" s="6" t="s">
        <v>785</v>
      </c>
      <c r="U3" s="6" t="s">
        <v>790</v>
      </c>
      <c r="V3" s="6" t="s">
        <v>794</v>
      </c>
      <c r="W3" s="6" t="s">
        <v>798</v>
      </c>
      <c r="X3" s="6" t="s">
        <v>803</v>
      </c>
      <c r="Y3" s="6" t="s">
        <v>808</v>
      </c>
      <c r="Z3" s="6" t="s">
        <v>814</v>
      </c>
      <c r="AA3" s="6" t="s">
        <v>823</v>
      </c>
      <c r="AB3" s="118" t="s">
        <v>881</v>
      </c>
      <c r="AC3" s="118" t="s">
        <v>887</v>
      </c>
      <c r="AD3" s="6" t="s">
        <v>900</v>
      </c>
      <c r="AE3" s="6" t="s">
        <v>926</v>
      </c>
      <c r="AF3" s="6" t="s">
        <v>931</v>
      </c>
      <c r="AG3" s="6" t="s">
        <v>944</v>
      </c>
      <c r="AH3" s="6" t="s">
        <v>970</v>
      </c>
      <c r="AI3" s="6" t="s">
        <v>996</v>
      </c>
      <c r="AJ3" s="6" t="s">
        <v>1065</v>
      </c>
      <c r="AK3" s="6" t="s">
        <v>1129</v>
      </c>
      <c r="AL3" s="118" t="s">
        <v>1135</v>
      </c>
      <c r="AM3" s="5" t="s">
        <v>1138</v>
      </c>
      <c r="AN3" s="118" t="s">
        <v>1145</v>
      </c>
      <c r="AO3" s="118" t="s">
        <v>1147</v>
      </c>
      <c r="AP3" s="107" t="s">
        <v>1155</v>
      </c>
      <c r="AQ3" s="107" t="s">
        <v>1158</v>
      </c>
      <c r="AR3" s="108" t="s">
        <v>1165</v>
      </c>
      <c r="AS3" s="107" t="s">
        <v>1194</v>
      </c>
      <c r="AT3" s="107" t="s">
        <v>1198</v>
      </c>
      <c r="AU3" s="96" t="s">
        <v>1254</v>
      </c>
      <c r="AV3" s="96" t="s">
        <v>1259</v>
      </c>
      <c r="AW3" s="96" t="s">
        <v>1271</v>
      </c>
      <c r="AX3" s="96" t="s">
        <v>1363</v>
      </c>
      <c r="AY3" s="96" t="s">
        <v>1373</v>
      </c>
      <c r="AZ3" s="96" t="s">
        <v>1410</v>
      </c>
      <c r="BA3" s="96" t="s">
        <v>1421</v>
      </c>
      <c r="BB3" s="96" t="s">
        <v>1424</v>
      </c>
      <c r="BC3" s="96" t="s">
        <v>1427</v>
      </c>
      <c r="BD3" s="96" t="s">
        <v>1451</v>
      </c>
      <c r="BE3" s="96" t="s">
        <v>1472</v>
      </c>
      <c r="BF3" s="96" t="s">
        <v>1479</v>
      </c>
      <c r="BG3" s="96" t="s">
        <v>1483</v>
      </c>
      <c r="BH3" s="96" t="s">
        <v>1583</v>
      </c>
      <c r="BI3" s="96" t="s">
        <v>1593</v>
      </c>
      <c r="BJ3" s="96" t="s">
        <v>1596</v>
      </c>
      <c r="BK3" s="96" t="s">
        <v>1600</v>
      </c>
      <c r="BL3" s="96" t="s">
        <v>1613</v>
      </c>
      <c r="BM3" s="96" t="s">
        <v>1696</v>
      </c>
      <c r="BN3" s="96" t="s">
        <v>1758</v>
      </c>
      <c r="BO3" s="96" t="s">
        <v>1825</v>
      </c>
      <c r="BP3" s="96" t="s">
        <v>2069</v>
      </c>
      <c r="BQ3" s="96" t="s">
        <v>2083</v>
      </c>
      <c r="BR3" s="96" t="s">
        <v>2079</v>
      </c>
      <c r="BS3" s="96" t="s">
        <v>2086</v>
      </c>
      <c r="BT3" s="96" t="s">
        <v>2197</v>
      </c>
      <c r="BU3" s="96" t="s">
        <v>2270</v>
      </c>
      <c r="BV3" s="96" t="s">
        <v>2296</v>
      </c>
      <c r="BW3" s="96" t="s">
        <v>2301</v>
      </c>
      <c r="BX3" s="96" t="s">
        <v>2418</v>
      </c>
      <c r="BY3" s="96" t="s">
        <v>2439</v>
      </c>
      <c r="BZ3" s="96" t="s">
        <v>2492</v>
      </c>
      <c r="CA3" s="96" t="s">
        <v>597</v>
      </c>
      <c r="CB3" s="96" t="s">
        <v>416</v>
      </c>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20">
        <v>30741</v>
      </c>
      <c r="AC4" s="120">
        <v>30770</v>
      </c>
      <c r="AD4" s="5">
        <v>31158</v>
      </c>
      <c r="AE4" s="5">
        <v>31418</v>
      </c>
      <c r="AF4" s="5">
        <v>31434</v>
      </c>
      <c r="AG4" s="5">
        <v>31723</v>
      </c>
      <c r="AH4" s="5">
        <v>32177</v>
      </c>
      <c r="AI4" s="5">
        <v>32405</v>
      </c>
      <c r="AJ4" s="5">
        <v>32847</v>
      </c>
      <c r="AK4" s="5">
        <v>32969</v>
      </c>
      <c r="AL4" s="120">
        <v>32975</v>
      </c>
      <c r="AM4" s="5">
        <v>32993</v>
      </c>
      <c r="AN4" s="120">
        <v>33025</v>
      </c>
      <c r="AO4" s="120">
        <v>33059</v>
      </c>
      <c r="AP4" s="108">
        <v>33114</v>
      </c>
      <c r="AQ4" s="108">
        <v>33114</v>
      </c>
      <c r="AR4" s="108">
        <v>33205</v>
      </c>
      <c r="AS4" s="108">
        <v>33693</v>
      </c>
      <c r="AT4" s="108">
        <v>33737</v>
      </c>
      <c r="AU4" s="97">
        <v>34542</v>
      </c>
      <c r="AV4" s="97">
        <v>34754</v>
      </c>
      <c r="AW4" s="97">
        <v>34950</v>
      </c>
      <c r="AX4" s="97">
        <v>36511</v>
      </c>
      <c r="AY4" s="97">
        <v>36647</v>
      </c>
      <c r="AZ4" s="97">
        <v>36922</v>
      </c>
      <c r="BA4" s="97">
        <v>36957</v>
      </c>
      <c r="BB4" s="97">
        <v>36963</v>
      </c>
      <c r="BC4" s="97">
        <v>37014</v>
      </c>
      <c r="BD4" s="97">
        <v>37586</v>
      </c>
      <c r="BE4" s="97">
        <v>37802</v>
      </c>
      <c r="BF4" s="97">
        <v>37848</v>
      </c>
      <c r="BG4" s="97">
        <v>37990</v>
      </c>
      <c r="BH4" s="97">
        <v>38260</v>
      </c>
      <c r="BI4" s="97">
        <v>38267</v>
      </c>
      <c r="BJ4" s="97">
        <v>38275</v>
      </c>
      <c r="BK4" s="97">
        <v>38286</v>
      </c>
      <c r="BL4" s="97">
        <v>38362</v>
      </c>
      <c r="BM4" s="97">
        <v>38516</v>
      </c>
      <c r="BN4" s="97">
        <v>38650</v>
      </c>
      <c r="BO4" s="97">
        <v>38699</v>
      </c>
      <c r="BP4" s="97">
        <v>40437</v>
      </c>
      <c r="BQ4" s="97">
        <v>40577</v>
      </c>
      <c r="BR4" s="97">
        <v>40577</v>
      </c>
      <c r="BS4" s="97">
        <v>40583</v>
      </c>
      <c r="BT4" s="97">
        <v>41290</v>
      </c>
      <c r="BU4" s="97">
        <v>41746</v>
      </c>
      <c r="BV4" s="97">
        <v>41851</v>
      </c>
      <c r="BW4" s="97">
        <v>41926</v>
      </c>
      <c r="BX4" s="97">
        <v>43363</v>
      </c>
      <c r="BY4" s="97">
        <v>43739</v>
      </c>
      <c r="BZ4" s="97">
        <v>44348</v>
      </c>
      <c r="CA4" s="97">
        <v>17950</v>
      </c>
      <c r="CB4" s="97">
        <v>2169</v>
      </c>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80</v>
      </c>
      <c r="E5" s="539" t="s">
        <v>27</v>
      </c>
      <c r="F5" s="540"/>
      <c r="G5" s="60"/>
      <c r="H5" s="118" t="s">
        <v>63</v>
      </c>
      <c r="I5" s="118" t="s">
        <v>63</v>
      </c>
      <c r="J5" s="118" t="s">
        <v>2847</v>
      </c>
      <c r="K5" s="118" t="s">
        <v>63</v>
      </c>
      <c r="L5" s="118" t="s">
        <v>63</v>
      </c>
      <c r="M5" s="118" t="s">
        <v>2851</v>
      </c>
      <c r="N5" s="118" t="s">
        <v>2852</v>
      </c>
      <c r="O5" s="118" t="s">
        <v>2853</v>
      </c>
      <c r="P5" s="118" t="s">
        <v>2853</v>
      </c>
      <c r="Q5" s="118" t="s">
        <v>63</v>
      </c>
      <c r="R5" s="118" t="s">
        <v>63</v>
      </c>
      <c r="S5" s="118" t="s">
        <v>63</v>
      </c>
      <c r="T5" s="118" t="s">
        <v>787</v>
      </c>
      <c r="U5" s="118" t="s">
        <v>2853</v>
      </c>
      <c r="V5" s="118" t="s">
        <v>2854</v>
      </c>
      <c r="W5" s="118" t="s">
        <v>800</v>
      </c>
      <c r="X5" s="118" t="s">
        <v>805</v>
      </c>
      <c r="Y5" s="118" t="s">
        <v>2852</v>
      </c>
      <c r="Z5" s="118" t="s">
        <v>815</v>
      </c>
      <c r="AA5" s="118" t="s">
        <v>8732</v>
      </c>
      <c r="AB5" s="118" t="s">
        <v>2867</v>
      </c>
      <c r="AC5" s="118" t="s">
        <v>2868</v>
      </c>
      <c r="AD5" s="118" t="s">
        <v>63</v>
      </c>
      <c r="AE5" s="118" t="s">
        <v>2855</v>
      </c>
      <c r="AF5" s="118" t="s">
        <v>63</v>
      </c>
      <c r="AG5" s="118" t="s">
        <v>2869</v>
      </c>
      <c r="AH5" s="118" t="s">
        <v>63</v>
      </c>
      <c r="AI5" s="118" t="s">
        <v>63</v>
      </c>
      <c r="AJ5" s="118" t="s">
        <v>2853</v>
      </c>
      <c r="AK5" s="118" t="s">
        <v>63</v>
      </c>
      <c r="AL5" s="118" t="s">
        <v>63</v>
      </c>
      <c r="AM5" s="118" t="s">
        <v>63</v>
      </c>
      <c r="AN5" s="118" t="s">
        <v>63</v>
      </c>
      <c r="AO5" s="118" t="s">
        <v>63</v>
      </c>
      <c r="AP5" s="96" t="s">
        <v>2854</v>
      </c>
      <c r="AQ5" s="96" t="s">
        <v>63</v>
      </c>
      <c r="AR5" s="96" t="s">
        <v>63</v>
      </c>
      <c r="AS5" s="96" t="s">
        <v>63</v>
      </c>
      <c r="AT5" s="96" t="s">
        <v>2856</v>
      </c>
      <c r="AU5" s="96" t="s">
        <v>2855</v>
      </c>
      <c r="AV5" s="96" t="s">
        <v>63</v>
      </c>
      <c r="AW5" s="96" t="s">
        <v>63</v>
      </c>
      <c r="AX5" s="96" t="s">
        <v>63</v>
      </c>
      <c r="AY5" s="96" t="s">
        <v>63</v>
      </c>
      <c r="AZ5" s="96" t="s">
        <v>63</v>
      </c>
      <c r="BA5" s="96" t="s">
        <v>63</v>
      </c>
      <c r="BB5" s="96" t="s">
        <v>63</v>
      </c>
      <c r="BC5" s="96" t="s">
        <v>63</v>
      </c>
      <c r="BD5" s="96" t="s">
        <v>8732</v>
      </c>
      <c r="BE5" s="96" t="s">
        <v>63</v>
      </c>
      <c r="BF5" s="96" t="s">
        <v>63</v>
      </c>
      <c r="BG5" s="96" t="s">
        <v>63</v>
      </c>
      <c r="BH5" s="96" t="s">
        <v>8732</v>
      </c>
      <c r="BI5" s="96" t="s">
        <v>8732</v>
      </c>
      <c r="BJ5" s="96" t="s">
        <v>63</v>
      </c>
      <c r="BK5" s="96" t="s">
        <v>8732</v>
      </c>
      <c r="BL5" s="96" t="s">
        <v>63</v>
      </c>
      <c r="BM5" s="96" t="s">
        <v>63</v>
      </c>
      <c r="BN5" s="96" t="s">
        <v>63</v>
      </c>
      <c r="BO5" s="96" t="s">
        <v>2857</v>
      </c>
      <c r="BP5" s="96" t="s">
        <v>63</v>
      </c>
      <c r="BQ5" s="96" t="s">
        <v>63</v>
      </c>
      <c r="BR5" s="96" t="s">
        <v>63</v>
      </c>
      <c r="BS5" s="96" t="s">
        <v>63</v>
      </c>
      <c r="BT5" s="96" t="s">
        <v>63</v>
      </c>
      <c r="BU5" s="96" t="s">
        <v>2858</v>
      </c>
      <c r="BV5" s="96" t="s">
        <v>63</v>
      </c>
      <c r="BW5" s="96" t="s">
        <v>63</v>
      </c>
      <c r="BX5" s="96" t="s">
        <v>63</v>
      </c>
      <c r="BY5" s="96" t="s">
        <v>63</v>
      </c>
      <c r="BZ5" s="96" t="s">
        <v>63</v>
      </c>
      <c r="CA5" s="96" t="s">
        <v>2859</v>
      </c>
      <c r="CB5" s="96" t="s">
        <v>63</v>
      </c>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80</v>
      </c>
      <c r="D6" s="546" t="s">
        <v>61</v>
      </c>
      <c r="E6" s="544">
        <f>SUBTOTAL(9,E9:E203)</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-1.5265566588595902E-16</v>
      </c>
      <c r="AD7" s="537">
        <f t="shared" si="7"/>
        <v>0</v>
      </c>
      <c r="AE7" s="533">
        <f>SUBTOTAL(9,AE10:AE204)</f>
        <v>0</v>
      </c>
      <c r="AF7" s="533">
        <f t="shared" ref="AF7" si="8">SUBTOTAL(9,AF10:AF208)</f>
        <v>0</v>
      </c>
      <c r="AG7" s="533">
        <f>SUBTOTAL(9,AG10:AG212)</f>
        <v>0</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-9.9920072216264089E-16</v>
      </c>
      <c r="AS7" s="537">
        <f t="shared" si="7"/>
        <v>0</v>
      </c>
      <c r="AT7" s="537">
        <f t="shared" si="7"/>
        <v>0</v>
      </c>
      <c r="AU7" s="537">
        <f t="shared" si="7"/>
        <v>0</v>
      </c>
      <c r="AV7" s="537">
        <f t="shared" si="7"/>
        <v>-9.9920072216264089E-16</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-9.9920072216264089E-16</v>
      </c>
      <c r="BR7" s="537">
        <f t="shared" si="7"/>
        <v>-1.1102230246251565E-15</v>
      </c>
      <c r="BS7" s="537">
        <f t="shared" si="7"/>
        <v>1.1102230246251565E-15</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80</v>
      </c>
      <c r="D11" s="4" t="s">
        <v>410</v>
      </c>
      <c r="E11" s="86">
        <f t="shared" si="13"/>
        <v>1</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80</v>
      </c>
      <c r="D12" s="4" t="s">
        <v>411</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-86.153846153846146</v>
      </c>
      <c r="D13" s="410" t="s">
        <v>621</v>
      </c>
      <c r="E13" s="413">
        <f t="shared" si="13"/>
        <v>-1.0769230769230769</v>
      </c>
      <c r="F13" s="35" t="s">
        <v>228</v>
      </c>
      <c r="G13" s="121"/>
      <c r="H13" s="121"/>
      <c r="I13" s="121"/>
      <c r="J13" s="121">
        <v>-7.69230769230769E-2</v>
      </c>
      <c r="K13" s="121">
        <v>-1</v>
      </c>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3.0769230769230758</v>
      </c>
      <c r="D14" s="4" t="s">
        <v>2804</v>
      </c>
      <c r="E14" s="36">
        <f t="shared" si="13"/>
        <v>3.846153846153845E-2</v>
      </c>
      <c r="F14" s="35" t="s">
        <v>228</v>
      </c>
      <c r="G14" s="121"/>
      <c r="H14" s="122"/>
      <c r="I14" s="121"/>
      <c r="J14" s="121">
        <v>3.846153846153845E-2</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29.743589743589713</v>
      </c>
      <c r="D15" s="4" t="s">
        <v>2805</v>
      </c>
      <c r="E15" s="36">
        <f t="shared" si="13"/>
        <v>0.37179487179487142</v>
      </c>
      <c r="F15" s="35" t="s">
        <v>228</v>
      </c>
      <c r="G15" s="121"/>
      <c r="H15" s="121"/>
      <c r="I15" s="121"/>
      <c r="J15" s="121">
        <v>3.846153846153845E-2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120</v>
      </c>
      <c r="D16" s="4" t="s">
        <v>599</v>
      </c>
      <c r="E16" s="36">
        <f t="shared" si="13"/>
        <v>1.5</v>
      </c>
      <c r="F16" s="35" t="s">
        <v>228</v>
      </c>
      <c r="G16" s="121"/>
      <c r="H16" s="122"/>
      <c r="I16" s="121"/>
      <c r="J16" s="121"/>
      <c r="K16" s="121">
        <v>1</v>
      </c>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-80</v>
      </c>
      <c r="D17" s="410" t="s">
        <v>632</v>
      </c>
      <c r="E17" s="411">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80</v>
      </c>
      <c r="D18" s="4" t="s">
        <v>633</v>
      </c>
      <c r="E18" s="36">
        <f t="shared" si="13"/>
        <v>1</v>
      </c>
      <c r="F18" s="35" t="s">
        <v>228</v>
      </c>
      <c r="G18" s="121"/>
      <c r="H18" s="121"/>
      <c r="I18" s="121"/>
      <c r="J18" s="121"/>
      <c r="K18" s="121"/>
      <c r="L18" s="121">
        <v>1</v>
      </c>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-18.461538461538481</v>
      </c>
      <c r="D19" s="412" t="s">
        <v>693</v>
      </c>
      <c r="E19" s="411">
        <f t="shared" si="13"/>
        <v>-0.230769230769231</v>
      </c>
      <c r="F19" s="35" t="s">
        <v>228</v>
      </c>
      <c r="G19" s="121"/>
      <c r="H19" s="121"/>
      <c r="I19" s="121"/>
      <c r="J19" s="121"/>
      <c r="K19" s="121"/>
      <c r="L19" s="121"/>
      <c r="M19" s="121">
        <v>-0.230769230769231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0</v>
      </c>
      <c r="D20" s="104" t="s">
        <v>694</v>
      </c>
      <c r="E20" s="86">
        <f t="shared" si="13"/>
        <v>0</v>
      </c>
      <c r="F20" s="35" t="s">
        <v>228</v>
      </c>
      <c r="G20" s="121"/>
      <c r="H20" s="122"/>
      <c r="I20" s="121"/>
      <c r="J20" s="121"/>
      <c r="K20" s="121"/>
      <c r="L20" s="121"/>
      <c r="M20" s="121">
        <v>0.230769230769231</v>
      </c>
      <c r="N20" s="121">
        <v>-0.15384615384615399</v>
      </c>
      <c r="O20" s="122">
        <v>-3.8461538461538498E-2</v>
      </c>
      <c r="P20" s="128">
        <v>-3.8461538461538498E-2</v>
      </c>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0</v>
      </c>
      <c r="D21" s="103" t="s">
        <v>698</v>
      </c>
      <c r="E21" s="36">
        <f t="shared" si="13"/>
        <v>0</v>
      </c>
      <c r="F21" s="35" t="s">
        <v>228</v>
      </c>
      <c r="G21" s="121"/>
      <c r="H21" s="121"/>
      <c r="I21" s="121"/>
      <c r="J21" s="121"/>
      <c r="K21" s="121"/>
      <c r="L21" s="121"/>
      <c r="M21" s="121"/>
      <c r="N21" s="121">
        <v>0.15384615384615399</v>
      </c>
      <c r="O21" s="121"/>
      <c r="P21" s="128"/>
      <c r="Q21" s="128"/>
      <c r="R21" s="123"/>
      <c r="S21" s="129"/>
      <c r="T21" s="121"/>
      <c r="U21" s="121"/>
      <c r="V21" s="121"/>
      <c r="W21" s="121"/>
      <c r="X21" s="121"/>
      <c r="Y21" s="121">
        <v>-0.15384615384615399</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3.0769230769230798</v>
      </c>
      <c r="D22" s="103" t="s">
        <v>702</v>
      </c>
      <c r="E22" s="86">
        <f t="shared" si="13"/>
        <v>3.8461538461538498E-2</v>
      </c>
      <c r="F22" s="35" t="s">
        <v>228</v>
      </c>
      <c r="G22" s="121"/>
      <c r="H22" s="121"/>
      <c r="I22" s="121"/>
      <c r="J22" s="121"/>
      <c r="K22" s="121"/>
      <c r="L22" s="121"/>
      <c r="M22" s="121"/>
      <c r="N22" s="121"/>
      <c r="O22" s="121">
        <v>3.8461538461538498E-2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3.0769230769230798</v>
      </c>
      <c r="D23" s="4" t="s">
        <v>706</v>
      </c>
      <c r="E23" s="86">
        <f t="shared" si="13"/>
        <v>3.8461538461538498E-2</v>
      </c>
      <c r="F23" s="35" t="s">
        <v>228</v>
      </c>
      <c r="G23" s="121"/>
      <c r="H23" s="121"/>
      <c r="I23" s="121"/>
      <c r="J23" s="121"/>
      <c r="K23" s="121"/>
      <c r="L23" s="121"/>
      <c r="M23" s="121"/>
      <c r="N23" s="121"/>
      <c r="O23" s="121"/>
      <c r="P23" s="121">
        <v>3.8461538461538498E-2</v>
      </c>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-80</v>
      </c>
      <c r="D24" s="410" t="s">
        <v>709</v>
      </c>
      <c r="E24" s="413">
        <f t="shared" si="13"/>
        <v>-1</v>
      </c>
      <c r="F24" s="35" t="s">
        <v>228</v>
      </c>
      <c r="G24" s="121"/>
      <c r="H24" s="121"/>
      <c r="I24" s="121"/>
      <c r="J24" s="121"/>
      <c r="K24" s="121"/>
      <c r="L24" s="121"/>
      <c r="M24" s="121"/>
      <c r="N24" s="121"/>
      <c r="O24" s="121"/>
      <c r="P24" s="121"/>
      <c r="Q24" s="124">
        <v>-1</v>
      </c>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0</v>
      </c>
      <c r="D25" s="104" t="s">
        <v>710</v>
      </c>
      <c r="E25" s="86">
        <f t="shared" si="13"/>
        <v>0</v>
      </c>
      <c r="F25" s="35" t="s">
        <v>228</v>
      </c>
      <c r="G25" s="121"/>
      <c r="H25" s="121"/>
      <c r="I25" s="121"/>
      <c r="J25" s="121"/>
      <c r="K25" s="121"/>
      <c r="L25" s="121"/>
      <c r="M25" s="121"/>
      <c r="N25" s="121"/>
      <c r="O25" s="121"/>
      <c r="P25" s="121"/>
      <c r="Q25" s="124">
        <v>1</v>
      </c>
      <c r="R25" s="123">
        <v>-1</v>
      </c>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80</v>
      </c>
      <c r="D26" s="3" t="s">
        <v>716</v>
      </c>
      <c r="E26" s="86">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25"/>
      <c r="B27" s="39"/>
      <c r="C27" s="36">
        <f t="shared" si="12"/>
        <v>-80</v>
      </c>
      <c r="D27" s="412" t="s">
        <v>2860</v>
      </c>
      <c r="E27" s="411">
        <f t="shared" si="13"/>
        <v>-1</v>
      </c>
      <c r="F27" s="35" t="s">
        <v>228</v>
      </c>
      <c r="G27" s="121"/>
      <c r="H27" s="121"/>
      <c r="I27" s="121"/>
      <c r="J27" s="121"/>
      <c r="K27" s="121"/>
      <c r="L27" s="121"/>
      <c r="M27" s="6"/>
      <c r="N27" s="121"/>
      <c r="O27" s="121"/>
      <c r="P27" s="121"/>
      <c r="Q27" s="123"/>
      <c r="R27" s="123"/>
      <c r="S27" s="121">
        <v>-1</v>
      </c>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40</v>
      </c>
      <c r="D28" s="4" t="s">
        <v>2861</v>
      </c>
      <c r="E28" s="36">
        <f t="shared" si="13"/>
        <v>0.5</v>
      </c>
      <c r="F28" s="35" t="s">
        <v>228</v>
      </c>
      <c r="G28" s="121"/>
      <c r="H28" s="121"/>
      <c r="I28" s="121"/>
      <c r="J28" s="121"/>
      <c r="K28" s="121"/>
      <c r="L28" s="121"/>
      <c r="M28" s="5"/>
      <c r="N28" s="121"/>
      <c r="O28" s="121"/>
      <c r="P28" s="121"/>
      <c r="Q28" s="123"/>
      <c r="R28" s="123"/>
      <c r="S28" s="121">
        <v>0.5</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40</v>
      </c>
      <c r="D29" s="4" t="s">
        <v>2862</v>
      </c>
      <c r="E29" s="86">
        <f t="shared" si="13"/>
        <v>0.5</v>
      </c>
      <c r="F29" s="35" t="s">
        <v>228</v>
      </c>
      <c r="G29" s="121"/>
      <c r="H29" s="121"/>
      <c r="I29" s="121"/>
      <c r="J29" s="121"/>
      <c r="K29" s="121"/>
      <c r="L29" s="121"/>
      <c r="M29" s="5"/>
      <c r="N29" s="121"/>
      <c r="O29" s="121"/>
      <c r="P29" s="121"/>
      <c r="Q29" s="123"/>
      <c r="R29" s="123"/>
      <c r="S29" s="121">
        <v>0.5</v>
      </c>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-11</v>
      </c>
      <c r="D30" s="410" t="s">
        <v>221</v>
      </c>
      <c r="E30" s="411">
        <f t="shared" si="13"/>
        <v>-0.13750000000000001</v>
      </c>
      <c r="F30" s="35" t="s">
        <v>228</v>
      </c>
      <c r="G30" s="121"/>
      <c r="H30" s="121"/>
      <c r="I30" s="121"/>
      <c r="J30" s="121"/>
      <c r="K30" s="121"/>
      <c r="L30" s="121"/>
      <c r="M30" s="117"/>
      <c r="N30" s="121"/>
      <c r="O30" s="121"/>
      <c r="P30" s="121"/>
      <c r="Q30" s="123"/>
      <c r="R30" s="123"/>
      <c r="S30" s="121"/>
      <c r="T30" s="121">
        <v>-0.13750000000000001</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-0.49499999999999922</v>
      </c>
      <c r="D31" s="410" t="s">
        <v>786</v>
      </c>
      <c r="E31" s="413">
        <f t="shared" si="13"/>
        <v>-6.1874999999999899E-3</v>
      </c>
      <c r="F31" s="35" t="s">
        <v>228</v>
      </c>
      <c r="G31" s="121"/>
      <c r="H31" s="121"/>
      <c r="I31" s="121"/>
      <c r="J31" s="121"/>
      <c r="K31" s="121"/>
      <c r="L31" s="121"/>
      <c r="M31" s="117"/>
      <c r="N31" s="121"/>
      <c r="O31" s="121"/>
      <c r="P31" s="121"/>
      <c r="Q31" s="123"/>
      <c r="R31" s="123"/>
      <c r="S31" s="121"/>
      <c r="T31" s="121">
        <v>0.13750000000000001</v>
      </c>
      <c r="U31" s="121"/>
      <c r="V31" s="121"/>
      <c r="W31" s="129">
        <v>-0.1340625</v>
      </c>
      <c r="X31" s="129">
        <v>-6.875E-3</v>
      </c>
      <c r="Y31" s="121"/>
      <c r="Z31" s="121">
        <v>-2.7499999999999998E-3</v>
      </c>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-3.0769230769230798</v>
      </c>
      <c r="D32" s="410" t="s">
        <v>791</v>
      </c>
      <c r="E32" s="413">
        <f t="shared" si="13"/>
        <v>-3.8461538461538498E-2</v>
      </c>
      <c r="F32" s="35" t="s">
        <v>228</v>
      </c>
      <c r="G32" s="121"/>
      <c r="H32" s="121"/>
      <c r="I32" s="121"/>
      <c r="J32" s="121"/>
      <c r="K32" s="121"/>
      <c r="L32" s="121"/>
      <c r="M32" s="117"/>
      <c r="N32" s="121"/>
      <c r="O32" s="121"/>
      <c r="P32" s="121"/>
      <c r="Q32" s="123"/>
      <c r="R32" s="123"/>
      <c r="S32" s="121"/>
      <c r="T32" s="121"/>
      <c r="U32" s="121">
        <v>-3.8461538461538498E-2</v>
      </c>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1.5384615384615439</v>
      </c>
      <c r="D33" s="4" t="s">
        <v>792</v>
      </c>
      <c r="E33" s="36">
        <f t="shared" si="13"/>
        <v>1.9230769230769298E-2</v>
      </c>
      <c r="F33" s="35" t="s">
        <v>228</v>
      </c>
      <c r="G33" s="121"/>
      <c r="H33" s="121"/>
      <c r="I33" s="121"/>
      <c r="J33" s="121"/>
      <c r="K33" s="121"/>
      <c r="L33" s="121"/>
      <c r="M33" s="121"/>
      <c r="N33" s="121"/>
      <c r="O33" s="121"/>
      <c r="P33" s="121"/>
      <c r="Q33" s="123"/>
      <c r="R33" s="123"/>
      <c r="S33" s="121"/>
      <c r="T33" s="121"/>
      <c r="U33" s="121">
        <v>3.8461538461538498E-2</v>
      </c>
      <c r="V33" s="121">
        <v>-1.9230769230769201E-2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-78.461538461538467</v>
      </c>
      <c r="D34" s="410" t="s">
        <v>795</v>
      </c>
      <c r="E34" s="411">
        <f t="shared" si="13"/>
        <v>-0.98076923076923084</v>
      </c>
      <c r="F34" s="35" t="s">
        <v>228</v>
      </c>
      <c r="G34" s="121"/>
      <c r="H34" s="121"/>
      <c r="I34" s="121"/>
      <c r="J34" s="121"/>
      <c r="K34" s="121"/>
      <c r="L34" s="121"/>
      <c r="M34" s="121"/>
      <c r="N34" s="121"/>
      <c r="O34" s="121"/>
      <c r="P34" s="121"/>
      <c r="Q34" s="123"/>
      <c r="R34" s="123"/>
      <c r="S34" s="121"/>
      <c r="T34" s="121"/>
      <c r="U34" s="121"/>
      <c r="V34" s="121">
        <v>1.9230769230769201E-2</v>
      </c>
      <c r="W34" s="129"/>
      <c r="X34" s="121"/>
      <c r="Y34" s="121"/>
      <c r="Z34" s="121"/>
      <c r="AA34" s="129"/>
      <c r="AB34" s="121"/>
      <c r="AC34" s="121"/>
      <c r="AD34" s="121">
        <v>-1</v>
      </c>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-72.886200000000002</v>
      </c>
      <c r="D35" s="410" t="s">
        <v>799</v>
      </c>
      <c r="E35" s="411">
        <f t="shared" si="13"/>
        <v>-0.91107749999999998</v>
      </c>
      <c r="F35" s="35" t="s">
        <v>228</v>
      </c>
      <c r="G35" s="121"/>
      <c r="H35" s="121"/>
      <c r="I35" s="121"/>
      <c r="J35" s="121"/>
      <c r="K35" s="121"/>
      <c r="L35" s="121"/>
      <c r="M35" s="121"/>
      <c r="N35" s="121"/>
      <c r="O35" s="121"/>
      <c r="P35" s="121"/>
      <c r="Q35" s="123"/>
      <c r="R35" s="123"/>
      <c r="S35" s="121"/>
      <c r="T35" s="121"/>
      <c r="U35" s="121"/>
      <c r="V35" s="121"/>
      <c r="W35" s="129">
        <v>0.1340625</v>
      </c>
      <c r="X35" s="121"/>
      <c r="Y35" s="121"/>
      <c r="Z35" s="121">
        <v>2.7499999999999998E-3</v>
      </c>
      <c r="AA35" s="121"/>
      <c r="AB35" s="121">
        <v>-0.89</v>
      </c>
      <c r="AC35" s="121">
        <v>-0.15789</v>
      </c>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-79.45</v>
      </c>
      <c r="D36" s="410" t="s">
        <v>804</v>
      </c>
      <c r="E36" s="411">
        <f t="shared" si="13"/>
        <v>-0.99312500000000004</v>
      </c>
      <c r="F36" s="35" t="s">
        <v>228</v>
      </c>
      <c r="G36" s="121"/>
      <c r="H36" s="121"/>
      <c r="I36" s="121"/>
      <c r="J36" s="121"/>
      <c r="K36" s="121"/>
      <c r="L36" s="121"/>
      <c r="M36" s="121"/>
      <c r="N36" s="121"/>
      <c r="O36" s="121"/>
      <c r="P36" s="121"/>
      <c r="Q36" s="123"/>
      <c r="R36" s="123"/>
      <c r="S36" s="121"/>
      <c r="T36" s="121"/>
      <c r="U36" s="121"/>
      <c r="V36" s="121"/>
      <c r="W36" s="121"/>
      <c r="X36" s="121">
        <v>6.875E-3</v>
      </c>
      <c r="Y36" s="121"/>
      <c r="Z36" s="121"/>
      <c r="AA36" s="121"/>
      <c r="AB36" s="121"/>
      <c r="AC36" s="121"/>
      <c r="AD36" s="121"/>
      <c r="AE36" s="123"/>
      <c r="AF36" s="124"/>
      <c r="AG36" s="123"/>
      <c r="AH36" s="123">
        <v>-1</v>
      </c>
      <c r="AI36" s="123"/>
      <c r="AJ36" s="123"/>
      <c r="AK36" s="121"/>
      <c r="AL36" s="123"/>
      <c r="AM36" s="121"/>
      <c r="AN36" s="124"/>
      <c r="AO36" s="121"/>
      <c r="AP36" s="121"/>
      <c r="AQ36" s="28"/>
      <c r="AR36" s="28"/>
      <c r="AS36" s="28"/>
    </row>
    <row r="37" spans="1:187" s="27" customFormat="1" ht="24" x14ac:dyDescent="0.2">
      <c r="A37" s="125"/>
      <c r="B37" s="39"/>
      <c r="C37" s="86">
        <f>E37*D$5</f>
        <v>12.307692307692319</v>
      </c>
      <c r="D37" s="103" t="s">
        <v>2807</v>
      </c>
      <c r="E37" s="86">
        <f t="shared" ref="E37" si="14">SUM(G37:HY37)</f>
        <v>0.15384615384615399</v>
      </c>
      <c r="F37" s="35" t="s">
        <v>228</v>
      </c>
      <c r="G37" s="121"/>
      <c r="H37" s="122"/>
      <c r="I37" s="121"/>
      <c r="J37" s="122"/>
      <c r="K37" s="122"/>
      <c r="L37" s="123"/>
      <c r="M37" s="123"/>
      <c r="N37" s="123"/>
      <c r="O37" s="123"/>
      <c r="P37" s="123"/>
      <c r="Q37" s="123"/>
      <c r="R37" s="123"/>
      <c r="S37" s="123"/>
      <c r="T37" s="123"/>
      <c r="U37" s="123"/>
      <c r="V37" s="123"/>
      <c r="W37" s="123"/>
      <c r="X37" s="123"/>
      <c r="Y37" s="121">
        <v>0.15384615384615399</v>
      </c>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0</v>
      </c>
      <c r="D38" s="4" t="s">
        <v>824</v>
      </c>
      <c r="E38" s="36">
        <f t="shared" ref="E38" si="16">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v>
      </c>
      <c r="D39" s="103" t="s">
        <v>335</v>
      </c>
      <c r="E39" s="36">
        <f>SUM(G39:HH39)</f>
        <v>0</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v>
      </c>
      <c r="D40" s="103" t="s">
        <v>8736</v>
      </c>
      <c r="E40" s="86">
        <f>SUM(G40:HH40)</f>
        <v>0</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-8.7999999999999989</v>
      </c>
      <c r="D41" s="421" t="s">
        <v>882</v>
      </c>
      <c r="E41" s="411">
        <f>SUM(G41:HH41)</f>
        <v>-0.10999999999999999</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v>0.89</v>
      </c>
      <c r="AC41" s="123"/>
      <c r="AD41" s="123"/>
      <c r="AE41" s="123"/>
      <c r="AF41" s="123">
        <v>-1</v>
      </c>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4.2103999999999955</v>
      </c>
      <c r="D42" s="3" t="s">
        <v>2328</v>
      </c>
      <c r="E42" s="86">
        <f>SUM(G42:HH42)</f>
        <v>5.2629999999999948E-2</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v>5.2629999999999948E-2</v>
      </c>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4.2103999999999955</v>
      </c>
      <c r="D43" s="3" t="s">
        <v>370</v>
      </c>
      <c r="E43" s="86">
        <f>SUM(G43:HH43)</f>
        <v>5.2629999999999948E-2</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v>5.2629999999999948E-2</v>
      </c>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4.2103999999999955</v>
      </c>
      <c r="D44" s="4" t="s">
        <v>331</v>
      </c>
      <c r="E44" s="86">
        <f t="shared" si="13"/>
        <v>5.2629999999999948E-2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v>5.2629999999999948E-2</v>
      </c>
      <c r="AD44" s="123"/>
      <c r="AE44" s="123"/>
      <c r="AF44" s="123"/>
      <c r="AG44" s="123"/>
      <c r="AH44" s="124"/>
      <c r="AI44" s="124"/>
      <c r="AJ44" s="123"/>
      <c r="AK44" s="121"/>
      <c r="AL44" s="123"/>
      <c r="AM44" s="121"/>
      <c r="AN44" s="123"/>
      <c r="AO44" s="121"/>
      <c r="AP44" s="121"/>
      <c r="AQ44" s="28"/>
      <c r="AR44" s="28"/>
      <c r="AS44" s="28"/>
    </row>
    <row r="45" spans="1:187" s="27" customFormat="1" x14ac:dyDescent="0.2">
      <c r="A45" s="125"/>
      <c r="B45" s="39"/>
      <c r="C45" s="86">
        <f>E45*D$5</f>
        <v>80</v>
      </c>
      <c r="D45" s="3" t="s">
        <v>901</v>
      </c>
      <c r="E45" s="86">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v>1</v>
      </c>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-0.6153846153846152</v>
      </c>
      <c r="D46" s="410" t="s">
        <v>927</v>
      </c>
      <c r="E46" s="413">
        <f t="shared" si="13"/>
        <v>-7.6923076923076901E-3</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v>-7.6923076923076901E-3</v>
      </c>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-2.4615384615384648</v>
      </c>
      <c r="D47" s="412" t="s">
        <v>928</v>
      </c>
      <c r="E47" s="413">
        <f t="shared" si="13"/>
        <v>-3.0769230769230809E-2</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v>7.6923076923076901E-3</v>
      </c>
      <c r="AF47" s="123"/>
      <c r="AG47" s="123"/>
      <c r="AH47" s="123"/>
      <c r="AI47" s="123"/>
      <c r="AJ47" s="123">
        <v>-3.8461538461538498E-2</v>
      </c>
      <c r="AK47" s="121"/>
      <c r="AL47" s="123"/>
      <c r="AM47" s="129"/>
      <c r="AN47" s="124"/>
      <c r="AO47" s="121"/>
      <c r="AP47" s="121"/>
      <c r="AQ47" s="28"/>
      <c r="AR47" s="28"/>
      <c r="AS47" s="28"/>
    </row>
    <row r="48" spans="1:187" s="27" customFormat="1" x14ac:dyDescent="0.2">
      <c r="A48" s="125"/>
      <c r="B48" s="39"/>
      <c r="C48" s="36">
        <f t="shared" si="12"/>
        <v>66.891999999999996</v>
      </c>
      <c r="D48" s="4" t="s">
        <v>932</v>
      </c>
      <c r="E48" s="36">
        <f t="shared" si="13"/>
        <v>0.83614999999999995</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v>1</v>
      </c>
      <c r="AG48" s="123">
        <v>-0.16385</v>
      </c>
      <c r="AH48" s="123"/>
      <c r="AI48" s="123"/>
      <c r="AJ48" s="123"/>
      <c r="AK48" s="121"/>
      <c r="AL48" s="123"/>
      <c r="AM48" s="129"/>
      <c r="AN48" s="124"/>
      <c r="AO48" s="121"/>
      <c r="AP48" s="121"/>
      <c r="AQ48" s="28"/>
      <c r="AR48" s="28"/>
      <c r="AS48" s="28"/>
    </row>
    <row r="49" spans="1:58" s="27" customFormat="1" x14ac:dyDescent="0.2">
      <c r="A49" s="125"/>
      <c r="B49" s="39"/>
      <c r="C49" s="86">
        <f t="shared" si="12"/>
        <v>13.108000000000001</v>
      </c>
      <c r="D49" s="3" t="s">
        <v>945</v>
      </c>
      <c r="E49" s="36">
        <f t="shared" si="13"/>
        <v>0.16385</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v>0.16385</v>
      </c>
      <c r="AH49" s="123"/>
      <c r="AI49" s="123"/>
      <c r="AJ49" s="123"/>
      <c r="AK49" s="121"/>
      <c r="AL49" s="123"/>
      <c r="AM49" s="121"/>
      <c r="AN49" s="124"/>
      <c r="AO49" s="121"/>
      <c r="AP49" s="121"/>
      <c r="AQ49" s="28"/>
      <c r="AR49" s="28"/>
      <c r="AS49" s="28"/>
    </row>
    <row r="50" spans="1:58" s="27" customFormat="1" x14ac:dyDescent="0.2">
      <c r="A50" s="38"/>
      <c r="B50" s="37"/>
      <c r="C50" s="36">
        <f t="shared" si="12"/>
        <v>80</v>
      </c>
      <c r="D50" s="4" t="s">
        <v>971</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v>1</v>
      </c>
      <c r="AI50" s="123"/>
      <c r="AJ50" s="123"/>
      <c r="AK50" s="121"/>
      <c r="AL50" s="123"/>
      <c r="AM50" s="121"/>
      <c r="AN50" s="123"/>
      <c r="AO50" s="121"/>
      <c r="AP50" s="121"/>
      <c r="AQ50" s="28"/>
      <c r="AR50" s="28"/>
      <c r="AS50" s="28"/>
    </row>
    <row r="51" spans="1:58" s="27" customFormat="1" x14ac:dyDescent="0.2">
      <c r="A51" s="38"/>
      <c r="B51" s="37"/>
      <c r="C51" s="36">
        <f t="shared" si="12"/>
        <v>-80</v>
      </c>
      <c r="D51" s="410" t="s">
        <v>997</v>
      </c>
      <c r="E51" s="411">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v>-1</v>
      </c>
      <c r="AJ51" s="123"/>
      <c r="AK51" s="121"/>
      <c r="AL51" s="123"/>
      <c r="AM51" s="121"/>
      <c r="AN51" s="123"/>
      <c r="AO51" s="121"/>
      <c r="AP51" s="121"/>
      <c r="AQ51" s="28"/>
      <c r="AR51" s="28"/>
      <c r="AS51" s="28"/>
    </row>
    <row r="52" spans="1:58" s="27" customFormat="1" x14ac:dyDescent="0.2">
      <c r="A52" s="38"/>
      <c r="B52" s="37"/>
      <c r="C52" s="86">
        <f t="shared" si="12"/>
        <v>78.461538461538467</v>
      </c>
      <c r="D52" s="4" t="s">
        <v>998</v>
      </c>
      <c r="E52" s="86">
        <f t="shared" si="13"/>
        <v>0.98076923076923084</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v>1</v>
      </c>
      <c r="AJ52" s="123"/>
      <c r="AK52" s="121"/>
      <c r="AL52" s="123"/>
      <c r="AM52" s="121"/>
      <c r="AN52" s="123"/>
      <c r="AO52" s="121"/>
      <c r="AP52" s="121">
        <v>-1.9230769230769201E-2</v>
      </c>
      <c r="AQ52" s="28"/>
      <c r="AR52" s="28"/>
      <c r="AS52" s="28"/>
    </row>
    <row r="53" spans="1:58" s="27" customFormat="1" x14ac:dyDescent="0.2">
      <c r="A53" s="38"/>
      <c r="B53" s="37"/>
      <c r="C53" s="86">
        <f t="shared" si="12"/>
        <v>-76.92307692307692</v>
      </c>
      <c r="D53" s="410" t="s">
        <v>1066</v>
      </c>
      <c r="E53" s="413">
        <f t="shared" si="13"/>
        <v>-0.96153846153846145</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v>3.8461538461538498E-2</v>
      </c>
      <c r="AK53" s="121"/>
      <c r="AL53" s="123"/>
      <c r="AM53" s="121"/>
      <c r="AN53" s="123"/>
      <c r="AO53" s="121"/>
      <c r="AP53" s="121"/>
      <c r="AQ53" s="28"/>
      <c r="AR53" s="28"/>
      <c r="AS53" s="28"/>
      <c r="BF53" s="27">
        <v>-1</v>
      </c>
    </row>
    <row r="54" spans="1:58" s="27" customFormat="1" ht="12.95" customHeight="1" x14ac:dyDescent="0.2">
      <c r="A54" s="38"/>
      <c r="B54" s="37"/>
      <c r="C54" s="36">
        <f t="shared" si="12"/>
        <v>-80</v>
      </c>
      <c r="D54" s="410" t="s">
        <v>1130</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v>-1</v>
      </c>
      <c r="AL54" s="123"/>
      <c r="AM54" s="121"/>
      <c r="AN54" s="123"/>
      <c r="AO54" s="121"/>
      <c r="AP54" s="121"/>
      <c r="AQ54" s="28"/>
      <c r="AR54" s="28"/>
      <c r="AS54" s="28"/>
    </row>
    <row r="55" spans="1:58" s="27" customFormat="1" ht="14.1" customHeight="1" x14ac:dyDescent="0.2">
      <c r="A55" s="38"/>
      <c r="B55" s="37"/>
      <c r="C55" s="36">
        <f t="shared" si="12"/>
        <v>0</v>
      </c>
      <c r="D55" s="4" t="s">
        <v>1131</v>
      </c>
      <c r="E55" s="36">
        <f t="shared" si="13"/>
        <v>0</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v>1</v>
      </c>
      <c r="AL55" s="123"/>
      <c r="AM55" s="121"/>
      <c r="AN55" s="124">
        <v>-1</v>
      </c>
      <c r="AO55" s="121"/>
      <c r="AP55" s="121"/>
      <c r="AQ55" s="28"/>
      <c r="AR55" s="28"/>
      <c r="AS55" s="28"/>
    </row>
    <row r="56" spans="1:58" s="27" customFormat="1" ht="17.45" customHeight="1" x14ac:dyDescent="0.2">
      <c r="A56" s="38"/>
      <c r="B56" s="37"/>
      <c r="C56" s="36">
        <f t="shared" si="12"/>
        <v>-80</v>
      </c>
      <c r="D56" s="414" t="s">
        <v>1136</v>
      </c>
      <c r="E56" s="411">
        <f t="shared" si="13"/>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v>-1</v>
      </c>
      <c r="AM56" s="28"/>
      <c r="AN56" s="123"/>
      <c r="AO56" s="28"/>
      <c r="AP56" s="28"/>
      <c r="AQ56" s="28"/>
      <c r="AR56" s="28"/>
      <c r="AS56" s="28"/>
    </row>
    <row r="57" spans="1:58" s="27" customFormat="1" ht="17.45" customHeight="1" x14ac:dyDescent="0.2">
      <c r="A57" s="38"/>
      <c r="B57" s="37"/>
      <c r="C57" s="36">
        <f t="shared" si="12"/>
        <v>240</v>
      </c>
      <c r="D57" s="89" t="s">
        <v>114</v>
      </c>
      <c r="E57" s="36">
        <f t="shared" si="13"/>
        <v>3</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v>1</v>
      </c>
      <c r="AM57" s="28">
        <v>-1</v>
      </c>
      <c r="AN57" s="123">
        <v>1</v>
      </c>
      <c r="AO57" s="28">
        <v>-1</v>
      </c>
      <c r="AP57" s="28"/>
      <c r="AQ57" s="28"/>
      <c r="AR57" s="28"/>
      <c r="AS57" s="28"/>
      <c r="AZ57" s="27">
        <v>1</v>
      </c>
      <c r="BA57" s="27">
        <v>1</v>
      </c>
      <c r="BB57" s="27">
        <v>1</v>
      </c>
    </row>
    <row r="58" spans="1:58" s="27" customFormat="1" ht="17.45" customHeight="1" x14ac:dyDescent="0.2">
      <c r="A58" s="38"/>
      <c r="B58" s="37"/>
      <c r="C58" s="36">
        <f t="shared" si="12"/>
        <v>80</v>
      </c>
      <c r="D58" s="87" t="s">
        <v>1139</v>
      </c>
      <c r="E58" s="36">
        <f t="shared" si="13"/>
        <v>1</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v>1</v>
      </c>
      <c r="AN58" s="123"/>
      <c r="AO58" s="28"/>
      <c r="AP58" s="28"/>
      <c r="AQ58" s="28"/>
      <c r="AR58" s="28"/>
      <c r="AS58" s="28"/>
    </row>
    <row r="59" spans="1:58" s="27" customFormat="1" ht="17.45" customHeight="1" x14ac:dyDescent="0.2">
      <c r="A59" s="38"/>
      <c r="B59" s="37"/>
      <c r="C59" s="36">
        <f t="shared" si="12"/>
        <v>80</v>
      </c>
      <c r="D59" s="87" t="s">
        <v>1148</v>
      </c>
      <c r="E59" s="36">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v>1</v>
      </c>
      <c r="AP59" s="28"/>
      <c r="AQ59" s="28"/>
      <c r="AR59" s="28"/>
      <c r="AS59" s="28"/>
    </row>
    <row r="60" spans="1:58" s="27" customFormat="1" ht="16.5" customHeight="1" x14ac:dyDescent="0.2">
      <c r="A60" s="38"/>
      <c r="B60" s="37"/>
      <c r="C60" s="36">
        <f t="shared" si="12"/>
        <v>80.615384615384613</v>
      </c>
      <c r="D60" s="87" t="s">
        <v>1156</v>
      </c>
      <c r="E60" s="36">
        <f t="shared" si="13"/>
        <v>1.0076923076923077</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v>1.9230769230769201E-2</v>
      </c>
      <c r="AQ60" s="28">
        <v>1</v>
      </c>
      <c r="AR60" s="28"/>
      <c r="AS60" s="28"/>
      <c r="AT60" s="27">
        <v>-3.8461538461538498E-3</v>
      </c>
      <c r="AU60" s="27">
        <v>-7.6923076923076901E-3</v>
      </c>
    </row>
    <row r="61" spans="1:58" s="27" customFormat="1" x14ac:dyDescent="0.2">
      <c r="A61" s="38"/>
      <c r="B61" s="37"/>
      <c r="C61" s="36">
        <f t="shared" si="12"/>
        <v>-80</v>
      </c>
      <c r="D61" s="421" t="s">
        <v>372</v>
      </c>
      <c r="E61" s="411">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v>-1</v>
      </c>
      <c r="AR61" s="28"/>
      <c r="AS61" s="28"/>
    </row>
    <row r="62" spans="1:58" s="27" customFormat="1" ht="24" x14ac:dyDescent="0.2">
      <c r="A62" s="38"/>
      <c r="B62" s="37"/>
      <c r="C62" s="86">
        <f t="shared" si="12"/>
        <v>-80</v>
      </c>
      <c r="D62" s="422" t="s">
        <v>2808</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v>-1</v>
      </c>
      <c r="AS62" s="28"/>
    </row>
    <row r="63" spans="1:58" s="27" customFormat="1" x14ac:dyDescent="0.2">
      <c r="A63" s="38"/>
      <c r="B63" s="37"/>
      <c r="C63" s="86">
        <f t="shared" si="12"/>
        <v>-13.333333333333361</v>
      </c>
      <c r="D63" s="412" t="s">
        <v>2809</v>
      </c>
      <c r="E63" s="413">
        <f t="shared" si="13"/>
        <v>-0.16666666666666702</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v>0.33333333333333298</v>
      </c>
      <c r="AS63" s="28"/>
      <c r="BA63" s="27">
        <v>-0.5</v>
      </c>
    </row>
    <row r="64" spans="1:58" s="27" customFormat="1" x14ac:dyDescent="0.2">
      <c r="A64" s="38"/>
      <c r="B64" s="37"/>
      <c r="C64" s="36">
        <f t="shared" si="12"/>
        <v>26.666666666666639</v>
      </c>
      <c r="D64" s="4" t="s">
        <v>2810</v>
      </c>
      <c r="E64" s="36">
        <f t="shared" si="13"/>
        <v>0.33333333333333298</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v>0.33333333333333298</v>
      </c>
      <c r="AS64" s="28"/>
    </row>
    <row r="65" spans="1:66" s="27" customFormat="1" x14ac:dyDescent="0.2">
      <c r="A65" s="38"/>
      <c r="B65" s="37"/>
      <c r="C65" s="86">
        <f t="shared" si="12"/>
        <v>-80</v>
      </c>
      <c r="D65" s="422" t="s">
        <v>1195</v>
      </c>
      <c r="E65" s="413">
        <f t="shared" si="13"/>
        <v>-1</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v>-1</v>
      </c>
    </row>
    <row r="66" spans="1:66" s="27" customFormat="1" x14ac:dyDescent="0.2">
      <c r="A66" s="38"/>
      <c r="B66" s="37"/>
      <c r="C66" s="86">
        <f t="shared" si="12"/>
        <v>80</v>
      </c>
      <c r="D66" s="3" t="s">
        <v>1196</v>
      </c>
      <c r="E66" s="86">
        <f t="shared" si="13"/>
        <v>1</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v>1</v>
      </c>
    </row>
    <row r="67" spans="1:66" s="27" customFormat="1" x14ac:dyDescent="0.2">
      <c r="A67" s="38"/>
      <c r="B67" s="37"/>
      <c r="C67" s="36">
        <f t="shared" si="12"/>
        <v>0.30769230769230799</v>
      </c>
      <c r="D67" s="4" t="s">
        <v>1199</v>
      </c>
      <c r="E67" s="36">
        <f t="shared" si="13"/>
        <v>3.8461538461538498E-3</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c r="AT67" s="27">
        <v>3.8461538461538498E-3</v>
      </c>
    </row>
    <row r="68" spans="1:66" s="27" customFormat="1" x14ac:dyDescent="0.2">
      <c r="A68" s="38"/>
      <c r="B68" s="37"/>
      <c r="C68" s="36">
        <f t="shared" si="12"/>
        <v>0.3076923076923076</v>
      </c>
      <c r="D68" s="4" t="s">
        <v>2814</v>
      </c>
      <c r="E68" s="36">
        <f t="shared" si="13"/>
        <v>3.8461538461538451E-3</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c r="AU68" s="27">
        <v>3.8461538461538451E-3</v>
      </c>
    </row>
    <row r="69" spans="1:66" s="27" customFormat="1" x14ac:dyDescent="0.2">
      <c r="A69" s="38"/>
      <c r="B69" s="37"/>
      <c r="C69" s="36">
        <f t="shared" si="12"/>
        <v>-159.69230769230768</v>
      </c>
      <c r="D69" s="410" t="s">
        <v>2815</v>
      </c>
      <c r="E69" s="411">
        <f t="shared" si="13"/>
        <v>-1.9961538461538462</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c r="AU69" s="27">
        <v>3.8461538461538451E-3</v>
      </c>
      <c r="AV69" s="27">
        <v>-1</v>
      </c>
      <c r="BN69" s="27">
        <v>-1</v>
      </c>
    </row>
    <row r="70" spans="1:66" s="27" customFormat="1" x14ac:dyDescent="0.2">
      <c r="A70" s="38"/>
      <c r="B70" s="37"/>
      <c r="C70" s="36">
        <f t="shared" si="12"/>
        <v>26.666666666666639</v>
      </c>
      <c r="D70" s="89" t="s">
        <v>2816</v>
      </c>
      <c r="E70" s="36">
        <f t="shared" si="13"/>
        <v>0.33333333333333298</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c r="AV70" s="27">
        <v>0.33333333333333298</v>
      </c>
    </row>
    <row r="71" spans="1:66" s="27" customFormat="1" x14ac:dyDescent="0.2">
      <c r="A71" s="38"/>
      <c r="B71" s="37"/>
      <c r="C71" s="36">
        <f t="shared" si="12"/>
        <v>26.666666666666639</v>
      </c>
      <c r="D71" s="66" t="s">
        <v>2817</v>
      </c>
      <c r="E71" s="36">
        <f t="shared" si="13"/>
        <v>0.33333333333333298</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c r="AV71" s="27">
        <v>0.33333333333333298</v>
      </c>
    </row>
    <row r="72" spans="1:66" s="27" customFormat="1" x14ac:dyDescent="0.2">
      <c r="A72" s="38"/>
      <c r="B72" s="37"/>
      <c r="C72" s="36">
        <f t="shared" si="12"/>
        <v>26.666666666666639</v>
      </c>
      <c r="D72" s="66">
        <v>1995</v>
      </c>
      <c r="E72" s="36">
        <f t="shared" si="13"/>
        <v>0.33333333333333298</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c r="AV72" s="27">
        <v>0.33333333333333298</v>
      </c>
    </row>
    <row r="73" spans="1:66" s="27" customFormat="1" x14ac:dyDescent="0.2">
      <c r="A73" s="38"/>
      <c r="B73" s="37"/>
      <c r="C73" s="86">
        <f t="shared" si="12"/>
        <v>-80</v>
      </c>
      <c r="D73" s="416" t="s">
        <v>1272</v>
      </c>
      <c r="E73" s="413">
        <f t="shared" si="13"/>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c r="AW73" s="27">
        <v>-1</v>
      </c>
    </row>
    <row r="74" spans="1:66" s="27" customFormat="1" ht="24" x14ac:dyDescent="0.2">
      <c r="A74" s="38"/>
      <c r="B74" s="37"/>
      <c r="C74" s="86">
        <f t="shared" si="12"/>
        <v>80</v>
      </c>
      <c r="D74" s="66" t="s">
        <v>1273</v>
      </c>
      <c r="E74" s="86">
        <f t="shared" ref="E74:E137" si="17">SUM(G74:HT74)</f>
        <v>1</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c r="AW74" s="27">
        <v>1</v>
      </c>
    </row>
    <row r="75" spans="1:66" s="27" customFormat="1" ht="24" x14ac:dyDescent="0.2">
      <c r="A75" s="38"/>
      <c r="B75" s="37"/>
      <c r="C75" s="36">
        <f t="shared" si="12"/>
        <v>-80</v>
      </c>
      <c r="D75" s="416" t="s">
        <v>2863</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c r="AX75" s="27">
        <v>-1</v>
      </c>
    </row>
    <row r="76" spans="1:66" s="27" customFormat="1" x14ac:dyDescent="0.2">
      <c r="A76" s="38"/>
      <c r="B76" s="37"/>
      <c r="C76" s="36">
        <f t="shared" si="12"/>
        <v>80</v>
      </c>
      <c r="D76" s="66" t="s">
        <v>230</v>
      </c>
      <c r="E76" s="36">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X76" s="27">
        <v>1</v>
      </c>
    </row>
    <row r="77" spans="1:66" s="27" customFormat="1" x14ac:dyDescent="0.2">
      <c r="A77" s="38"/>
      <c r="B77" s="37"/>
      <c r="C77" s="36">
        <f t="shared" si="12"/>
        <v>-80</v>
      </c>
      <c r="D77" s="417" t="s">
        <v>1374</v>
      </c>
      <c r="E77" s="411">
        <f t="shared" si="17"/>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Y77" s="27">
        <v>-1</v>
      </c>
    </row>
    <row r="78" spans="1:66" s="27" customFormat="1" x14ac:dyDescent="0.2">
      <c r="A78" s="38"/>
      <c r="B78" s="37"/>
      <c r="C78" s="36">
        <f t="shared" si="12"/>
        <v>80</v>
      </c>
      <c r="D78" s="66" t="s">
        <v>1375</v>
      </c>
      <c r="E78" s="36">
        <f t="shared" si="17"/>
        <v>1</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Y78" s="27">
        <v>1</v>
      </c>
    </row>
    <row r="79" spans="1:66" s="27" customFormat="1" x14ac:dyDescent="0.2">
      <c r="A79" s="38"/>
      <c r="B79" s="37"/>
      <c r="C79" s="86">
        <f t="shared" si="12"/>
        <v>0</v>
      </c>
      <c r="D79" s="3" t="s">
        <v>1370</v>
      </c>
      <c r="E79" s="86">
        <f t="shared" si="17"/>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Z79" s="27">
        <v>-1</v>
      </c>
      <c r="BC79" s="27">
        <v>1</v>
      </c>
    </row>
    <row r="80" spans="1:66" s="27" customFormat="1" x14ac:dyDescent="0.2">
      <c r="A80" s="38"/>
      <c r="B80" s="37"/>
      <c r="C80" s="36">
        <f t="shared" si="12"/>
        <v>-40</v>
      </c>
      <c r="D80" s="416" t="s">
        <v>2818</v>
      </c>
      <c r="E80" s="411">
        <f t="shared" si="17"/>
        <v>-0.5</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BA80" s="27">
        <v>-0.5</v>
      </c>
    </row>
    <row r="81" spans="1:68" s="27" customFormat="1" x14ac:dyDescent="0.2">
      <c r="A81" s="38"/>
      <c r="B81" s="37"/>
      <c r="C81" s="86">
        <f t="shared" si="12"/>
        <v>-80</v>
      </c>
      <c r="D81" s="412" t="s">
        <v>1425</v>
      </c>
      <c r="E81" s="413">
        <f t="shared" si="17"/>
        <v>-1</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BB81" s="27">
        <v>-1</v>
      </c>
    </row>
    <row r="82" spans="1:68" s="27" customFormat="1" ht="24" x14ac:dyDescent="0.2">
      <c r="A82" s="38"/>
      <c r="B82" s="37"/>
      <c r="C82" s="36">
        <f t="shared" si="12"/>
        <v>-80</v>
      </c>
      <c r="D82" s="416" t="s">
        <v>2819</v>
      </c>
      <c r="E82" s="411">
        <f t="shared" si="17"/>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BC82" s="27">
        <v>-1</v>
      </c>
    </row>
    <row r="83" spans="1:68" s="27" customFormat="1" ht="24" x14ac:dyDescent="0.2">
      <c r="A83" s="38"/>
      <c r="B83" s="37"/>
      <c r="C83" s="86">
        <f t="shared" si="12"/>
        <v>0</v>
      </c>
      <c r="D83" s="3" t="s">
        <v>1452</v>
      </c>
      <c r="E83" s="86">
        <f t="shared" si="17"/>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68" s="27" customFormat="1" x14ac:dyDescent="0.2">
      <c r="A84" s="38"/>
      <c r="B84" s="37"/>
      <c r="C84" s="36">
        <f t="shared" si="12"/>
        <v>0</v>
      </c>
      <c r="D84" s="66" t="s">
        <v>8734</v>
      </c>
      <c r="E84" s="36">
        <f t="shared" si="17"/>
        <v>0</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68" s="27" customFormat="1" ht="24" x14ac:dyDescent="0.2">
      <c r="A85" s="38"/>
      <c r="B85" s="37"/>
      <c r="C85" s="36">
        <f t="shared" si="12"/>
        <v>-80</v>
      </c>
      <c r="D85" s="416" t="s">
        <v>2820</v>
      </c>
      <c r="E85" s="411">
        <f t="shared" si="17"/>
        <v>-1</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BE85" s="27">
        <v>-1</v>
      </c>
    </row>
    <row r="86" spans="1:68" s="27" customFormat="1" x14ac:dyDescent="0.2">
      <c r="A86" s="38"/>
      <c r="B86" s="37"/>
      <c r="C86" s="36">
        <f t="shared" si="12"/>
        <v>153.33333333333337</v>
      </c>
      <c r="D86" s="66" t="s">
        <v>102</v>
      </c>
      <c r="E86" s="36">
        <f t="shared" si="17"/>
        <v>1.916666666666667</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BE86" s="27">
        <v>1</v>
      </c>
      <c r="BO86" s="27">
        <v>0.91666666666666696</v>
      </c>
    </row>
    <row r="87" spans="1:68" s="27" customFormat="1" x14ac:dyDescent="0.2">
      <c r="A87" s="38"/>
      <c r="B87" s="37"/>
      <c r="C87" s="36">
        <f t="shared" si="12"/>
        <v>40</v>
      </c>
      <c r="D87" s="66" t="s">
        <v>2821</v>
      </c>
      <c r="E87" s="36">
        <f t="shared" si="17"/>
        <v>0.5</v>
      </c>
      <c r="F87" s="35" t="s">
        <v>228</v>
      </c>
      <c r="G87" s="121"/>
      <c r="Q87" s="100"/>
      <c r="R87" s="100"/>
      <c r="AD87" s="100"/>
      <c r="AE87" s="100"/>
      <c r="AF87" s="100"/>
      <c r="AG87" s="100"/>
      <c r="AH87" s="100"/>
      <c r="AI87" s="100"/>
      <c r="AJ87" s="100"/>
      <c r="AL87" s="100"/>
      <c r="AN87" s="100"/>
      <c r="BF87" s="27">
        <v>0.5</v>
      </c>
    </row>
    <row r="88" spans="1:68" s="27" customFormat="1" x14ac:dyDescent="0.2">
      <c r="A88" s="38"/>
      <c r="B88" s="37"/>
      <c r="C88" s="86">
        <f t="shared" si="12"/>
        <v>80</v>
      </c>
      <c r="D88" s="3" t="s">
        <v>2822</v>
      </c>
      <c r="E88" s="86">
        <f t="shared" si="17"/>
        <v>1</v>
      </c>
      <c r="F88" s="35" t="s">
        <v>228</v>
      </c>
      <c r="G88" s="121"/>
      <c r="Q88" s="100"/>
      <c r="R88" s="100"/>
      <c r="AD88" s="100"/>
      <c r="AE88" s="100"/>
      <c r="AF88" s="100"/>
      <c r="AG88" s="100"/>
      <c r="AH88" s="100"/>
      <c r="AI88" s="100"/>
      <c r="AJ88" s="100"/>
      <c r="AL88" s="100"/>
      <c r="AN88" s="100"/>
      <c r="BF88" s="27">
        <v>0.5</v>
      </c>
      <c r="BP88" s="27">
        <v>0.5</v>
      </c>
    </row>
    <row r="89" spans="1:68" s="27" customFormat="1" ht="24" x14ac:dyDescent="0.2">
      <c r="A89" s="38"/>
      <c r="B89" s="37"/>
      <c r="C89" s="36">
        <f t="shared" si="12"/>
        <v>-80</v>
      </c>
      <c r="D89" s="418" t="s">
        <v>2823</v>
      </c>
      <c r="E89" s="411">
        <f t="shared" si="17"/>
        <v>-1</v>
      </c>
      <c r="F89" s="35" t="s">
        <v>228</v>
      </c>
      <c r="G89" s="121"/>
      <c r="Q89" s="100"/>
      <c r="R89" s="100"/>
      <c r="AD89" s="100"/>
      <c r="AE89" s="100"/>
      <c r="AF89" s="100"/>
      <c r="AG89" s="100"/>
      <c r="AH89" s="100"/>
      <c r="AI89" s="100"/>
      <c r="AJ89" s="100"/>
      <c r="AL89" s="100"/>
      <c r="AN89" s="100"/>
      <c r="BG89" s="27">
        <v>-1</v>
      </c>
    </row>
    <row r="90" spans="1:68" s="27" customFormat="1" x14ac:dyDescent="0.2">
      <c r="A90" s="38"/>
      <c r="B90" s="37"/>
      <c r="C90" s="36">
        <f t="shared" si="12"/>
        <v>80</v>
      </c>
      <c r="D90" s="66" t="s">
        <v>1485</v>
      </c>
      <c r="E90" s="86">
        <f t="shared" si="17"/>
        <v>1</v>
      </c>
      <c r="F90" s="35" t="s">
        <v>228</v>
      </c>
      <c r="G90" s="121"/>
      <c r="Q90" s="100"/>
      <c r="R90" s="100"/>
      <c r="AD90" s="100"/>
      <c r="AE90" s="100"/>
      <c r="AF90" s="100"/>
      <c r="AG90" s="100"/>
      <c r="AH90" s="100"/>
      <c r="AI90" s="100"/>
      <c r="AJ90" s="100"/>
      <c r="AL90" s="100"/>
      <c r="AN90" s="100"/>
      <c r="BG90" s="27">
        <v>1</v>
      </c>
    </row>
    <row r="91" spans="1:68" s="27" customFormat="1" x14ac:dyDescent="0.2">
      <c r="A91" s="38"/>
      <c r="B91" s="37"/>
      <c r="C91" s="86">
        <f t="shared" si="12"/>
        <v>0</v>
      </c>
      <c r="D91" s="336" t="s">
        <v>1584</v>
      </c>
      <c r="E91" s="86">
        <f t="shared" si="17"/>
        <v>0</v>
      </c>
      <c r="F91" s="35" t="s">
        <v>228</v>
      </c>
      <c r="G91" s="121"/>
      <c r="Q91" s="100"/>
      <c r="R91" s="100"/>
      <c r="AD91" s="100"/>
      <c r="AE91" s="100"/>
      <c r="AF91" s="100"/>
      <c r="AG91" s="100"/>
      <c r="AH91" s="100"/>
      <c r="AI91" s="100"/>
      <c r="AJ91" s="100"/>
      <c r="AL91" s="100"/>
      <c r="AN91" s="100"/>
    </row>
    <row r="92" spans="1:68" s="27" customFormat="1" x14ac:dyDescent="0.2">
      <c r="A92" s="38"/>
      <c r="B92" s="37"/>
      <c r="C92" s="36">
        <f t="shared" si="12"/>
        <v>0</v>
      </c>
      <c r="D92" s="66" t="s">
        <v>1585</v>
      </c>
      <c r="E92" s="86">
        <f t="shared" si="17"/>
        <v>0</v>
      </c>
      <c r="F92" s="35" t="s">
        <v>228</v>
      </c>
      <c r="G92" s="121"/>
      <c r="Q92" s="100"/>
      <c r="R92" s="100"/>
      <c r="AD92" s="100"/>
      <c r="AE92" s="100"/>
      <c r="AF92" s="100"/>
      <c r="AG92" s="100"/>
      <c r="AH92" s="100"/>
      <c r="AI92" s="100"/>
      <c r="AJ92" s="100"/>
      <c r="AL92" s="100"/>
      <c r="AN92" s="100"/>
    </row>
    <row r="93" spans="1:68" s="27" customFormat="1" x14ac:dyDescent="0.2">
      <c r="A93" s="38"/>
      <c r="B93" s="37"/>
      <c r="C93" s="86">
        <f t="shared" si="12"/>
        <v>0</v>
      </c>
      <c r="D93" s="66" t="s">
        <v>8737</v>
      </c>
      <c r="E93" s="86">
        <f t="shared" si="17"/>
        <v>0</v>
      </c>
      <c r="F93" s="35" t="s">
        <v>228</v>
      </c>
      <c r="G93" s="121"/>
      <c r="Q93" s="100"/>
      <c r="R93" s="100"/>
      <c r="AD93" s="100"/>
      <c r="AE93" s="100"/>
      <c r="AF93" s="100"/>
      <c r="AG93" s="100"/>
      <c r="AH93" s="100"/>
      <c r="AI93" s="100"/>
      <c r="AJ93" s="100"/>
      <c r="AL93" s="100"/>
      <c r="AN93" s="100"/>
    </row>
    <row r="94" spans="1:68" s="27" customFormat="1" x14ac:dyDescent="0.2">
      <c r="A94" s="38"/>
      <c r="B94" s="37"/>
      <c r="C94" s="36">
        <f t="shared" si="12"/>
        <v>0</v>
      </c>
      <c r="D94" s="66" t="s">
        <v>8738</v>
      </c>
      <c r="E94" s="86">
        <f t="shared" si="17"/>
        <v>0</v>
      </c>
      <c r="F94" s="35" t="s">
        <v>228</v>
      </c>
      <c r="G94" s="121"/>
      <c r="Q94" s="100"/>
      <c r="R94" s="100"/>
      <c r="AD94" s="100"/>
      <c r="AE94" s="100"/>
      <c r="AF94" s="100"/>
      <c r="AG94" s="100"/>
      <c r="AH94" s="100"/>
      <c r="AI94" s="100"/>
      <c r="AJ94" s="100"/>
      <c r="AL94" s="100"/>
      <c r="AN94" s="100"/>
    </row>
    <row r="95" spans="1:68" s="27" customFormat="1" x14ac:dyDescent="0.2">
      <c r="A95" s="38"/>
      <c r="B95" s="37"/>
      <c r="C95" s="86">
        <f t="shared" si="12"/>
        <v>-80</v>
      </c>
      <c r="D95" s="416" t="s">
        <v>1597</v>
      </c>
      <c r="E95" s="413">
        <f t="shared" si="17"/>
        <v>-1</v>
      </c>
      <c r="F95" s="35" t="s">
        <v>228</v>
      </c>
      <c r="G95" s="121"/>
      <c r="Q95" s="100"/>
      <c r="R95" s="100"/>
      <c r="AD95" s="100"/>
      <c r="AE95" s="100"/>
      <c r="AF95" s="100"/>
      <c r="AG95" s="100"/>
      <c r="AH95" s="100"/>
      <c r="AI95" s="100"/>
      <c r="AJ95" s="100"/>
      <c r="AL95" s="100"/>
      <c r="AN95" s="100"/>
      <c r="BJ95" s="27">
        <v>-1</v>
      </c>
    </row>
    <row r="96" spans="1:68" s="27" customFormat="1" x14ac:dyDescent="0.2">
      <c r="A96" s="38"/>
      <c r="B96" s="37"/>
      <c r="C96" s="36">
        <f t="shared" si="12"/>
        <v>80</v>
      </c>
      <c r="D96" s="66" t="s">
        <v>1598</v>
      </c>
      <c r="E96" s="36">
        <f t="shared" si="17"/>
        <v>1</v>
      </c>
      <c r="F96" s="35" t="s">
        <v>228</v>
      </c>
      <c r="G96" s="121"/>
      <c r="Q96" s="100"/>
      <c r="R96" s="100"/>
      <c r="AD96" s="100"/>
      <c r="AE96" s="100"/>
      <c r="AF96" s="100"/>
      <c r="AG96" s="100"/>
      <c r="AH96" s="100"/>
      <c r="AI96" s="100"/>
      <c r="AJ96" s="100"/>
      <c r="AL96" s="100"/>
      <c r="AN96" s="100"/>
      <c r="BJ96" s="27">
        <v>1</v>
      </c>
    </row>
    <row r="97" spans="1:71" s="27" customFormat="1" x14ac:dyDescent="0.2">
      <c r="A97" s="38"/>
      <c r="B97" s="37"/>
      <c r="C97" s="36">
        <f t="shared" si="12"/>
        <v>0</v>
      </c>
      <c r="D97" s="66" t="s">
        <v>119</v>
      </c>
      <c r="E97" s="36">
        <f t="shared" si="17"/>
        <v>0</v>
      </c>
      <c r="F97" s="35" t="s">
        <v>228</v>
      </c>
      <c r="G97" s="121"/>
      <c r="Q97" s="100"/>
      <c r="R97" s="100"/>
      <c r="AD97" s="100"/>
      <c r="AE97" s="100"/>
      <c r="AF97" s="100"/>
      <c r="AG97" s="100"/>
      <c r="AH97" s="100"/>
      <c r="AI97" s="100"/>
      <c r="AJ97" s="100"/>
      <c r="AL97" s="100"/>
      <c r="AN97" s="100"/>
    </row>
    <row r="98" spans="1:71" s="27" customFormat="1" x14ac:dyDescent="0.2">
      <c r="A98" s="38"/>
      <c r="B98" s="37"/>
      <c r="C98" s="36">
        <f t="shared" si="12"/>
        <v>0</v>
      </c>
      <c r="D98" s="66" t="s">
        <v>8739</v>
      </c>
      <c r="E98" s="36">
        <f t="shared" si="17"/>
        <v>0</v>
      </c>
      <c r="F98" s="35" t="s">
        <v>228</v>
      </c>
      <c r="G98" s="121"/>
      <c r="Q98" s="100"/>
      <c r="R98" s="100"/>
      <c r="AD98" s="100"/>
      <c r="AE98" s="100"/>
      <c r="AF98" s="100"/>
      <c r="AG98" s="100"/>
      <c r="AH98" s="100"/>
      <c r="AI98" s="100"/>
      <c r="AJ98" s="100"/>
      <c r="AL98" s="100"/>
      <c r="AN98" s="100"/>
    </row>
    <row r="99" spans="1:71" s="27" customFormat="1" x14ac:dyDescent="0.2">
      <c r="A99" s="38"/>
      <c r="B99" s="37"/>
      <c r="C99" s="36">
        <f t="shared" si="12"/>
        <v>-80</v>
      </c>
      <c r="D99" s="412" t="s">
        <v>2824</v>
      </c>
      <c r="E99" s="411">
        <f t="shared" si="17"/>
        <v>-1</v>
      </c>
      <c r="F99" s="35" t="s">
        <v>228</v>
      </c>
      <c r="G99" s="121"/>
      <c r="Q99" s="100"/>
      <c r="R99" s="100"/>
      <c r="AD99" s="100"/>
      <c r="AE99" s="100"/>
      <c r="AF99" s="100"/>
      <c r="AG99" s="100"/>
      <c r="AH99" s="100"/>
      <c r="AI99" s="100"/>
      <c r="AJ99" s="100"/>
      <c r="AL99" s="100"/>
      <c r="AN99" s="100"/>
      <c r="BL99" s="27">
        <v>-1</v>
      </c>
    </row>
    <row r="100" spans="1:71" s="27" customFormat="1" x14ac:dyDescent="0.2">
      <c r="A100" s="38"/>
      <c r="B100" s="37"/>
      <c r="C100" s="36">
        <f t="shared" si="12"/>
        <v>160</v>
      </c>
      <c r="D100" s="3" t="s">
        <v>1615</v>
      </c>
      <c r="E100" s="36">
        <f t="shared" si="17"/>
        <v>2</v>
      </c>
      <c r="F100" s="35" t="s">
        <v>228</v>
      </c>
      <c r="G100" s="121"/>
      <c r="Q100" s="100"/>
      <c r="R100" s="100"/>
      <c r="AD100" s="100"/>
      <c r="AE100" s="100"/>
      <c r="AF100" s="100"/>
      <c r="AG100" s="100"/>
      <c r="AH100" s="100"/>
      <c r="AI100" s="100"/>
      <c r="AJ100" s="100"/>
      <c r="AL100" s="100"/>
      <c r="AN100" s="100"/>
      <c r="BL100" s="27">
        <v>1</v>
      </c>
      <c r="BN100" s="27">
        <v>1</v>
      </c>
    </row>
    <row r="101" spans="1:71" s="27" customFormat="1" x14ac:dyDescent="0.2">
      <c r="A101" s="38"/>
      <c r="B101" s="37"/>
      <c r="C101" s="36">
        <f t="shared" si="12"/>
        <v>-80</v>
      </c>
      <c r="D101" s="419" t="s">
        <v>1697</v>
      </c>
      <c r="E101" s="411">
        <f t="shared" si="17"/>
        <v>-1</v>
      </c>
      <c r="F101" s="35" t="s">
        <v>228</v>
      </c>
      <c r="G101" s="121"/>
      <c r="Q101" s="100"/>
      <c r="R101" s="100"/>
      <c r="AD101" s="100"/>
      <c r="AE101" s="100"/>
      <c r="AF101" s="100"/>
      <c r="AG101" s="100"/>
      <c r="AH101" s="100"/>
      <c r="AI101" s="100"/>
      <c r="AJ101" s="100"/>
      <c r="AL101" s="100"/>
      <c r="AN101" s="100"/>
      <c r="BM101" s="27">
        <v>-1</v>
      </c>
    </row>
    <row r="102" spans="1:71" s="27" customFormat="1" x14ac:dyDescent="0.2">
      <c r="A102" s="38"/>
      <c r="B102" s="37"/>
      <c r="C102" s="36">
        <f t="shared" si="12"/>
        <v>80</v>
      </c>
      <c r="D102" s="20" t="s">
        <v>1698</v>
      </c>
      <c r="E102" s="36">
        <f t="shared" si="17"/>
        <v>1</v>
      </c>
      <c r="F102" s="35" t="s">
        <v>228</v>
      </c>
      <c r="G102" s="121"/>
      <c r="Q102" s="100"/>
      <c r="R102" s="100"/>
      <c r="AD102" s="100"/>
      <c r="AE102" s="100"/>
      <c r="AF102" s="100"/>
      <c r="AG102" s="100"/>
      <c r="AH102" s="100"/>
      <c r="AI102" s="100"/>
      <c r="AJ102" s="100"/>
      <c r="AL102" s="100"/>
      <c r="AN102" s="100"/>
      <c r="BM102" s="27">
        <v>1</v>
      </c>
    </row>
    <row r="103" spans="1:71" s="27" customFormat="1" ht="25.5" x14ac:dyDescent="0.2">
      <c r="A103" s="38"/>
      <c r="B103" s="37"/>
      <c r="C103" s="36">
        <f t="shared" si="12"/>
        <v>-73.333333333333357</v>
      </c>
      <c r="D103" s="419" t="s">
        <v>2825</v>
      </c>
      <c r="E103" s="411">
        <f t="shared" si="17"/>
        <v>-0.91666666666666696</v>
      </c>
      <c r="F103" s="35" t="s">
        <v>228</v>
      </c>
      <c r="G103" s="121"/>
      <c r="Q103" s="100"/>
      <c r="R103" s="100"/>
      <c r="AD103" s="100"/>
      <c r="AE103" s="100"/>
      <c r="AF103" s="100"/>
      <c r="AG103" s="100"/>
      <c r="AH103" s="100"/>
      <c r="AI103" s="100"/>
      <c r="AJ103" s="100"/>
      <c r="AL103" s="100"/>
      <c r="AN103" s="100"/>
      <c r="BO103" s="27">
        <v>-0.91666666666666696</v>
      </c>
    </row>
    <row r="104" spans="1:71" s="27" customFormat="1" x14ac:dyDescent="0.2">
      <c r="A104" s="38"/>
      <c r="B104" s="37"/>
      <c r="C104" s="36">
        <f t="shared" si="12"/>
        <v>-80</v>
      </c>
      <c r="D104" s="420" t="s">
        <v>2070</v>
      </c>
      <c r="E104" s="411">
        <f t="shared" si="17"/>
        <v>-1</v>
      </c>
      <c r="F104" s="35" t="s">
        <v>228</v>
      </c>
      <c r="G104" s="121"/>
      <c r="Q104" s="100"/>
      <c r="R104" s="100"/>
      <c r="AD104" s="100"/>
      <c r="AE104" s="100"/>
      <c r="AF104" s="100"/>
      <c r="AG104" s="100"/>
      <c r="AH104" s="100"/>
      <c r="AI104" s="100"/>
      <c r="AJ104" s="100"/>
      <c r="AL104" s="100"/>
      <c r="AN104" s="100"/>
      <c r="BP104" s="27">
        <v>-1</v>
      </c>
    </row>
    <row r="105" spans="1:71" s="27" customFormat="1" x14ac:dyDescent="0.2">
      <c r="A105" s="38"/>
      <c r="B105" s="37"/>
      <c r="C105" s="36">
        <f t="shared" si="12"/>
        <v>40</v>
      </c>
      <c r="D105" s="20" t="s">
        <v>2864</v>
      </c>
      <c r="E105" s="36">
        <f t="shared" si="17"/>
        <v>0.5</v>
      </c>
      <c r="F105" s="35" t="s">
        <v>228</v>
      </c>
      <c r="G105" s="121"/>
      <c r="Q105" s="100"/>
      <c r="R105" s="100"/>
      <c r="AD105" s="100"/>
      <c r="AE105" s="100"/>
      <c r="AF105" s="100"/>
      <c r="AG105" s="100"/>
      <c r="AH105" s="100"/>
      <c r="AI105" s="100"/>
      <c r="AJ105" s="100"/>
      <c r="AL105" s="100"/>
      <c r="AN105" s="100"/>
      <c r="BP105" s="27">
        <v>0.5</v>
      </c>
    </row>
    <row r="106" spans="1:71" s="27" customFormat="1" x14ac:dyDescent="0.2">
      <c r="A106" s="38"/>
      <c r="B106" s="37"/>
      <c r="C106" s="36">
        <f t="shared" si="12"/>
        <v>-80</v>
      </c>
      <c r="D106" s="419" t="s">
        <v>2084</v>
      </c>
      <c r="E106" s="411">
        <f t="shared" si="17"/>
        <v>-1</v>
      </c>
      <c r="F106" s="35" t="s">
        <v>228</v>
      </c>
      <c r="G106" s="121"/>
      <c r="Q106" s="100"/>
      <c r="R106" s="100"/>
      <c r="AD106" s="100"/>
      <c r="AE106" s="100"/>
      <c r="AF106" s="100"/>
      <c r="AG106" s="100"/>
      <c r="AH106" s="100"/>
      <c r="AI106" s="100"/>
      <c r="AJ106" s="100"/>
      <c r="AL106" s="100"/>
      <c r="AN106" s="100"/>
      <c r="BQ106" s="27">
        <v>-1</v>
      </c>
    </row>
    <row r="107" spans="1:71" s="27" customFormat="1" ht="38.25" x14ac:dyDescent="0.2">
      <c r="A107" s="38"/>
      <c r="B107" s="37"/>
      <c r="C107" s="36">
        <f t="shared" si="12"/>
        <v>53.333333333333279</v>
      </c>
      <c r="D107" s="20" t="s">
        <v>2827</v>
      </c>
      <c r="E107" s="36">
        <f t="shared" si="17"/>
        <v>0.66666666666666596</v>
      </c>
      <c r="F107" s="35" t="s">
        <v>228</v>
      </c>
      <c r="G107" s="121"/>
      <c r="Q107" s="100"/>
      <c r="R107" s="100"/>
      <c r="AD107" s="100"/>
      <c r="AE107" s="100"/>
      <c r="AF107" s="100"/>
      <c r="AG107" s="100"/>
      <c r="AH107" s="100"/>
      <c r="AI107" s="100"/>
      <c r="AJ107" s="100"/>
      <c r="AL107" s="100"/>
      <c r="AN107" s="100"/>
      <c r="BQ107" s="27">
        <v>0.33333333333333298</v>
      </c>
      <c r="BR107" s="27">
        <v>0.33333333333333298</v>
      </c>
    </row>
    <row r="108" spans="1:71" s="27" customFormat="1" ht="38.25" x14ac:dyDescent="0.2">
      <c r="A108" s="38"/>
      <c r="B108" s="37"/>
      <c r="C108" s="36">
        <f t="shared" si="12"/>
        <v>53.333333333333279</v>
      </c>
      <c r="D108" s="20" t="s">
        <v>2828</v>
      </c>
      <c r="E108" s="36">
        <f t="shared" si="17"/>
        <v>0.66666666666666596</v>
      </c>
      <c r="F108" s="35" t="s">
        <v>228</v>
      </c>
      <c r="G108" s="121"/>
      <c r="Q108" s="100"/>
      <c r="R108" s="100"/>
      <c r="AD108" s="100"/>
      <c r="AE108" s="100"/>
      <c r="AF108" s="100"/>
      <c r="AG108" s="100"/>
      <c r="AH108" s="100"/>
      <c r="AI108" s="100"/>
      <c r="AJ108" s="100"/>
      <c r="AL108" s="100"/>
      <c r="AN108" s="100"/>
      <c r="BQ108" s="27">
        <v>0.33333333333333298</v>
      </c>
      <c r="BR108" s="27">
        <v>0.33333333333333298</v>
      </c>
    </row>
    <row r="109" spans="1:71" s="27" customFormat="1" x14ac:dyDescent="0.2">
      <c r="A109" s="38"/>
      <c r="B109" s="37"/>
      <c r="C109" s="36">
        <f t="shared" si="12"/>
        <v>53.333333333333279</v>
      </c>
      <c r="D109" s="20" t="s">
        <v>2829</v>
      </c>
      <c r="E109" s="36">
        <f t="shared" si="17"/>
        <v>0.66666666666666596</v>
      </c>
      <c r="F109" s="35" t="s">
        <v>228</v>
      </c>
      <c r="G109" s="121"/>
      <c r="Q109" s="100"/>
      <c r="R109" s="100"/>
      <c r="AD109" s="100"/>
      <c r="AE109" s="100"/>
      <c r="AF109" s="100"/>
      <c r="AG109" s="100"/>
      <c r="AH109" s="100"/>
      <c r="AI109" s="100"/>
      <c r="AJ109" s="100"/>
      <c r="AL109" s="100"/>
      <c r="AN109" s="100"/>
      <c r="BQ109" s="27">
        <v>0.33333333333333298</v>
      </c>
      <c r="BR109" s="27">
        <v>0.33333333333333298</v>
      </c>
    </row>
    <row r="110" spans="1:71" s="27" customFormat="1" ht="25.5" x14ac:dyDescent="0.2">
      <c r="A110" s="38"/>
      <c r="B110" s="37"/>
      <c r="C110" s="36">
        <f t="shared" si="12"/>
        <v>-80</v>
      </c>
      <c r="D110" s="419" t="s">
        <v>2080</v>
      </c>
      <c r="E110" s="411">
        <f t="shared" si="17"/>
        <v>-1</v>
      </c>
      <c r="F110" s="35" t="s">
        <v>228</v>
      </c>
      <c r="G110" s="121"/>
      <c r="Q110" s="100"/>
      <c r="R110" s="100"/>
      <c r="AD110" s="100"/>
      <c r="AE110" s="100"/>
      <c r="AF110" s="100"/>
      <c r="AG110" s="100"/>
      <c r="AH110" s="100"/>
      <c r="AI110" s="100"/>
      <c r="AJ110" s="100"/>
      <c r="AL110" s="100"/>
      <c r="AN110" s="100"/>
      <c r="BR110" s="27">
        <v>-1</v>
      </c>
    </row>
    <row r="111" spans="1:71" s="27" customFormat="1" x14ac:dyDescent="0.2">
      <c r="A111" s="38"/>
      <c r="B111" s="37"/>
      <c r="C111" s="36">
        <f t="shared" si="12"/>
        <v>-26.666666666666639</v>
      </c>
      <c r="D111" s="419" t="s">
        <v>2830</v>
      </c>
      <c r="E111" s="411">
        <f t="shared" si="17"/>
        <v>-0.33333333333333298</v>
      </c>
      <c r="F111" s="35" t="s">
        <v>228</v>
      </c>
      <c r="G111" s="121"/>
      <c r="Q111" s="100"/>
      <c r="R111" s="100"/>
      <c r="AD111" s="100"/>
      <c r="AE111" s="100"/>
      <c r="AF111" s="100"/>
      <c r="AG111" s="100"/>
      <c r="AH111" s="100"/>
      <c r="AI111" s="100"/>
      <c r="AJ111" s="100"/>
      <c r="AL111" s="100"/>
      <c r="AN111" s="100"/>
      <c r="BS111" s="27">
        <v>-0.33333333333333298</v>
      </c>
    </row>
    <row r="112" spans="1:71" s="27" customFormat="1" ht="25.5" x14ac:dyDescent="0.2">
      <c r="A112" s="38"/>
      <c r="B112" s="37"/>
      <c r="C112" s="36">
        <f t="shared" si="12"/>
        <v>-26.666666666666639</v>
      </c>
      <c r="D112" s="419" t="s">
        <v>2831</v>
      </c>
      <c r="E112" s="411">
        <f t="shared" si="17"/>
        <v>-0.33333333333333298</v>
      </c>
      <c r="F112" s="35" t="s">
        <v>228</v>
      </c>
      <c r="G112" s="121"/>
      <c r="Q112" s="100"/>
      <c r="R112" s="100"/>
      <c r="AD112" s="100"/>
      <c r="AE112" s="100"/>
      <c r="AF112" s="100"/>
      <c r="AG112" s="100"/>
      <c r="AH112" s="100"/>
      <c r="AI112" s="100"/>
      <c r="AJ112" s="100"/>
      <c r="AL112" s="100"/>
      <c r="AN112" s="100"/>
      <c r="BS112" s="27">
        <v>-0.33333333333333298</v>
      </c>
    </row>
    <row r="113" spans="1:78" s="27" customFormat="1" x14ac:dyDescent="0.2">
      <c r="A113" s="38"/>
      <c r="B113" s="37"/>
      <c r="C113" s="36">
        <f t="shared" si="12"/>
        <v>-26.666666666666639</v>
      </c>
      <c r="D113" s="419" t="s">
        <v>2832</v>
      </c>
      <c r="E113" s="411">
        <f t="shared" si="17"/>
        <v>-0.33333333333333298</v>
      </c>
      <c r="F113" s="35" t="s">
        <v>228</v>
      </c>
      <c r="G113" s="121"/>
      <c r="Q113" s="100"/>
      <c r="R113" s="100"/>
      <c r="AD113" s="100"/>
      <c r="AE113" s="100"/>
      <c r="AF113" s="100"/>
      <c r="AG113" s="100"/>
      <c r="AH113" s="100"/>
      <c r="AI113" s="100"/>
      <c r="AJ113" s="100"/>
      <c r="AL113" s="100"/>
      <c r="AN113" s="100"/>
      <c r="BS113" s="27">
        <v>-0.33333333333333298</v>
      </c>
    </row>
    <row r="114" spans="1:78" s="27" customFormat="1" ht="38.25" x14ac:dyDescent="0.2">
      <c r="A114" s="38"/>
      <c r="B114" s="37"/>
      <c r="C114" s="36">
        <f t="shared" si="12"/>
        <v>80</v>
      </c>
      <c r="D114" s="20" t="s">
        <v>2088</v>
      </c>
      <c r="E114" s="36">
        <f t="shared" si="17"/>
        <v>1</v>
      </c>
      <c r="F114" s="35" t="s">
        <v>228</v>
      </c>
      <c r="G114" s="121"/>
      <c r="Q114" s="100"/>
      <c r="R114" s="100"/>
      <c r="AD114" s="100"/>
      <c r="AE114" s="100"/>
      <c r="AF114" s="100"/>
      <c r="AG114" s="100"/>
      <c r="AH114" s="100"/>
      <c r="AI114" s="100"/>
      <c r="AJ114" s="100"/>
      <c r="AL114" s="100"/>
      <c r="AN114" s="100"/>
      <c r="BS114" s="27">
        <v>1</v>
      </c>
    </row>
    <row r="115" spans="1:78" s="27" customFormat="1" ht="38.25" x14ac:dyDescent="0.2">
      <c r="A115" s="38"/>
      <c r="B115" s="37"/>
      <c r="C115" s="36">
        <f t="shared" si="12"/>
        <v>-80</v>
      </c>
      <c r="D115" s="419" t="s">
        <v>2833</v>
      </c>
      <c r="E115" s="411">
        <f t="shared" si="17"/>
        <v>-1</v>
      </c>
      <c r="F115" s="35" t="s">
        <v>228</v>
      </c>
      <c r="G115" s="121"/>
      <c r="Q115" s="100"/>
      <c r="R115" s="100"/>
      <c r="AD115" s="100"/>
      <c r="AE115" s="100"/>
      <c r="AF115" s="100"/>
      <c r="AG115" s="100"/>
      <c r="AH115" s="100"/>
      <c r="AI115" s="100"/>
      <c r="AJ115" s="100"/>
      <c r="AL115" s="100"/>
      <c r="AN115" s="100"/>
      <c r="BT115" s="27">
        <v>-1</v>
      </c>
    </row>
    <row r="116" spans="1:78" s="27" customFormat="1" x14ac:dyDescent="0.2">
      <c r="A116" s="38"/>
      <c r="B116" s="37"/>
      <c r="C116" s="36">
        <f t="shared" si="12"/>
        <v>80</v>
      </c>
      <c r="D116" s="20" t="s">
        <v>186</v>
      </c>
      <c r="E116" s="36">
        <f t="shared" si="17"/>
        <v>1</v>
      </c>
      <c r="F116" s="35" t="s">
        <v>228</v>
      </c>
      <c r="G116" s="121"/>
      <c r="Q116" s="100"/>
      <c r="R116" s="100"/>
      <c r="AD116" s="100"/>
      <c r="AE116" s="100"/>
      <c r="AF116" s="100"/>
      <c r="AG116" s="100"/>
      <c r="AH116" s="100"/>
      <c r="AI116" s="100"/>
      <c r="AJ116" s="100"/>
      <c r="AL116" s="100"/>
      <c r="AN116" s="100"/>
      <c r="BT116" s="27">
        <v>1</v>
      </c>
    </row>
    <row r="117" spans="1:78" s="27" customFormat="1" x14ac:dyDescent="0.2">
      <c r="A117" s="38"/>
      <c r="B117" s="37"/>
      <c r="C117" s="36">
        <f t="shared" si="12"/>
        <v>-33.84615384615384</v>
      </c>
      <c r="D117" s="419" t="s">
        <v>2271</v>
      </c>
      <c r="E117" s="411">
        <f t="shared" si="17"/>
        <v>-0.42307692307692302</v>
      </c>
      <c r="F117" s="35" t="s">
        <v>228</v>
      </c>
      <c r="G117" s="121"/>
      <c r="Q117" s="100"/>
      <c r="R117" s="100"/>
      <c r="AD117" s="100"/>
      <c r="AE117" s="100"/>
      <c r="AF117" s="100"/>
      <c r="AG117" s="100"/>
      <c r="AH117" s="100"/>
      <c r="AI117" s="100"/>
      <c r="AJ117" s="100"/>
      <c r="AL117" s="100"/>
      <c r="AN117" s="100"/>
      <c r="BU117" s="27">
        <v>-0.42307692307692302</v>
      </c>
    </row>
    <row r="118" spans="1:78" s="27" customFormat="1" ht="51" x14ac:dyDescent="0.2">
      <c r="A118" s="38"/>
      <c r="B118" s="37"/>
      <c r="C118" s="36">
        <f t="shared" si="12"/>
        <v>33.84615384615384</v>
      </c>
      <c r="D118" s="20" t="s">
        <v>2834</v>
      </c>
      <c r="E118" s="36">
        <f t="shared" si="17"/>
        <v>0.42307692307692302</v>
      </c>
      <c r="F118" s="35" t="s">
        <v>228</v>
      </c>
      <c r="G118" s="121"/>
      <c r="Q118" s="100"/>
      <c r="R118" s="100"/>
      <c r="AD118" s="100"/>
      <c r="AE118" s="100"/>
      <c r="AF118" s="100"/>
      <c r="AG118" s="100"/>
      <c r="AH118" s="100"/>
      <c r="AI118" s="100"/>
      <c r="AJ118" s="100"/>
      <c r="AL118" s="100"/>
      <c r="AN118" s="100"/>
      <c r="BU118" s="27">
        <v>0.42307692307692302</v>
      </c>
    </row>
    <row r="119" spans="1:78" s="27" customFormat="1" x14ac:dyDescent="0.2">
      <c r="A119" s="38"/>
      <c r="B119" s="37"/>
      <c r="C119" s="36">
        <f t="shared" ref="C119:C175" si="18">E119*D$5</f>
        <v>-80</v>
      </c>
      <c r="D119" s="419" t="s">
        <v>2297</v>
      </c>
      <c r="E119" s="411">
        <f t="shared" si="17"/>
        <v>-1</v>
      </c>
      <c r="F119" s="35" t="s">
        <v>228</v>
      </c>
      <c r="G119" s="121"/>
      <c r="Q119" s="100"/>
      <c r="R119" s="100"/>
      <c r="AD119" s="100"/>
      <c r="AE119" s="100"/>
      <c r="AF119" s="100"/>
      <c r="AG119" s="100"/>
      <c r="AH119" s="100"/>
      <c r="AI119" s="100"/>
      <c r="AJ119" s="100"/>
      <c r="AL119" s="100"/>
      <c r="AN119" s="100"/>
      <c r="BV119" s="27">
        <v>-1</v>
      </c>
    </row>
    <row r="120" spans="1:78" s="27" customFormat="1" ht="25.5" x14ac:dyDescent="0.2">
      <c r="A120" s="38"/>
      <c r="B120" s="37"/>
      <c r="C120" s="36">
        <f t="shared" si="18"/>
        <v>80</v>
      </c>
      <c r="D120" s="20" t="s">
        <v>2298</v>
      </c>
      <c r="E120" s="36">
        <f t="shared" si="17"/>
        <v>1</v>
      </c>
      <c r="F120" s="35" t="s">
        <v>228</v>
      </c>
      <c r="G120" s="121"/>
      <c r="Q120" s="100"/>
      <c r="R120" s="100"/>
      <c r="AD120" s="100"/>
      <c r="AE120" s="100"/>
      <c r="AF120" s="100"/>
      <c r="AG120" s="100"/>
      <c r="AH120" s="100"/>
      <c r="AI120" s="100"/>
      <c r="AJ120" s="100"/>
      <c r="AL120" s="100"/>
      <c r="AN120" s="100"/>
      <c r="BV120" s="27">
        <v>1</v>
      </c>
    </row>
    <row r="121" spans="1:78" s="27" customFormat="1" ht="25.5" x14ac:dyDescent="0.2">
      <c r="A121" s="38"/>
      <c r="B121" s="37"/>
      <c r="C121" s="36">
        <f t="shared" si="18"/>
        <v>-80</v>
      </c>
      <c r="D121" s="419" t="s">
        <v>2302</v>
      </c>
      <c r="E121" s="411">
        <f t="shared" si="17"/>
        <v>-1</v>
      </c>
      <c r="F121" s="35" t="s">
        <v>228</v>
      </c>
      <c r="G121" s="121"/>
      <c r="Q121" s="100"/>
      <c r="R121" s="100"/>
      <c r="AD121" s="100"/>
      <c r="AE121" s="100"/>
      <c r="AF121" s="100"/>
      <c r="AG121" s="100"/>
      <c r="AH121" s="100"/>
      <c r="AI121" s="100"/>
      <c r="AJ121" s="100"/>
      <c r="AL121" s="100"/>
      <c r="AN121" s="100"/>
      <c r="BW121" s="27">
        <v>-1</v>
      </c>
    </row>
    <row r="122" spans="1:78" s="27" customFormat="1" x14ac:dyDescent="0.2">
      <c r="A122" s="38"/>
      <c r="B122" s="37"/>
      <c r="C122" s="36">
        <f t="shared" si="18"/>
        <v>80</v>
      </c>
      <c r="D122" s="20" t="s">
        <v>2303</v>
      </c>
      <c r="E122" s="36">
        <f t="shared" si="17"/>
        <v>1</v>
      </c>
      <c r="F122" s="35" t="s">
        <v>228</v>
      </c>
      <c r="G122" s="121"/>
      <c r="Q122" s="100"/>
      <c r="R122" s="100"/>
      <c r="AD122" s="100"/>
      <c r="AE122" s="100"/>
      <c r="AF122" s="100"/>
      <c r="AG122" s="100"/>
      <c r="AH122" s="100"/>
      <c r="AI122" s="100"/>
      <c r="AJ122" s="100"/>
      <c r="AL122" s="100"/>
      <c r="AN122" s="100"/>
      <c r="BW122" s="27">
        <v>1</v>
      </c>
    </row>
    <row r="123" spans="1:78" s="27" customFormat="1" ht="38.25" x14ac:dyDescent="0.2">
      <c r="A123" s="38"/>
      <c r="B123" s="37"/>
      <c r="C123" s="36">
        <f t="shared" si="18"/>
        <v>-80</v>
      </c>
      <c r="D123" s="419" t="s">
        <v>2419</v>
      </c>
      <c r="E123" s="411">
        <f t="shared" si="17"/>
        <v>-1</v>
      </c>
      <c r="F123" s="35" t="s">
        <v>228</v>
      </c>
      <c r="G123" s="121"/>
      <c r="Q123" s="100"/>
      <c r="R123" s="100"/>
      <c r="AD123" s="100"/>
      <c r="AE123" s="100"/>
      <c r="AF123" s="100"/>
      <c r="AG123" s="100"/>
      <c r="AH123" s="100"/>
      <c r="AI123" s="100"/>
      <c r="AJ123" s="100"/>
      <c r="AL123" s="100"/>
      <c r="AN123" s="100"/>
      <c r="BX123" s="27">
        <v>-1</v>
      </c>
    </row>
    <row r="124" spans="1:78" s="27" customFormat="1" ht="63.75" x14ac:dyDescent="0.2">
      <c r="A124" s="38"/>
      <c r="B124" s="37"/>
      <c r="C124" s="36">
        <f t="shared" si="18"/>
        <v>80</v>
      </c>
      <c r="D124" s="20" t="s">
        <v>2835</v>
      </c>
      <c r="E124" s="36">
        <f t="shared" si="17"/>
        <v>1</v>
      </c>
      <c r="F124" s="35" t="s">
        <v>228</v>
      </c>
      <c r="G124" s="121"/>
      <c r="Q124" s="100"/>
      <c r="R124" s="100"/>
      <c r="AD124" s="100"/>
      <c r="AE124" s="100"/>
      <c r="AF124" s="100"/>
      <c r="AG124" s="100"/>
      <c r="AH124" s="100"/>
      <c r="AI124" s="100"/>
      <c r="AJ124" s="100"/>
      <c r="AL124" s="100"/>
      <c r="AN124" s="100"/>
      <c r="BX124" s="27">
        <v>1</v>
      </c>
    </row>
    <row r="125" spans="1:78" s="27" customFormat="1" x14ac:dyDescent="0.2">
      <c r="A125" s="38"/>
      <c r="B125" s="37"/>
      <c r="C125" s="36">
        <f t="shared" si="18"/>
        <v>-80</v>
      </c>
      <c r="D125" s="419" t="s">
        <v>2865</v>
      </c>
      <c r="E125" s="411">
        <f t="shared" si="17"/>
        <v>-1</v>
      </c>
      <c r="F125" s="35" t="s">
        <v>228</v>
      </c>
      <c r="G125" s="121"/>
      <c r="Q125" s="100"/>
      <c r="R125" s="100"/>
      <c r="AD125" s="100"/>
      <c r="AE125" s="100"/>
      <c r="AF125" s="100"/>
      <c r="AG125" s="100"/>
      <c r="AH125" s="100"/>
      <c r="AI125" s="100"/>
      <c r="AJ125" s="100"/>
      <c r="AL125" s="100"/>
      <c r="AN125" s="100"/>
      <c r="BY125" s="27">
        <v>-1</v>
      </c>
    </row>
    <row r="126" spans="1:78" s="27" customFormat="1" ht="25.5" x14ac:dyDescent="0.2">
      <c r="A126" s="38"/>
      <c r="B126" s="37" t="s">
        <v>156</v>
      </c>
      <c r="C126" s="36">
        <f t="shared" si="18"/>
        <v>80</v>
      </c>
      <c r="D126" s="20" t="s">
        <v>104</v>
      </c>
      <c r="E126" s="36">
        <f t="shared" si="17"/>
        <v>1</v>
      </c>
      <c r="F126" s="35" t="s">
        <v>228</v>
      </c>
      <c r="G126" s="121"/>
      <c r="Q126" s="100"/>
      <c r="R126" s="100"/>
      <c r="AD126" s="100"/>
      <c r="AE126" s="100"/>
      <c r="AF126" s="100"/>
      <c r="AG126" s="100"/>
      <c r="AH126" s="100"/>
      <c r="AI126" s="100"/>
      <c r="AJ126" s="100"/>
      <c r="AL126" s="100"/>
      <c r="AN126" s="100"/>
      <c r="BY126" s="27">
        <v>1</v>
      </c>
    </row>
    <row r="127" spans="1:78" s="27" customFormat="1" x14ac:dyDescent="0.2">
      <c r="A127" s="38"/>
      <c r="B127" s="37"/>
      <c r="C127" s="36">
        <f t="shared" si="18"/>
        <v>-80</v>
      </c>
      <c r="D127" s="419" t="s">
        <v>2837</v>
      </c>
      <c r="E127" s="411">
        <f t="shared" si="17"/>
        <v>-1</v>
      </c>
      <c r="F127" s="35" t="s">
        <v>228</v>
      </c>
      <c r="G127" s="121"/>
      <c r="Q127" s="100"/>
      <c r="R127" s="100"/>
      <c r="AD127" s="100"/>
      <c r="AE127" s="100"/>
      <c r="AF127" s="100"/>
      <c r="AG127" s="100"/>
      <c r="AH127" s="100"/>
      <c r="AI127" s="100"/>
      <c r="AJ127" s="100"/>
      <c r="AL127" s="100"/>
      <c r="AN127" s="100"/>
      <c r="BZ127" s="27">
        <v>-1</v>
      </c>
    </row>
    <row r="128" spans="1:78" s="27" customFormat="1" x14ac:dyDescent="0.2">
      <c r="A128" s="38"/>
      <c r="B128" s="37"/>
      <c r="C128" s="36">
        <f t="shared" si="18"/>
        <v>80</v>
      </c>
      <c r="D128" s="20" t="s">
        <v>2494</v>
      </c>
      <c r="E128" s="36">
        <f t="shared" si="17"/>
        <v>1</v>
      </c>
      <c r="F128" s="35" t="s">
        <v>228</v>
      </c>
      <c r="G128" s="121"/>
      <c r="Q128" s="100"/>
      <c r="R128" s="100"/>
      <c r="AD128" s="100"/>
      <c r="AE128" s="100"/>
      <c r="AF128" s="100"/>
      <c r="AG128" s="100"/>
      <c r="AH128" s="100"/>
      <c r="AI128" s="100"/>
      <c r="AJ128" s="100"/>
      <c r="AL128" s="100"/>
      <c r="AN128" s="100"/>
      <c r="BZ128" s="27">
        <v>1</v>
      </c>
    </row>
    <row r="129" spans="1:80" s="27" customFormat="1" x14ac:dyDescent="0.2">
      <c r="A129" s="38"/>
      <c r="B129" s="37"/>
      <c r="C129" s="36">
        <f t="shared" si="18"/>
        <v>-40</v>
      </c>
      <c r="D129" s="419" t="s">
        <v>598</v>
      </c>
      <c r="E129" s="411">
        <f t="shared" si="17"/>
        <v>-0.5</v>
      </c>
      <c r="F129" s="35" t="s">
        <v>228</v>
      </c>
      <c r="G129" s="121"/>
      <c r="Q129" s="100"/>
      <c r="R129" s="100"/>
      <c r="AD129" s="100"/>
      <c r="AE129" s="100"/>
      <c r="AF129" s="100"/>
      <c r="AG129" s="100"/>
      <c r="AH129" s="100"/>
      <c r="AI129" s="100"/>
      <c r="AJ129" s="100"/>
      <c r="AL129" s="100"/>
      <c r="AN129" s="100"/>
      <c r="CA129" s="27">
        <v>-0.5</v>
      </c>
    </row>
    <row r="130" spans="1:80" s="27" customFormat="1" x14ac:dyDescent="0.2">
      <c r="A130" s="38"/>
      <c r="B130" s="37"/>
      <c r="C130" s="36">
        <f t="shared" si="18"/>
        <v>-80</v>
      </c>
      <c r="D130" s="419" t="s">
        <v>106</v>
      </c>
      <c r="E130" s="411">
        <f t="shared" si="17"/>
        <v>-1</v>
      </c>
      <c r="F130" s="35" t="s">
        <v>228</v>
      </c>
      <c r="G130" s="121"/>
      <c r="Q130" s="100"/>
      <c r="R130" s="100"/>
      <c r="AD130" s="100"/>
      <c r="AE130" s="100"/>
      <c r="AF130" s="100"/>
      <c r="AG130" s="100"/>
      <c r="AH130" s="100"/>
      <c r="AI130" s="100"/>
      <c r="AJ130" s="100"/>
      <c r="AL130" s="100"/>
      <c r="AN130" s="100"/>
      <c r="CB130" s="27">
        <v>-1</v>
      </c>
    </row>
    <row r="131" spans="1:80" s="27" customFormat="1" x14ac:dyDescent="0.2">
      <c r="A131" s="38"/>
      <c r="B131" s="37"/>
      <c r="C131" s="36">
        <f t="shared" si="18"/>
        <v>0</v>
      </c>
      <c r="D131" s="20"/>
      <c r="E131" s="36">
        <f t="shared" si="17"/>
        <v>0</v>
      </c>
      <c r="Q131" s="100"/>
      <c r="R131" s="100"/>
      <c r="AD131" s="100"/>
      <c r="AE131" s="100"/>
      <c r="AF131" s="100"/>
      <c r="AG131" s="100"/>
      <c r="AH131" s="100"/>
      <c r="AI131" s="100"/>
      <c r="AJ131" s="100"/>
      <c r="AL131" s="100"/>
      <c r="AN131" s="100"/>
    </row>
    <row r="132" spans="1:80" s="27" customFormat="1" x14ac:dyDescent="0.2">
      <c r="A132" s="38"/>
      <c r="B132" s="37"/>
      <c r="C132" s="36">
        <f t="shared" si="18"/>
        <v>0</v>
      </c>
      <c r="D132" s="20"/>
      <c r="E132" s="36">
        <f t="shared" si="17"/>
        <v>0</v>
      </c>
      <c r="Q132" s="100"/>
      <c r="R132" s="100"/>
      <c r="AD132" s="100"/>
      <c r="AE132" s="100"/>
      <c r="AF132" s="100"/>
      <c r="AG132" s="100"/>
      <c r="AH132" s="100"/>
      <c r="AI132" s="100"/>
      <c r="AJ132" s="100"/>
      <c r="AL132" s="100"/>
      <c r="AN132" s="100"/>
    </row>
    <row r="133" spans="1:80" s="27" customFormat="1" x14ac:dyDescent="0.2">
      <c r="A133" s="38"/>
      <c r="B133" s="37"/>
      <c r="C133" s="36">
        <f t="shared" si="18"/>
        <v>0</v>
      </c>
      <c r="D133" s="20"/>
      <c r="E133" s="36">
        <f t="shared" si="17"/>
        <v>0</v>
      </c>
      <c r="Q133" s="100"/>
      <c r="R133" s="100"/>
      <c r="AD133" s="100"/>
      <c r="AE133" s="100"/>
      <c r="AF133" s="100"/>
      <c r="AG133" s="100"/>
      <c r="AH133" s="100"/>
      <c r="AI133" s="100"/>
      <c r="AJ133" s="100"/>
      <c r="AL133" s="100"/>
      <c r="AN133" s="100"/>
    </row>
    <row r="134" spans="1:80" s="27" customFormat="1" x14ac:dyDescent="0.2">
      <c r="A134" s="38"/>
      <c r="B134" s="37"/>
      <c r="C134" s="36">
        <f t="shared" si="18"/>
        <v>0</v>
      </c>
      <c r="D134" s="20"/>
      <c r="E134" s="36">
        <f t="shared" si="17"/>
        <v>0</v>
      </c>
      <c r="Q134" s="100"/>
      <c r="R134" s="100"/>
      <c r="AD134" s="100"/>
      <c r="AE134" s="100"/>
      <c r="AF134" s="100"/>
      <c r="AG134" s="100"/>
      <c r="AH134" s="100"/>
      <c r="AI134" s="100"/>
      <c r="AJ134" s="100"/>
      <c r="AL134" s="100"/>
      <c r="AN134" s="100"/>
    </row>
    <row r="135" spans="1:80" s="27" customFormat="1" x14ac:dyDescent="0.2">
      <c r="A135" s="38"/>
      <c r="B135" s="37"/>
      <c r="C135" s="36">
        <f t="shared" si="18"/>
        <v>0</v>
      </c>
      <c r="D135" s="20"/>
      <c r="E135" s="36">
        <f t="shared" si="17"/>
        <v>0</v>
      </c>
      <c r="Q135" s="100"/>
      <c r="R135" s="100"/>
      <c r="AD135" s="100"/>
      <c r="AE135" s="100"/>
      <c r="AF135" s="100"/>
      <c r="AG135" s="100"/>
      <c r="AH135" s="100"/>
      <c r="AI135" s="100"/>
      <c r="AJ135" s="100"/>
      <c r="AL135" s="100"/>
      <c r="AN135" s="100"/>
    </row>
    <row r="136" spans="1:80" s="27" customFormat="1" x14ac:dyDescent="0.2">
      <c r="A136" s="38"/>
      <c r="B136" s="37"/>
      <c r="C136" s="36">
        <f t="shared" si="18"/>
        <v>0</v>
      </c>
      <c r="D136" s="20"/>
      <c r="E136" s="36">
        <f t="shared" si="17"/>
        <v>0</v>
      </c>
      <c r="Q136" s="100"/>
      <c r="R136" s="100"/>
      <c r="AD136" s="100"/>
      <c r="AE136" s="100"/>
      <c r="AF136" s="100"/>
      <c r="AG136" s="100"/>
      <c r="AH136" s="100"/>
      <c r="AI136" s="100"/>
      <c r="AJ136" s="100"/>
      <c r="AL136" s="100"/>
      <c r="AN136" s="100"/>
    </row>
    <row r="137" spans="1:80" s="27" customFormat="1" x14ac:dyDescent="0.2">
      <c r="A137" s="38"/>
      <c r="B137" s="37"/>
      <c r="C137" s="36">
        <f t="shared" si="18"/>
        <v>0</v>
      </c>
      <c r="D137" s="20"/>
      <c r="E137" s="36">
        <f t="shared" si="17"/>
        <v>0</v>
      </c>
      <c r="Q137" s="100"/>
      <c r="R137" s="100"/>
      <c r="AD137" s="100"/>
      <c r="AE137" s="100"/>
      <c r="AF137" s="100"/>
      <c r="AG137" s="100"/>
      <c r="AH137" s="100"/>
      <c r="AI137" s="100"/>
      <c r="AJ137" s="100"/>
      <c r="AL137" s="100"/>
      <c r="AN137" s="100"/>
    </row>
    <row r="138" spans="1:80" s="27" customFormat="1" x14ac:dyDescent="0.2">
      <c r="A138" s="38"/>
      <c r="B138" s="37"/>
      <c r="C138" s="36">
        <f t="shared" si="18"/>
        <v>0</v>
      </c>
      <c r="D138" s="20"/>
      <c r="E138" s="36">
        <f t="shared" ref="E138:E160" si="19">SUM(G138:HT138)</f>
        <v>0</v>
      </c>
      <c r="Q138" s="100"/>
      <c r="R138" s="100"/>
      <c r="AD138" s="100"/>
      <c r="AE138" s="100"/>
      <c r="AF138" s="100"/>
      <c r="AG138" s="100"/>
      <c r="AH138" s="100"/>
      <c r="AI138" s="100"/>
      <c r="AJ138" s="100"/>
      <c r="AL138" s="100"/>
      <c r="AN138" s="100"/>
    </row>
    <row r="139" spans="1:80" s="27" customFormat="1" x14ac:dyDescent="0.2">
      <c r="A139" s="38"/>
      <c r="B139" s="37"/>
      <c r="C139" s="36">
        <f t="shared" si="18"/>
        <v>0</v>
      </c>
      <c r="D139" s="20"/>
      <c r="E139" s="36">
        <f t="shared" si="19"/>
        <v>0</v>
      </c>
      <c r="Q139" s="100"/>
      <c r="R139" s="100"/>
      <c r="AD139" s="100"/>
      <c r="AE139" s="100"/>
      <c r="AF139" s="100"/>
      <c r="AG139" s="100"/>
      <c r="AH139" s="100"/>
      <c r="AI139" s="100"/>
      <c r="AJ139" s="100"/>
      <c r="AL139" s="100"/>
      <c r="AN139" s="100"/>
    </row>
    <row r="140" spans="1:80" s="27" customFormat="1" x14ac:dyDescent="0.2">
      <c r="A140" s="38"/>
      <c r="B140" s="37"/>
      <c r="C140" s="36">
        <f t="shared" si="18"/>
        <v>0</v>
      </c>
      <c r="D140" s="20"/>
      <c r="E140" s="36">
        <f t="shared" si="19"/>
        <v>0</v>
      </c>
      <c r="Q140" s="100"/>
      <c r="R140" s="100"/>
      <c r="AD140" s="100"/>
      <c r="AE140" s="100"/>
      <c r="AF140" s="100"/>
      <c r="AG140" s="100"/>
      <c r="AH140" s="100"/>
      <c r="AI140" s="100"/>
      <c r="AJ140" s="100"/>
      <c r="AL140" s="100"/>
      <c r="AN140" s="100"/>
    </row>
    <row r="141" spans="1:80" s="27" customFormat="1" x14ac:dyDescent="0.2">
      <c r="A141" s="38"/>
      <c r="B141" s="37"/>
      <c r="C141" s="36">
        <f t="shared" si="18"/>
        <v>0</v>
      </c>
      <c r="D141" s="20"/>
      <c r="E141" s="36">
        <f t="shared" si="19"/>
        <v>0</v>
      </c>
      <c r="Q141" s="100"/>
      <c r="R141" s="100"/>
      <c r="AD141" s="100"/>
      <c r="AE141" s="100"/>
      <c r="AF141" s="100"/>
      <c r="AG141" s="100"/>
      <c r="AH141" s="100"/>
      <c r="AI141" s="100"/>
      <c r="AJ141" s="100"/>
      <c r="AL141" s="100"/>
      <c r="AN141" s="100"/>
    </row>
    <row r="142" spans="1:80" s="27" customFormat="1" x14ac:dyDescent="0.2">
      <c r="A142" s="38"/>
      <c r="B142" s="37"/>
      <c r="C142" s="36">
        <f t="shared" si="18"/>
        <v>0</v>
      </c>
      <c r="D142" s="20"/>
      <c r="E142" s="36">
        <f t="shared" si="19"/>
        <v>0</v>
      </c>
      <c r="Q142" s="100"/>
      <c r="R142" s="100"/>
      <c r="AD142" s="100"/>
      <c r="AE142" s="100"/>
      <c r="AF142" s="100"/>
      <c r="AG142" s="100"/>
      <c r="AH142" s="100"/>
      <c r="AI142" s="100"/>
      <c r="AJ142" s="100"/>
      <c r="AL142" s="100"/>
      <c r="AN142" s="100"/>
    </row>
    <row r="143" spans="1:80" s="27" customFormat="1" x14ac:dyDescent="0.2">
      <c r="A143" s="38"/>
      <c r="B143" s="37"/>
      <c r="C143" s="36">
        <f t="shared" si="18"/>
        <v>0</v>
      </c>
      <c r="D143" s="20"/>
      <c r="E143" s="36">
        <f t="shared" si="19"/>
        <v>0</v>
      </c>
      <c r="Q143" s="100"/>
      <c r="R143" s="100"/>
      <c r="AD143" s="100"/>
      <c r="AE143" s="100"/>
      <c r="AF143" s="100"/>
      <c r="AG143" s="100"/>
      <c r="AH143" s="100"/>
      <c r="AI143" s="100"/>
      <c r="AJ143" s="100"/>
      <c r="AL143" s="100"/>
      <c r="AN143" s="100"/>
    </row>
    <row r="144" spans="1:80" s="27" customFormat="1" x14ac:dyDescent="0.2">
      <c r="A144" s="38"/>
      <c r="B144" s="37"/>
      <c r="C144" s="36">
        <f t="shared" si="18"/>
        <v>0</v>
      </c>
      <c r="D144" s="20"/>
      <c r="E144" s="36">
        <f t="shared" si="19"/>
        <v>0</v>
      </c>
      <c r="Q144" s="100"/>
      <c r="R144" s="100"/>
      <c r="AD144" s="100"/>
      <c r="AE144" s="100"/>
      <c r="AF144" s="100"/>
      <c r="AG144" s="100"/>
      <c r="AH144" s="100"/>
      <c r="AI144" s="100"/>
      <c r="AJ144" s="100"/>
      <c r="AL144" s="100"/>
      <c r="AN144" s="100"/>
    </row>
    <row r="145" spans="1:40" s="27" customFormat="1" x14ac:dyDescent="0.2">
      <c r="A145" s="38"/>
      <c r="B145" s="37"/>
      <c r="C145" s="36">
        <f t="shared" si="18"/>
        <v>0</v>
      </c>
      <c r="D145" s="20"/>
      <c r="E145" s="36">
        <f t="shared" si="19"/>
        <v>0</v>
      </c>
      <c r="Q145" s="100"/>
      <c r="R145" s="100"/>
      <c r="AD145" s="100"/>
      <c r="AE145" s="100"/>
      <c r="AF145" s="100"/>
      <c r="AG145" s="100"/>
      <c r="AH145" s="100"/>
      <c r="AI145" s="100"/>
      <c r="AJ145" s="100"/>
      <c r="AL145" s="100"/>
      <c r="AN145" s="100"/>
    </row>
    <row r="146" spans="1:40" s="27" customFormat="1" x14ac:dyDescent="0.2">
      <c r="A146" s="38"/>
      <c r="B146" s="37"/>
      <c r="C146" s="36">
        <f t="shared" si="18"/>
        <v>0</v>
      </c>
      <c r="D146" s="20"/>
      <c r="E146" s="36">
        <f t="shared" si="19"/>
        <v>0</v>
      </c>
      <c r="Q146" s="100"/>
      <c r="R146" s="100"/>
      <c r="AD146" s="100"/>
      <c r="AE146" s="100"/>
      <c r="AF146" s="100"/>
      <c r="AG146" s="100"/>
      <c r="AH146" s="100"/>
      <c r="AI146" s="100"/>
      <c r="AJ146" s="100"/>
      <c r="AL146" s="100"/>
      <c r="AN146" s="100"/>
    </row>
    <row r="147" spans="1:40" s="27" customFormat="1" x14ac:dyDescent="0.2">
      <c r="A147" s="38"/>
      <c r="B147" s="37"/>
      <c r="C147" s="36">
        <f t="shared" si="18"/>
        <v>0</v>
      </c>
      <c r="D147" s="20"/>
      <c r="E147" s="36">
        <f t="shared" si="19"/>
        <v>0</v>
      </c>
      <c r="Q147" s="100"/>
      <c r="R147" s="100"/>
      <c r="AD147" s="100"/>
      <c r="AE147" s="100"/>
      <c r="AF147" s="100"/>
      <c r="AG147" s="100"/>
      <c r="AH147" s="100"/>
      <c r="AI147" s="100"/>
      <c r="AJ147" s="100"/>
      <c r="AL147" s="100"/>
      <c r="AN147" s="100"/>
    </row>
    <row r="148" spans="1:40" s="27" customFormat="1" x14ac:dyDescent="0.2">
      <c r="A148" s="38"/>
      <c r="B148" s="37"/>
      <c r="C148" s="36">
        <f t="shared" si="18"/>
        <v>0</v>
      </c>
      <c r="D148" s="20"/>
      <c r="E148" s="36">
        <f t="shared" si="19"/>
        <v>0</v>
      </c>
      <c r="Q148" s="100"/>
      <c r="R148" s="100"/>
      <c r="AD148" s="100"/>
      <c r="AE148" s="100"/>
      <c r="AF148" s="100"/>
      <c r="AG148" s="100"/>
      <c r="AH148" s="100"/>
      <c r="AI148" s="100"/>
      <c r="AJ148" s="100"/>
      <c r="AL148" s="100"/>
      <c r="AN148" s="100"/>
    </row>
    <row r="149" spans="1:40" s="27" customFormat="1" x14ac:dyDescent="0.2">
      <c r="A149" s="38"/>
      <c r="B149" s="37"/>
      <c r="C149" s="36">
        <f t="shared" si="18"/>
        <v>0</v>
      </c>
      <c r="D149" s="20"/>
      <c r="E149" s="36">
        <f t="shared" si="19"/>
        <v>0</v>
      </c>
      <c r="Q149" s="100"/>
      <c r="R149" s="100"/>
      <c r="AD149" s="100"/>
      <c r="AE149" s="100"/>
      <c r="AF149" s="100"/>
      <c r="AG149" s="100"/>
      <c r="AH149" s="100"/>
      <c r="AI149" s="100"/>
      <c r="AJ149" s="100"/>
      <c r="AL149" s="100"/>
      <c r="AN149" s="100"/>
    </row>
    <row r="150" spans="1:40" s="27" customFormat="1" x14ac:dyDescent="0.2">
      <c r="A150" s="38"/>
      <c r="B150" s="37"/>
      <c r="C150" s="36">
        <f t="shared" si="18"/>
        <v>0</v>
      </c>
      <c r="D150" s="20"/>
      <c r="E150" s="36">
        <f t="shared" si="19"/>
        <v>0</v>
      </c>
      <c r="Q150" s="100"/>
      <c r="R150" s="100"/>
      <c r="AD150" s="100"/>
      <c r="AE150" s="100"/>
      <c r="AF150" s="100"/>
      <c r="AG150" s="100"/>
      <c r="AH150" s="100"/>
      <c r="AI150" s="100"/>
      <c r="AJ150" s="100"/>
      <c r="AL150" s="100"/>
      <c r="AN150" s="100"/>
    </row>
    <row r="151" spans="1:40" s="27" customFormat="1" x14ac:dyDescent="0.2">
      <c r="A151" s="38"/>
      <c r="B151" s="37"/>
      <c r="C151" s="36">
        <f t="shared" si="18"/>
        <v>0</v>
      </c>
      <c r="D151" s="20"/>
      <c r="E151" s="36">
        <f t="shared" si="19"/>
        <v>0</v>
      </c>
      <c r="Q151" s="100"/>
      <c r="R151" s="100"/>
      <c r="AD151" s="100"/>
      <c r="AE151" s="100"/>
      <c r="AF151" s="100"/>
      <c r="AG151" s="100"/>
      <c r="AH151" s="100"/>
      <c r="AI151" s="100"/>
      <c r="AJ151" s="100"/>
      <c r="AL151" s="100"/>
      <c r="AN151" s="100"/>
    </row>
    <row r="152" spans="1:40" s="27" customFormat="1" x14ac:dyDescent="0.2">
      <c r="A152" s="38"/>
      <c r="B152" s="37"/>
      <c r="C152" s="36">
        <f t="shared" si="18"/>
        <v>0</v>
      </c>
      <c r="D152" s="20"/>
      <c r="E152" s="36">
        <f t="shared" si="19"/>
        <v>0</v>
      </c>
      <c r="Q152" s="100"/>
      <c r="R152" s="100"/>
      <c r="AD152" s="100"/>
      <c r="AE152" s="100"/>
      <c r="AF152" s="100"/>
      <c r="AG152" s="100"/>
      <c r="AH152" s="100"/>
      <c r="AI152" s="100"/>
      <c r="AJ152" s="100"/>
      <c r="AL152" s="100"/>
      <c r="AN152" s="100"/>
    </row>
    <row r="153" spans="1:40" s="27" customFormat="1" x14ac:dyDescent="0.2">
      <c r="A153" s="38"/>
      <c r="B153" s="37"/>
      <c r="C153" s="36">
        <f t="shared" si="18"/>
        <v>0</v>
      </c>
      <c r="D153" s="20"/>
      <c r="E153" s="36">
        <f t="shared" si="19"/>
        <v>0</v>
      </c>
      <c r="Q153" s="100"/>
      <c r="R153" s="100"/>
      <c r="AD153" s="100"/>
      <c r="AE153" s="100"/>
      <c r="AF153" s="100"/>
      <c r="AG153" s="100"/>
      <c r="AH153" s="100"/>
      <c r="AI153" s="100"/>
      <c r="AJ153" s="100"/>
      <c r="AL153" s="100"/>
      <c r="AN153" s="100"/>
    </row>
    <row r="154" spans="1:40" s="27" customFormat="1" x14ac:dyDescent="0.2">
      <c r="A154" s="38"/>
      <c r="B154" s="37"/>
      <c r="C154" s="36">
        <f t="shared" si="18"/>
        <v>0</v>
      </c>
      <c r="D154" s="20"/>
      <c r="E154" s="36">
        <f t="shared" si="19"/>
        <v>0</v>
      </c>
      <c r="Q154" s="100"/>
      <c r="R154" s="100"/>
      <c r="AD154" s="100"/>
      <c r="AE154" s="100"/>
      <c r="AF154" s="100"/>
      <c r="AG154" s="100"/>
      <c r="AH154" s="100"/>
      <c r="AI154" s="100"/>
      <c r="AJ154" s="100"/>
      <c r="AL154" s="100"/>
      <c r="AN154" s="100"/>
    </row>
    <row r="155" spans="1:40" s="27" customFormat="1" x14ac:dyDescent="0.2">
      <c r="A155" s="38"/>
      <c r="B155" s="37"/>
      <c r="C155" s="36">
        <f t="shared" si="18"/>
        <v>0</v>
      </c>
      <c r="D155" s="20"/>
      <c r="E155" s="36">
        <f t="shared" si="19"/>
        <v>0</v>
      </c>
      <c r="Q155" s="100"/>
      <c r="R155" s="100"/>
      <c r="AD155" s="100"/>
      <c r="AE155" s="100"/>
      <c r="AF155" s="100"/>
      <c r="AG155" s="100"/>
      <c r="AH155" s="100"/>
      <c r="AI155" s="100"/>
      <c r="AJ155" s="100"/>
      <c r="AL155" s="100"/>
      <c r="AN155" s="100"/>
    </row>
    <row r="156" spans="1:40" s="27" customFormat="1" x14ac:dyDescent="0.2">
      <c r="A156" s="38"/>
      <c r="B156" s="37"/>
      <c r="C156" s="36">
        <f t="shared" si="18"/>
        <v>0</v>
      </c>
      <c r="D156" s="20"/>
      <c r="E156" s="36">
        <f t="shared" si="19"/>
        <v>0</v>
      </c>
      <c r="Q156" s="100"/>
      <c r="R156" s="100"/>
      <c r="AD156" s="100"/>
      <c r="AE156" s="100"/>
      <c r="AF156" s="100"/>
      <c r="AG156" s="100"/>
      <c r="AH156" s="100"/>
      <c r="AI156" s="100"/>
      <c r="AJ156" s="100"/>
      <c r="AL156" s="100"/>
      <c r="AN156" s="100"/>
    </row>
    <row r="157" spans="1:40" s="27" customFormat="1" x14ac:dyDescent="0.2">
      <c r="A157" s="38"/>
      <c r="B157" s="37"/>
      <c r="C157" s="36">
        <f t="shared" si="18"/>
        <v>0</v>
      </c>
      <c r="D157" s="20"/>
      <c r="E157" s="36">
        <f t="shared" si="19"/>
        <v>0</v>
      </c>
      <c r="Q157" s="100"/>
      <c r="R157" s="100"/>
      <c r="AD157" s="100"/>
      <c r="AE157" s="100"/>
      <c r="AF157" s="100"/>
      <c r="AG157" s="100"/>
      <c r="AH157" s="100"/>
      <c r="AI157" s="100"/>
      <c r="AJ157" s="100"/>
      <c r="AL157" s="100"/>
      <c r="AN157" s="100"/>
    </row>
    <row r="158" spans="1:40" s="27" customFormat="1" x14ac:dyDescent="0.2">
      <c r="A158" s="38"/>
      <c r="B158" s="37"/>
      <c r="C158" s="36">
        <f t="shared" si="18"/>
        <v>0</v>
      </c>
      <c r="D158" s="20"/>
      <c r="E158" s="36">
        <f t="shared" si="19"/>
        <v>0</v>
      </c>
      <c r="Q158" s="100"/>
      <c r="R158" s="100"/>
      <c r="AD158" s="100"/>
      <c r="AE158" s="100"/>
      <c r="AF158" s="100"/>
      <c r="AG158" s="100"/>
      <c r="AH158" s="100"/>
      <c r="AI158" s="100"/>
      <c r="AJ158" s="100"/>
      <c r="AL158" s="100"/>
      <c r="AN158" s="100"/>
    </row>
    <row r="159" spans="1:40" s="27" customFormat="1" x14ac:dyDescent="0.2">
      <c r="A159" s="38"/>
      <c r="B159" s="37"/>
      <c r="C159" s="36">
        <f t="shared" si="18"/>
        <v>0</v>
      </c>
      <c r="D159" s="20"/>
      <c r="E159" s="36">
        <f t="shared" si="19"/>
        <v>0</v>
      </c>
      <c r="Q159" s="100"/>
      <c r="R159" s="100"/>
      <c r="AD159" s="100"/>
      <c r="AE159" s="100"/>
      <c r="AF159" s="100"/>
      <c r="AG159" s="100"/>
      <c r="AH159" s="100"/>
      <c r="AI159" s="100"/>
      <c r="AJ159" s="100"/>
      <c r="AL159" s="100"/>
      <c r="AN159" s="100"/>
    </row>
    <row r="160" spans="1:40" s="27" customFormat="1" x14ac:dyDescent="0.2">
      <c r="A160" s="38"/>
      <c r="B160" s="37"/>
      <c r="C160" s="36">
        <f t="shared" si="18"/>
        <v>0</v>
      </c>
      <c r="D160" s="20"/>
      <c r="E160" s="36">
        <f t="shared" si="19"/>
        <v>0</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c r="Q175" s="100"/>
      <c r="R175" s="100"/>
      <c r="AD175" s="100"/>
      <c r="AE175" s="100"/>
      <c r="AF175" s="100"/>
      <c r="AG175" s="100"/>
      <c r="AH175" s="100"/>
      <c r="AI175" s="100"/>
      <c r="AJ175" s="100"/>
      <c r="AL175" s="100"/>
      <c r="AN175" s="100"/>
    </row>
    <row r="176" spans="1:40" s="27" customFormat="1" x14ac:dyDescent="0.2">
      <c r="A176" s="38"/>
      <c r="B176" s="37"/>
      <c r="C176" s="36"/>
      <c r="D176" s="20"/>
      <c r="E176" s="36"/>
      <c r="Q176" s="100"/>
      <c r="R176" s="100"/>
      <c r="AD176" s="100"/>
      <c r="AE176" s="100"/>
      <c r="AF176" s="100"/>
      <c r="AG176" s="100"/>
      <c r="AH176" s="100"/>
      <c r="AI176" s="100"/>
      <c r="AJ176" s="100"/>
      <c r="AL176" s="100"/>
      <c r="AN176" s="100"/>
    </row>
    <row r="177" spans="1:40" s="27" customFormat="1" x14ac:dyDescent="0.2">
      <c r="A177" s="38"/>
      <c r="B177" s="37"/>
      <c r="C177" s="36"/>
      <c r="D177" s="20"/>
      <c r="E177" s="36"/>
      <c r="Q177" s="100"/>
      <c r="R177" s="100"/>
      <c r="AD177" s="100"/>
      <c r="AE177" s="100"/>
      <c r="AF177" s="100"/>
      <c r="AG177" s="100"/>
      <c r="AH177" s="100"/>
      <c r="AI177" s="100"/>
      <c r="AJ177" s="100"/>
      <c r="AL177" s="100"/>
      <c r="AN177" s="100"/>
    </row>
    <row r="178" spans="1:40" s="27" customFormat="1" x14ac:dyDescent="0.2">
      <c r="A178" s="38"/>
      <c r="B178" s="37"/>
      <c r="C178" s="36"/>
      <c r="D178" s="20"/>
      <c r="E178" s="36"/>
      <c r="Q178" s="100"/>
      <c r="R178" s="100"/>
      <c r="AD178" s="100"/>
      <c r="AE178" s="100"/>
      <c r="AF178" s="100"/>
      <c r="AG178" s="100"/>
      <c r="AH178" s="100"/>
      <c r="AI178" s="100"/>
      <c r="AJ178" s="100"/>
      <c r="AL178" s="100"/>
      <c r="AN178" s="100"/>
    </row>
    <row r="179" spans="1:40" s="27" customFormat="1" x14ac:dyDescent="0.2">
      <c r="A179" s="38"/>
      <c r="B179" s="37"/>
      <c r="C179" s="36">
        <f t="shared" ref="C179:C203" si="20">E179*D$5</f>
        <v>0</v>
      </c>
      <c r="D179" s="20"/>
      <c r="E179" s="36">
        <f t="shared" ref="E179:E197" si="21">SUM(G179:HS179)</f>
        <v>0</v>
      </c>
      <c r="Q179" s="100"/>
      <c r="R179" s="100"/>
      <c r="AD179" s="100"/>
      <c r="AE179" s="100"/>
      <c r="AF179" s="100"/>
      <c r="AG179" s="100"/>
      <c r="AH179" s="100"/>
      <c r="AI179" s="100"/>
      <c r="AJ179" s="100"/>
      <c r="AL179" s="100"/>
      <c r="AN179" s="100"/>
    </row>
    <row r="180" spans="1:40" s="27" customFormat="1" x14ac:dyDescent="0.2">
      <c r="A180" s="38"/>
      <c r="B180" s="37"/>
      <c r="C180" s="36">
        <f t="shared" si="20"/>
        <v>0</v>
      </c>
      <c r="D180" s="20"/>
      <c r="E180" s="36">
        <f t="shared" si="21"/>
        <v>0</v>
      </c>
      <c r="Q180" s="100"/>
      <c r="R180" s="100"/>
      <c r="AD180" s="100"/>
      <c r="AE180" s="100"/>
      <c r="AF180" s="100"/>
      <c r="AG180" s="100"/>
      <c r="AH180" s="100"/>
      <c r="AI180" s="100"/>
      <c r="AJ180" s="100"/>
      <c r="AL180" s="100"/>
      <c r="AN180" s="100"/>
    </row>
    <row r="181" spans="1:40" s="27" customFormat="1" x14ac:dyDescent="0.2">
      <c r="A181" s="38"/>
      <c r="B181" s="37"/>
      <c r="C181" s="36">
        <f t="shared" si="20"/>
        <v>0</v>
      </c>
      <c r="D181" s="20"/>
      <c r="E181" s="36">
        <f t="shared" si="21"/>
        <v>0</v>
      </c>
      <c r="Q181" s="100"/>
      <c r="R181" s="100"/>
      <c r="AD181" s="100"/>
      <c r="AE181" s="100"/>
      <c r="AF181" s="100"/>
      <c r="AG181" s="100"/>
      <c r="AH181" s="100"/>
      <c r="AI181" s="100"/>
      <c r="AJ181" s="100"/>
      <c r="AL181" s="100"/>
      <c r="AN181" s="100"/>
    </row>
    <row r="182" spans="1:40" s="27" customFormat="1" x14ac:dyDescent="0.2">
      <c r="A182" s="38"/>
      <c r="B182" s="37"/>
      <c r="C182" s="36">
        <f t="shared" si="20"/>
        <v>0</v>
      </c>
      <c r="D182" s="20"/>
      <c r="E182" s="36">
        <f t="shared" si="21"/>
        <v>0</v>
      </c>
      <c r="Q182" s="100"/>
      <c r="R182" s="100"/>
      <c r="AD182" s="100"/>
      <c r="AE182" s="100"/>
      <c r="AF182" s="100"/>
      <c r="AG182" s="100"/>
      <c r="AH182" s="100"/>
      <c r="AI182" s="100"/>
      <c r="AJ182" s="100"/>
      <c r="AL182" s="100"/>
      <c r="AN182" s="100"/>
    </row>
    <row r="183" spans="1:40" s="27" customFormat="1" x14ac:dyDescent="0.2">
      <c r="A183" s="38"/>
      <c r="B183" s="37"/>
      <c r="C183" s="36">
        <f t="shared" si="20"/>
        <v>0</v>
      </c>
      <c r="D183" s="20"/>
      <c r="E183" s="36">
        <f t="shared" si="21"/>
        <v>0</v>
      </c>
      <c r="Q183" s="100"/>
      <c r="R183" s="100"/>
      <c r="AD183" s="100"/>
      <c r="AE183" s="100"/>
      <c r="AF183" s="100"/>
      <c r="AG183" s="100"/>
      <c r="AH183" s="100"/>
      <c r="AI183" s="100"/>
      <c r="AJ183" s="100"/>
      <c r="AL183" s="100"/>
      <c r="AN183" s="100"/>
    </row>
    <row r="184" spans="1:40" s="27" customFormat="1" x14ac:dyDescent="0.2">
      <c r="A184" s="38"/>
      <c r="B184" s="37"/>
      <c r="C184" s="36">
        <f t="shared" si="20"/>
        <v>0</v>
      </c>
      <c r="D184" s="20"/>
      <c r="E184" s="36">
        <f t="shared" si="21"/>
        <v>0</v>
      </c>
      <c r="Q184" s="100"/>
      <c r="R184" s="100"/>
      <c r="AD184" s="100"/>
      <c r="AE184" s="100"/>
      <c r="AF184" s="100"/>
      <c r="AG184" s="100"/>
      <c r="AH184" s="100"/>
      <c r="AI184" s="100"/>
      <c r="AJ184" s="100"/>
      <c r="AL184" s="100"/>
      <c r="AN184" s="100"/>
    </row>
    <row r="185" spans="1:40" s="27" customFormat="1" x14ac:dyDescent="0.2">
      <c r="A185" s="38"/>
      <c r="B185" s="37"/>
      <c r="C185" s="36">
        <f t="shared" si="20"/>
        <v>0</v>
      </c>
      <c r="D185" s="20"/>
      <c r="E185" s="36">
        <f t="shared" si="21"/>
        <v>0</v>
      </c>
      <c r="Q185" s="100"/>
      <c r="R185" s="100"/>
      <c r="AD185" s="100"/>
      <c r="AE185" s="100"/>
      <c r="AF185" s="100"/>
      <c r="AG185" s="100"/>
      <c r="AH185" s="100"/>
      <c r="AI185" s="100"/>
      <c r="AJ185" s="100"/>
      <c r="AL185" s="100"/>
      <c r="AN185" s="100"/>
    </row>
    <row r="186" spans="1:40" s="27" customFormat="1" x14ac:dyDescent="0.2">
      <c r="A186" s="38"/>
      <c r="B186" s="37"/>
      <c r="C186" s="36">
        <f t="shared" si="20"/>
        <v>0</v>
      </c>
      <c r="D186" s="20"/>
      <c r="E186" s="36">
        <f t="shared" si="21"/>
        <v>0</v>
      </c>
      <c r="Q186" s="100"/>
      <c r="R186" s="100"/>
      <c r="AD186" s="100"/>
      <c r="AE186" s="100"/>
      <c r="AF186" s="100"/>
      <c r="AG186" s="100"/>
      <c r="AH186" s="100"/>
      <c r="AI186" s="100"/>
      <c r="AJ186" s="100"/>
      <c r="AL186" s="100"/>
      <c r="AN186" s="100"/>
    </row>
    <row r="187" spans="1:40" s="27" customFormat="1" x14ac:dyDescent="0.2">
      <c r="A187" s="38"/>
      <c r="B187" s="37"/>
      <c r="C187" s="36">
        <f t="shared" si="20"/>
        <v>0</v>
      </c>
      <c r="D187" s="20"/>
      <c r="E187" s="36">
        <f t="shared" si="21"/>
        <v>0</v>
      </c>
      <c r="Q187" s="100"/>
      <c r="R187" s="100"/>
      <c r="AD187" s="100"/>
      <c r="AE187" s="100"/>
      <c r="AF187" s="100"/>
      <c r="AG187" s="100"/>
      <c r="AH187" s="100"/>
      <c r="AI187" s="100"/>
      <c r="AJ187" s="100"/>
      <c r="AL187" s="100"/>
      <c r="AN187" s="100"/>
    </row>
    <row r="188" spans="1:40" s="27" customFormat="1" x14ac:dyDescent="0.2">
      <c r="A188" s="38"/>
      <c r="B188" s="37"/>
      <c r="C188" s="36">
        <f t="shared" si="20"/>
        <v>0</v>
      </c>
      <c r="D188" s="20"/>
      <c r="E188" s="36">
        <f t="shared" si="21"/>
        <v>0</v>
      </c>
      <c r="Q188" s="100"/>
      <c r="R188" s="100"/>
      <c r="AD188" s="100"/>
      <c r="AE188" s="100"/>
      <c r="AF188" s="100"/>
      <c r="AG188" s="100"/>
      <c r="AH188" s="100"/>
      <c r="AI188" s="100"/>
      <c r="AJ188" s="100"/>
      <c r="AL188" s="100"/>
      <c r="AN188" s="100"/>
    </row>
    <row r="189" spans="1:40" s="27" customFormat="1" x14ac:dyDescent="0.2">
      <c r="A189" s="38"/>
      <c r="B189" s="37"/>
      <c r="C189" s="36">
        <f t="shared" si="20"/>
        <v>0</v>
      </c>
      <c r="D189" s="20"/>
      <c r="E189" s="36">
        <f t="shared" si="21"/>
        <v>0</v>
      </c>
      <c r="Q189" s="100"/>
      <c r="R189" s="100"/>
      <c r="AD189" s="100"/>
      <c r="AE189" s="100"/>
      <c r="AF189" s="100"/>
      <c r="AG189" s="100"/>
      <c r="AH189" s="100"/>
      <c r="AI189" s="100"/>
      <c r="AJ189" s="100"/>
      <c r="AL189" s="100"/>
      <c r="AN189" s="100"/>
    </row>
    <row r="190" spans="1:40" s="27" customFormat="1" x14ac:dyDescent="0.2">
      <c r="A190" s="38"/>
      <c r="B190" s="37"/>
      <c r="C190" s="36">
        <f t="shared" si="20"/>
        <v>0</v>
      </c>
      <c r="D190" s="20"/>
      <c r="E190" s="36">
        <f t="shared" si="21"/>
        <v>0</v>
      </c>
      <c r="Q190" s="100"/>
      <c r="R190" s="100"/>
      <c r="AD190" s="100"/>
      <c r="AE190" s="100"/>
      <c r="AF190" s="100"/>
      <c r="AG190" s="100"/>
      <c r="AH190" s="100"/>
      <c r="AI190" s="100"/>
      <c r="AJ190" s="100"/>
      <c r="AL190" s="100"/>
      <c r="AN190" s="100"/>
    </row>
    <row r="191" spans="1:40" s="27" customFormat="1" x14ac:dyDescent="0.2">
      <c r="A191" s="38"/>
      <c r="B191" s="37"/>
      <c r="C191" s="36">
        <f t="shared" si="20"/>
        <v>0</v>
      </c>
      <c r="D191" s="20"/>
      <c r="E191" s="36">
        <f t="shared" si="21"/>
        <v>0</v>
      </c>
      <c r="Q191" s="100"/>
      <c r="R191" s="100"/>
      <c r="AD191" s="100"/>
      <c r="AE191" s="100"/>
      <c r="AF191" s="100"/>
      <c r="AG191" s="100"/>
      <c r="AH191" s="100"/>
      <c r="AI191" s="100"/>
      <c r="AJ191" s="100"/>
      <c r="AL191" s="100"/>
      <c r="AN191" s="100"/>
    </row>
    <row r="192" spans="1:40" s="27" customFormat="1" x14ac:dyDescent="0.2">
      <c r="A192" s="38"/>
      <c r="B192" s="37"/>
      <c r="C192" s="36">
        <f t="shared" si="20"/>
        <v>0</v>
      </c>
      <c r="D192" s="20"/>
      <c r="E192" s="36">
        <f t="shared" si="21"/>
        <v>0</v>
      </c>
      <c r="Q192" s="100"/>
      <c r="R192" s="100"/>
      <c r="AD192" s="100"/>
      <c r="AE192" s="100"/>
      <c r="AF192" s="100"/>
      <c r="AG192" s="100"/>
      <c r="AH192" s="100"/>
      <c r="AI192" s="100"/>
      <c r="AJ192" s="100"/>
      <c r="AL192" s="100"/>
      <c r="AN192" s="100"/>
    </row>
    <row r="193" spans="1:41" s="27" customFormat="1" x14ac:dyDescent="0.2">
      <c r="A193" s="38"/>
      <c r="B193" s="37"/>
      <c r="C193" s="36">
        <f t="shared" si="20"/>
        <v>0</v>
      </c>
      <c r="D193" s="20"/>
      <c r="E193" s="36">
        <f t="shared" si="21"/>
        <v>0</v>
      </c>
      <c r="Q193" s="100"/>
      <c r="R193" s="100"/>
      <c r="AD193" s="100"/>
      <c r="AE193" s="100"/>
      <c r="AF193" s="100"/>
      <c r="AG193" s="100"/>
      <c r="AH193" s="100"/>
      <c r="AI193" s="100"/>
      <c r="AJ193" s="100"/>
      <c r="AL193" s="100"/>
      <c r="AN193" s="100"/>
    </row>
    <row r="194" spans="1:41" s="27" customFormat="1" x14ac:dyDescent="0.2">
      <c r="A194" s="38"/>
      <c r="B194" s="37"/>
      <c r="C194" s="36">
        <f t="shared" si="20"/>
        <v>0</v>
      </c>
      <c r="D194" s="20"/>
      <c r="E194" s="36">
        <f t="shared" si="21"/>
        <v>0</v>
      </c>
      <c r="Q194" s="100"/>
      <c r="R194" s="100"/>
      <c r="AD194" s="100"/>
      <c r="AE194" s="100"/>
      <c r="AF194" s="100"/>
      <c r="AG194" s="100"/>
      <c r="AH194" s="100"/>
      <c r="AI194" s="100"/>
      <c r="AJ194" s="100"/>
      <c r="AL194" s="100"/>
      <c r="AN194" s="100"/>
    </row>
    <row r="195" spans="1:41" s="27" customFormat="1" x14ac:dyDescent="0.2">
      <c r="A195" s="38"/>
      <c r="B195" s="37"/>
      <c r="C195" s="36">
        <f t="shared" si="20"/>
        <v>0</v>
      </c>
      <c r="D195" s="20"/>
      <c r="E195" s="36">
        <f t="shared" si="21"/>
        <v>0</v>
      </c>
      <c r="Q195" s="100"/>
      <c r="R195" s="100"/>
      <c r="AD195" s="100"/>
      <c r="AE195" s="100"/>
      <c r="AF195" s="100"/>
      <c r="AG195" s="100"/>
      <c r="AH195" s="100"/>
      <c r="AI195" s="100"/>
      <c r="AJ195" s="100"/>
      <c r="AL195" s="100"/>
      <c r="AN195" s="100"/>
    </row>
    <row r="196" spans="1:41" s="27" customFormat="1" x14ac:dyDescent="0.2">
      <c r="A196" s="38"/>
      <c r="B196" s="37"/>
      <c r="C196" s="36">
        <f t="shared" si="20"/>
        <v>0</v>
      </c>
      <c r="D196" s="20"/>
      <c r="E196" s="36">
        <f t="shared" si="21"/>
        <v>0</v>
      </c>
      <c r="Q196" s="100"/>
      <c r="R196" s="100"/>
      <c r="AD196" s="100"/>
      <c r="AE196" s="100"/>
      <c r="AF196" s="100"/>
      <c r="AG196" s="100"/>
      <c r="AH196" s="100"/>
      <c r="AI196" s="100"/>
      <c r="AJ196" s="100"/>
      <c r="AL196" s="100"/>
      <c r="AN196" s="100"/>
    </row>
    <row r="197" spans="1:41" s="27" customFormat="1" x14ac:dyDescent="0.2">
      <c r="A197" s="38"/>
      <c r="B197" s="37"/>
      <c r="C197" s="36">
        <f t="shared" si="20"/>
        <v>0</v>
      </c>
      <c r="D197" s="20"/>
      <c r="E197" s="36">
        <f t="shared" si="21"/>
        <v>0</v>
      </c>
      <c r="Q197" s="100"/>
      <c r="R197" s="100"/>
      <c r="AD197" s="100"/>
      <c r="AE197" s="100"/>
      <c r="AF197" s="100"/>
      <c r="AG197" s="100"/>
      <c r="AH197" s="100"/>
      <c r="AI197" s="100"/>
      <c r="AJ197" s="100"/>
      <c r="AL197" s="100"/>
      <c r="AN197" s="100"/>
    </row>
    <row r="198" spans="1:41" s="27" customFormat="1" x14ac:dyDescent="0.2">
      <c r="A198" s="38"/>
      <c r="B198" s="37"/>
      <c r="C198" s="36">
        <f t="shared" si="20"/>
        <v>0</v>
      </c>
      <c r="D198" s="20"/>
      <c r="E198" s="36">
        <f t="shared" ref="E198:E203" si="22">SUM(G198:HT198)</f>
        <v>0</v>
      </c>
      <c r="R198" s="100"/>
      <c r="S198" s="100"/>
      <c r="AE198" s="100"/>
      <c r="AF198" s="100"/>
      <c r="AG198" s="100"/>
      <c r="AH198" s="100"/>
      <c r="AI198" s="100"/>
      <c r="AJ198" s="100"/>
      <c r="AK198" s="100"/>
      <c r="AM198" s="100"/>
      <c r="AO198" s="100"/>
    </row>
    <row r="199" spans="1:41" s="27" customFormat="1" x14ac:dyDescent="0.2">
      <c r="A199" s="38"/>
      <c r="B199" s="37"/>
      <c r="C199" s="36">
        <f t="shared" si="20"/>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0"/>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0"/>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0"/>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0"/>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B37A-0123-42DF-8EFA-D9CE7B61D645}">
  <dimension ref="A1:GE212"/>
  <sheetViews>
    <sheetView zoomScaleNormal="120" workbookViewId="0">
      <pane xSplit="6" topLeftCell="J1" activePane="topRight" state="frozen"/>
      <selection pane="topRight" activeCell="K17" sqref="K17"/>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116</v>
      </c>
      <c r="J1" s="116" t="s">
        <v>8622</v>
      </c>
      <c r="K1" s="116" t="s">
        <v>8622</v>
      </c>
      <c r="L1" s="116" t="s">
        <v>112</v>
      </c>
      <c r="M1" s="116" t="s">
        <v>107</v>
      </c>
      <c r="N1" s="116" t="s">
        <v>64</v>
      </c>
      <c r="O1" s="116" t="s">
        <v>64</v>
      </c>
      <c r="P1" s="116" t="s">
        <v>64</v>
      </c>
      <c r="Q1" s="116" t="s">
        <v>64</v>
      </c>
      <c r="R1" s="116" t="s">
        <v>107</v>
      </c>
      <c r="S1" s="116" t="s">
        <v>2866</v>
      </c>
      <c r="T1" s="116" t="s">
        <v>8623</v>
      </c>
      <c r="U1" s="116" t="s">
        <v>64</v>
      </c>
      <c r="V1" s="116" t="s">
        <v>8622</v>
      </c>
      <c r="W1" s="116" t="s">
        <v>112</v>
      </c>
      <c r="X1" s="116" t="s">
        <v>8623</v>
      </c>
      <c r="Y1" s="116" t="s">
        <v>64</v>
      </c>
      <c r="Z1" s="116" t="s">
        <v>8623</v>
      </c>
      <c r="AA1" s="116" t="s">
        <v>8623</v>
      </c>
      <c r="AB1" s="116" t="s">
        <v>64</v>
      </c>
      <c r="AC1" s="116" t="s">
        <v>112</v>
      </c>
      <c r="AD1" s="116" t="s">
        <v>107</v>
      </c>
      <c r="AE1" s="116" t="s">
        <v>64</v>
      </c>
      <c r="AF1" s="116" t="s">
        <v>8623</v>
      </c>
      <c r="AG1" s="116" t="s">
        <v>8623</v>
      </c>
      <c r="AH1" s="116" t="s">
        <v>112</v>
      </c>
      <c r="AI1" s="116" t="s">
        <v>112</v>
      </c>
      <c r="AJ1" s="116" t="s">
        <v>107</v>
      </c>
      <c r="AK1" s="116" t="s">
        <v>8623</v>
      </c>
      <c r="AL1" s="116" t="s">
        <v>64</v>
      </c>
      <c r="AM1" s="116" t="s">
        <v>112</v>
      </c>
      <c r="AN1" s="116" t="s">
        <v>2866</v>
      </c>
      <c r="AO1" s="116" t="s">
        <v>64</v>
      </c>
      <c r="AP1" s="95" t="s">
        <v>2866</v>
      </c>
      <c r="AQ1" s="95" t="s">
        <v>112</v>
      </c>
      <c r="AR1" s="95" t="s">
        <v>64</v>
      </c>
      <c r="AS1" s="95" t="s">
        <v>64</v>
      </c>
      <c r="AT1" s="95" t="s">
        <v>64</v>
      </c>
      <c r="AU1" s="95" t="s">
        <v>64</v>
      </c>
      <c r="AV1" s="95" t="s">
        <v>2764</v>
      </c>
      <c r="AW1" s="95" t="s">
        <v>8623</v>
      </c>
      <c r="AX1" s="95" t="s">
        <v>64</v>
      </c>
      <c r="AY1" s="95" t="s">
        <v>64</v>
      </c>
      <c r="AZ1" s="95" t="s">
        <v>64</v>
      </c>
      <c r="BA1" s="95" t="s">
        <v>112</v>
      </c>
      <c r="BB1" s="95" t="s">
        <v>64</v>
      </c>
      <c r="BC1" s="95" t="s">
        <v>112</v>
      </c>
      <c r="BD1" s="95" t="s">
        <v>112</v>
      </c>
      <c r="BE1" s="95" t="s">
        <v>64</v>
      </c>
      <c r="BF1" s="95" t="s">
        <v>8623</v>
      </c>
      <c r="BG1" s="95" t="s">
        <v>8623</v>
      </c>
      <c r="BH1" s="95" t="s">
        <v>112</v>
      </c>
      <c r="BI1" s="95" t="s">
        <v>64</v>
      </c>
      <c r="BJ1" s="95" t="s">
        <v>112</v>
      </c>
      <c r="BK1" s="95" t="s">
        <v>64</v>
      </c>
      <c r="BL1" s="95" t="s">
        <v>8623</v>
      </c>
      <c r="BM1" s="95" t="s">
        <v>112</v>
      </c>
      <c r="BN1" s="95" t="s">
        <v>112</v>
      </c>
      <c r="BO1" s="95" t="s">
        <v>107</v>
      </c>
      <c r="BP1" s="95" t="s">
        <v>64</v>
      </c>
      <c r="BQ1" s="95" t="s">
        <v>64</v>
      </c>
      <c r="BR1" s="95" t="s">
        <v>8622</v>
      </c>
      <c r="BS1" s="95" t="s">
        <v>8622</v>
      </c>
      <c r="BT1" s="95" t="s">
        <v>8622</v>
      </c>
      <c r="BU1" s="95" t="s">
        <v>107</v>
      </c>
      <c r="BV1" s="95" t="s">
        <v>8623</v>
      </c>
      <c r="BW1" s="95" t="s">
        <v>112</v>
      </c>
      <c r="BX1" s="95" t="s">
        <v>8623</v>
      </c>
      <c r="BY1" s="95" t="s">
        <v>116</v>
      </c>
      <c r="BZ1" s="95" t="s">
        <v>116</v>
      </c>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126</v>
      </c>
      <c r="B2" s="555" t="s">
        <v>21</v>
      </c>
      <c r="C2" s="556"/>
      <c r="D2" s="557" t="s">
        <v>177</v>
      </c>
      <c r="E2" s="560" t="s">
        <v>22</v>
      </c>
      <c r="F2" s="561"/>
      <c r="G2" s="63"/>
      <c r="H2" s="118" t="s">
        <v>414</v>
      </c>
      <c r="I2" s="118" t="s">
        <v>445</v>
      </c>
      <c r="J2" s="118" t="s">
        <v>407</v>
      </c>
      <c r="K2" s="118" t="s">
        <v>506</v>
      </c>
      <c r="L2" s="118" t="s">
        <v>614</v>
      </c>
      <c r="M2" s="118" t="s">
        <v>630</v>
      </c>
      <c r="N2" s="118" t="s">
        <v>660</v>
      </c>
      <c r="O2" s="118" t="s">
        <v>655</v>
      </c>
      <c r="P2" s="118" t="s">
        <v>665</v>
      </c>
      <c r="Q2" s="118" t="s">
        <v>669</v>
      </c>
      <c r="R2" s="118" t="s">
        <v>707</v>
      </c>
      <c r="S2" s="118" t="s">
        <v>713</v>
      </c>
      <c r="T2" s="118" t="s">
        <v>748</v>
      </c>
      <c r="U2" s="118" t="s">
        <v>822</v>
      </c>
      <c r="V2" s="118" t="s">
        <v>903</v>
      </c>
      <c r="W2" s="118" t="s">
        <v>916</v>
      </c>
      <c r="X2" s="118" t="s">
        <v>990</v>
      </c>
      <c r="Y2" s="118" t="s">
        <v>1011</v>
      </c>
      <c r="Z2" s="118" t="s">
        <v>1017</v>
      </c>
      <c r="AA2" s="118" t="s">
        <v>1115</v>
      </c>
      <c r="AB2" s="118" t="s">
        <v>1140</v>
      </c>
      <c r="AC2" s="118" t="s">
        <v>1149</v>
      </c>
      <c r="AD2" s="118" t="s">
        <v>1175</v>
      </c>
      <c r="AE2" s="118" t="s">
        <v>1218</v>
      </c>
      <c r="AF2" s="118" t="s">
        <v>1232</v>
      </c>
      <c r="AG2" s="118" t="s">
        <v>1247</v>
      </c>
      <c r="AH2" s="118" t="s">
        <v>1262</v>
      </c>
      <c r="AI2" s="118" t="s">
        <v>1270</v>
      </c>
      <c r="AJ2" s="118" t="s">
        <v>1290</v>
      </c>
      <c r="AK2" s="118" t="s">
        <v>1361</v>
      </c>
      <c r="AL2" s="118" t="s">
        <v>772</v>
      </c>
      <c r="AM2" s="118" t="s">
        <v>1430</v>
      </c>
      <c r="AN2" s="118" t="s">
        <v>2901</v>
      </c>
      <c r="AO2" s="118" t="s">
        <v>1442</v>
      </c>
      <c r="AP2" s="96" t="s">
        <v>2902</v>
      </c>
      <c r="AQ2" s="96" t="s">
        <v>2903</v>
      </c>
      <c r="AR2" s="96" t="s">
        <v>1582</v>
      </c>
      <c r="AS2" s="96" t="s">
        <v>1592</v>
      </c>
      <c r="AT2" s="96" t="s">
        <v>1599</v>
      </c>
      <c r="AU2" s="96" t="s">
        <v>1602</v>
      </c>
      <c r="AV2" s="96" t="s">
        <v>1606</v>
      </c>
      <c r="AW2" s="96" t="s">
        <v>1659</v>
      </c>
      <c r="AX2" s="96" t="s">
        <v>1675</v>
      </c>
      <c r="AY2" s="96" t="s">
        <v>1680</v>
      </c>
      <c r="AZ2" s="96" t="s">
        <v>1695</v>
      </c>
      <c r="BA2" s="96" t="s">
        <v>1812</v>
      </c>
      <c r="BB2" s="96" t="s">
        <v>1852</v>
      </c>
      <c r="BC2" s="96" t="s">
        <v>1964</v>
      </c>
      <c r="BD2" s="96" t="s">
        <v>1990</v>
      </c>
      <c r="BE2" s="96" t="s">
        <v>2115</v>
      </c>
      <c r="BF2" s="96" t="s">
        <v>2150</v>
      </c>
      <c r="BG2" s="96" t="s">
        <v>2195</v>
      </c>
      <c r="BH2" s="96" t="s">
        <v>2206</v>
      </c>
      <c r="BI2" s="96" t="s">
        <v>2223</v>
      </c>
      <c r="BJ2" s="96" t="s">
        <v>2230</v>
      </c>
      <c r="BK2" s="96" t="s">
        <v>2295</v>
      </c>
      <c r="BL2" s="96" t="s">
        <v>2426</v>
      </c>
      <c r="BM2" s="96" t="s">
        <v>2454</v>
      </c>
      <c r="BN2" s="96" t="s">
        <v>2557</v>
      </c>
      <c r="BO2" s="96" t="s">
        <v>2562</v>
      </c>
      <c r="BP2" s="96" t="s">
        <v>2595</v>
      </c>
      <c r="BQ2" s="96" t="s">
        <v>2626</v>
      </c>
      <c r="BR2" s="96" t="s">
        <v>972</v>
      </c>
      <c r="BS2" s="96" t="s">
        <v>477</v>
      </c>
      <c r="BT2" s="96" t="s">
        <v>515</v>
      </c>
      <c r="BU2" s="96" t="s">
        <v>609</v>
      </c>
      <c r="BV2" s="96" t="s">
        <v>574</v>
      </c>
      <c r="BW2" s="96" t="s">
        <v>2372</v>
      </c>
      <c r="BX2" s="96" t="s">
        <v>672</v>
      </c>
      <c r="BY2" s="96" t="s">
        <v>414</v>
      </c>
      <c r="BZ2" s="96" t="s">
        <v>445</v>
      </c>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446</v>
      </c>
      <c r="J3" s="6" t="s">
        <v>409</v>
      </c>
      <c r="K3" s="6" t="s">
        <v>507</v>
      </c>
      <c r="L3" s="6" t="s">
        <v>615</v>
      </c>
      <c r="M3" s="6" t="s">
        <v>631</v>
      </c>
      <c r="N3" s="6" t="s">
        <v>661</v>
      </c>
      <c r="O3" s="6" t="s">
        <v>656</v>
      </c>
      <c r="P3" s="6" t="s">
        <v>666</v>
      </c>
      <c r="Q3" s="6" t="s">
        <v>670</v>
      </c>
      <c r="R3" s="6" t="s">
        <v>708</v>
      </c>
      <c r="S3" s="6" t="s">
        <v>715</v>
      </c>
      <c r="T3" s="6" t="s">
        <v>749</v>
      </c>
      <c r="U3" s="6" t="s">
        <v>823</v>
      </c>
      <c r="V3" s="6" t="s">
        <v>905</v>
      </c>
      <c r="W3" s="6" t="s">
        <v>917</v>
      </c>
      <c r="X3" s="6" t="s">
        <v>991</v>
      </c>
      <c r="Y3" s="6" t="s">
        <v>1012</v>
      </c>
      <c r="Z3" s="6" t="s">
        <v>1018</v>
      </c>
      <c r="AA3" s="6" t="s">
        <v>1116</v>
      </c>
      <c r="AB3" s="118" t="s">
        <v>1141</v>
      </c>
      <c r="AC3" s="118" t="s">
        <v>1150</v>
      </c>
      <c r="AD3" s="6" t="s">
        <v>1176</v>
      </c>
      <c r="AE3" s="6" t="s">
        <v>1219</v>
      </c>
      <c r="AF3" s="6" t="s">
        <v>1233</v>
      </c>
      <c r="AG3" s="6" t="s">
        <v>1249</v>
      </c>
      <c r="AH3" s="6" t="s">
        <v>1263</v>
      </c>
      <c r="AI3" s="6" t="s">
        <v>1271</v>
      </c>
      <c r="AJ3" s="6" t="s">
        <v>1291</v>
      </c>
      <c r="AK3" s="6" t="s">
        <v>1363</v>
      </c>
      <c r="AL3" s="118" t="s">
        <v>773</v>
      </c>
      <c r="AM3" s="5" t="s">
        <v>1431</v>
      </c>
      <c r="AN3" s="118" t="s">
        <v>2904</v>
      </c>
      <c r="AO3" s="118" t="s">
        <v>1443</v>
      </c>
      <c r="AP3" s="107" t="s">
        <v>2905</v>
      </c>
      <c r="AQ3" s="107" t="s">
        <v>2906</v>
      </c>
      <c r="AR3" s="108" t="s">
        <v>1583</v>
      </c>
      <c r="AS3" s="107" t="s">
        <v>1593</v>
      </c>
      <c r="AT3" s="107" t="s">
        <v>1600</v>
      </c>
      <c r="AU3" s="96" t="s">
        <v>1603</v>
      </c>
      <c r="AV3" s="96" t="s">
        <v>1608</v>
      </c>
      <c r="AW3" s="96" t="s">
        <v>1660</v>
      </c>
      <c r="AX3" s="96" t="s">
        <v>1676</v>
      </c>
      <c r="AY3" s="96" t="s">
        <v>1681</v>
      </c>
      <c r="AZ3" s="96" t="s">
        <v>1696</v>
      </c>
      <c r="BA3" s="96" t="s">
        <v>1814</v>
      </c>
      <c r="BB3" s="96" t="s">
        <v>1853</v>
      </c>
      <c r="BC3" s="96" t="s">
        <v>1965</v>
      </c>
      <c r="BD3" s="96" t="s">
        <v>1991</v>
      </c>
      <c r="BE3" s="96" t="s">
        <v>2116</v>
      </c>
      <c r="BF3" s="96" t="s">
        <v>2152</v>
      </c>
      <c r="BG3" s="96" t="s">
        <v>2197</v>
      </c>
      <c r="BH3" s="96" t="s">
        <v>2207</v>
      </c>
      <c r="BI3" s="96" t="s">
        <v>2224</v>
      </c>
      <c r="BJ3" s="96" t="s">
        <v>2231</v>
      </c>
      <c r="BK3" s="96" t="s">
        <v>2296</v>
      </c>
      <c r="BL3" s="96" t="s">
        <v>2428</v>
      </c>
      <c r="BM3" s="96" t="s">
        <v>2455</v>
      </c>
      <c r="BN3" s="96" t="s">
        <v>2559</v>
      </c>
      <c r="BO3" s="96" t="s">
        <v>2563</v>
      </c>
      <c r="BP3" s="96" t="s">
        <v>2596</v>
      </c>
      <c r="BQ3" s="96" t="s">
        <v>2627</v>
      </c>
      <c r="BR3" s="96" t="s">
        <v>974</v>
      </c>
      <c r="BS3" s="96" t="s">
        <v>478</v>
      </c>
      <c r="BT3" s="96" t="s">
        <v>516</v>
      </c>
      <c r="BU3" s="96" t="s">
        <v>610</v>
      </c>
      <c r="BV3" s="96" t="s">
        <v>576</v>
      </c>
      <c r="BW3" s="96" t="s">
        <v>2373</v>
      </c>
      <c r="BX3" s="96" t="s">
        <v>674</v>
      </c>
      <c r="BY3" s="96" t="s">
        <v>416</v>
      </c>
      <c r="BZ3" s="96" t="s">
        <v>446</v>
      </c>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20">
        <v>33000</v>
      </c>
      <c r="AC4" s="120">
        <v>33073</v>
      </c>
      <c r="AD4" s="5">
        <v>33456</v>
      </c>
      <c r="AE4" s="5">
        <v>33857</v>
      </c>
      <c r="AF4" s="5">
        <v>34032</v>
      </c>
      <c r="AG4" s="5">
        <v>34452</v>
      </c>
      <c r="AH4" s="5">
        <v>34778</v>
      </c>
      <c r="AI4" s="5">
        <v>34950</v>
      </c>
      <c r="AJ4" s="5">
        <v>35479</v>
      </c>
      <c r="AK4" s="5">
        <v>36511</v>
      </c>
      <c r="AL4" s="120">
        <v>29126</v>
      </c>
      <c r="AM4" s="5">
        <v>37022</v>
      </c>
      <c r="AN4" s="120">
        <v>37034</v>
      </c>
      <c r="AO4" s="120">
        <v>37482</v>
      </c>
      <c r="AP4" s="108">
        <v>37866</v>
      </c>
      <c r="AQ4" s="108">
        <v>37959</v>
      </c>
      <c r="AR4" s="108">
        <v>38260</v>
      </c>
      <c r="AS4" s="108">
        <v>38267</v>
      </c>
      <c r="AT4" s="108">
        <v>38286</v>
      </c>
      <c r="AU4" s="97">
        <v>38292</v>
      </c>
      <c r="AV4" s="97">
        <v>38338</v>
      </c>
      <c r="AW4" s="97">
        <v>38455</v>
      </c>
      <c r="AX4" s="97">
        <v>38473</v>
      </c>
      <c r="AY4" s="97">
        <v>38473</v>
      </c>
      <c r="AZ4" s="97">
        <v>38516</v>
      </c>
      <c r="BA4" s="97">
        <v>38694</v>
      </c>
      <c r="BB4" s="97">
        <v>38733</v>
      </c>
      <c r="BC4" s="97">
        <v>39162</v>
      </c>
      <c r="BD4" s="97">
        <v>39645</v>
      </c>
      <c r="BE4" s="97">
        <v>40855</v>
      </c>
      <c r="BF4" s="97">
        <v>40988</v>
      </c>
      <c r="BG4" s="97">
        <v>41290</v>
      </c>
      <c r="BH4" s="97">
        <v>41368</v>
      </c>
      <c r="BI4" s="97">
        <v>41486</v>
      </c>
      <c r="BJ4" s="97">
        <v>41505</v>
      </c>
      <c r="BK4" s="97">
        <v>41851</v>
      </c>
      <c r="BL4" s="97">
        <v>43500</v>
      </c>
      <c r="BM4" s="97">
        <v>44071</v>
      </c>
      <c r="BN4" s="97">
        <v>45726</v>
      </c>
      <c r="BO4" s="97">
        <v>45726</v>
      </c>
      <c r="BP4" s="97">
        <v>45971</v>
      </c>
      <c r="BQ4" s="97">
        <v>46084</v>
      </c>
      <c r="BR4" s="97">
        <v>32216</v>
      </c>
      <c r="BS4" s="97">
        <v>6568</v>
      </c>
      <c r="BT4" s="97">
        <v>10069</v>
      </c>
      <c r="BU4" s="97">
        <v>18015</v>
      </c>
      <c r="BV4" s="97">
        <v>15490</v>
      </c>
      <c r="BW4" s="97">
        <v>42370</v>
      </c>
      <c r="BX4" s="97">
        <v>24709</v>
      </c>
      <c r="BY4" s="97">
        <v>2169</v>
      </c>
      <c r="BZ4" s="97">
        <v>2917</v>
      </c>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38.28</v>
      </c>
      <c r="E5" s="539" t="s">
        <v>27</v>
      </c>
      <c r="F5" s="540"/>
      <c r="G5" s="60"/>
      <c r="H5" s="118" t="s">
        <v>63</v>
      </c>
      <c r="I5" s="118" t="s">
        <v>63</v>
      </c>
      <c r="J5" s="118" t="s">
        <v>63</v>
      </c>
      <c r="K5" s="118" t="s">
        <v>63</v>
      </c>
      <c r="L5" s="118" t="s">
        <v>63</v>
      </c>
      <c r="M5" s="118" t="s">
        <v>63</v>
      </c>
      <c r="N5" s="118" t="s">
        <v>2848</v>
      </c>
      <c r="O5" s="118" t="s">
        <v>2849</v>
      </c>
      <c r="P5" s="118" t="s">
        <v>2850</v>
      </c>
      <c r="Q5" s="118" t="s">
        <v>2850</v>
      </c>
      <c r="R5" s="118" t="s">
        <v>63</v>
      </c>
      <c r="S5" s="118" t="s">
        <v>63</v>
      </c>
      <c r="T5" s="118" t="s">
        <v>63</v>
      </c>
      <c r="U5" s="118" t="s">
        <v>8732</v>
      </c>
      <c r="V5" s="118" t="s">
        <v>63</v>
      </c>
      <c r="W5" s="118" t="s">
        <v>63</v>
      </c>
      <c r="X5" s="118" t="s">
        <v>63</v>
      </c>
      <c r="Y5" s="118" t="s">
        <v>2907</v>
      </c>
      <c r="Z5" s="118" t="s">
        <v>63</v>
      </c>
      <c r="AA5" s="118" t="s">
        <v>2908</v>
      </c>
      <c r="AB5" s="118" t="s">
        <v>2909</v>
      </c>
      <c r="AC5" s="118" t="s">
        <v>63</v>
      </c>
      <c r="AD5" s="118" t="s">
        <v>2908</v>
      </c>
      <c r="AE5" s="118" t="s">
        <v>8732</v>
      </c>
      <c r="AF5" s="118" t="s">
        <v>8732</v>
      </c>
      <c r="AG5" s="118" t="s">
        <v>63</v>
      </c>
      <c r="AH5" s="118" t="s">
        <v>63</v>
      </c>
      <c r="AI5" s="118" t="s">
        <v>63</v>
      </c>
      <c r="AJ5" s="118" t="s">
        <v>63</v>
      </c>
      <c r="AK5" s="118" t="s">
        <v>63</v>
      </c>
      <c r="AL5" s="118" t="s">
        <v>63</v>
      </c>
      <c r="AM5" s="118" t="s">
        <v>63</v>
      </c>
      <c r="AN5" s="118" t="s">
        <v>63</v>
      </c>
      <c r="AO5" s="118" t="s">
        <v>63</v>
      </c>
      <c r="AP5" s="96" t="s">
        <v>63</v>
      </c>
      <c r="AQ5" s="96" t="s">
        <v>63</v>
      </c>
      <c r="AR5" s="96" t="s">
        <v>8732</v>
      </c>
      <c r="AS5" s="96" t="s">
        <v>8732</v>
      </c>
      <c r="AT5" s="96" t="s">
        <v>8732</v>
      </c>
      <c r="AU5" s="96" t="s">
        <v>63</v>
      </c>
      <c r="AV5" s="96" t="s">
        <v>63</v>
      </c>
      <c r="AW5" s="96" t="s">
        <v>63</v>
      </c>
      <c r="AX5" s="96" t="s">
        <v>8732</v>
      </c>
      <c r="AY5" s="96" t="s">
        <v>8732</v>
      </c>
      <c r="AZ5" s="96" t="s">
        <v>63</v>
      </c>
      <c r="BA5" s="96" t="s">
        <v>8732</v>
      </c>
      <c r="BB5" s="96" t="s">
        <v>8732</v>
      </c>
      <c r="BC5" s="96" t="s">
        <v>63</v>
      </c>
      <c r="BD5" s="96" t="s">
        <v>63</v>
      </c>
      <c r="BE5" s="96" t="s">
        <v>2910</v>
      </c>
      <c r="BF5" s="96" t="s">
        <v>63</v>
      </c>
      <c r="BG5" s="96" t="s">
        <v>63</v>
      </c>
      <c r="BH5" s="96" t="s">
        <v>8732</v>
      </c>
      <c r="BI5" s="96" t="s">
        <v>8732</v>
      </c>
      <c r="BJ5" s="96" t="s">
        <v>2911</v>
      </c>
      <c r="BK5" s="96" t="s">
        <v>63</v>
      </c>
      <c r="BL5" s="96" t="s">
        <v>63</v>
      </c>
      <c r="BM5" s="96" t="s">
        <v>63</v>
      </c>
      <c r="BN5" s="96" t="s">
        <v>63</v>
      </c>
      <c r="BO5" s="96" t="s">
        <v>8732</v>
      </c>
      <c r="BP5" s="96" t="s">
        <v>63</v>
      </c>
      <c r="BQ5" s="96" t="s">
        <v>63</v>
      </c>
      <c r="BR5" s="96" t="s">
        <v>2912</v>
      </c>
      <c r="BS5" s="96" t="s">
        <v>63</v>
      </c>
      <c r="BT5" s="96" t="s">
        <v>2911</v>
      </c>
      <c r="BU5" s="96" t="s">
        <v>63</v>
      </c>
      <c r="BV5" s="96" t="s">
        <v>63</v>
      </c>
      <c r="BW5" s="96" t="s">
        <v>63</v>
      </c>
      <c r="BX5" s="96" t="s">
        <v>63</v>
      </c>
      <c r="BY5" s="96" t="s">
        <v>63</v>
      </c>
      <c r="BZ5" s="96" t="s">
        <v>63</v>
      </c>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38.28</v>
      </c>
      <c r="D6" s="546" t="s">
        <v>88</v>
      </c>
      <c r="E6" s="544">
        <f>SUBTOTAL(9,E9:E203)</f>
        <v>0.99999999999999556</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-9.9920072216264089E-16</v>
      </c>
      <c r="Y7" s="537">
        <f t="shared" si="7"/>
        <v>0</v>
      </c>
      <c r="Z7" s="537">
        <f t="shared" si="7"/>
        <v>0</v>
      </c>
      <c r="AA7" s="537">
        <f t="shared" si="7"/>
        <v>-1.5265566588595902E-16</v>
      </c>
      <c r="AB7" s="537">
        <f t="shared" si="7"/>
        <v>0</v>
      </c>
      <c r="AC7" s="537">
        <f t="shared" si="7"/>
        <v>0</v>
      </c>
      <c r="AD7" s="537">
        <f t="shared" si="7"/>
        <v>0</v>
      </c>
      <c r="AE7" s="533">
        <f>SUBTOTAL(9,AE10:AE204)</f>
        <v>0</v>
      </c>
      <c r="AF7" s="533">
        <f t="shared" ref="AF7" si="8">SUBTOTAL(9,AF10:AF208)</f>
        <v>0</v>
      </c>
      <c r="AG7" s="533">
        <f>SUBTOTAL(9,AG10:AG212)</f>
        <v>-3.1918911957973251E-15</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38.28</v>
      </c>
      <c r="D11" s="103" t="s">
        <v>410</v>
      </c>
      <c r="E11" s="86">
        <f t="shared" si="13"/>
        <v>1</v>
      </c>
      <c r="F11" s="35" t="s">
        <v>228</v>
      </c>
      <c r="G11" s="121"/>
      <c r="H11" s="121">
        <v>1</v>
      </c>
      <c r="I11" s="121"/>
      <c r="J11" s="122">
        <v>-1</v>
      </c>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38.28</v>
      </c>
      <c r="D12" s="103" t="s">
        <v>436</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38.28</v>
      </c>
      <c r="D13" s="103" t="s">
        <v>411</v>
      </c>
      <c r="E13" s="86">
        <f t="shared" si="13"/>
        <v>1</v>
      </c>
      <c r="F13" s="35" t="s">
        <v>228</v>
      </c>
      <c r="G13" s="121"/>
      <c r="H13" s="121"/>
      <c r="I13" s="121"/>
      <c r="J13" s="121">
        <v>1</v>
      </c>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-38.28</v>
      </c>
      <c r="D14" s="410" t="s">
        <v>508</v>
      </c>
      <c r="E14" s="411">
        <f t="shared" si="13"/>
        <v>-1</v>
      </c>
      <c r="F14" s="35" t="s">
        <v>228</v>
      </c>
      <c r="G14" s="121"/>
      <c r="H14" s="122"/>
      <c r="I14" s="121"/>
      <c r="J14" s="121"/>
      <c r="K14" s="121">
        <v>-1</v>
      </c>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38.28</v>
      </c>
      <c r="D15" s="103" t="s">
        <v>509</v>
      </c>
      <c r="E15" s="36">
        <f t="shared" si="13"/>
        <v>1</v>
      </c>
      <c r="F15" s="35" t="s">
        <v>228</v>
      </c>
      <c r="G15" s="121"/>
      <c r="H15" s="121"/>
      <c r="I15" s="121"/>
      <c r="J15" s="121"/>
      <c r="K15" s="121">
        <v>1</v>
      </c>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-38.28</v>
      </c>
      <c r="D16" s="410" t="s">
        <v>616</v>
      </c>
      <c r="E16" s="411">
        <f t="shared" si="13"/>
        <v>-1</v>
      </c>
      <c r="F16" s="35" t="s">
        <v>228</v>
      </c>
      <c r="G16" s="121"/>
      <c r="H16" s="122"/>
      <c r="I16" s="121"/>
      <c r="J16" s="121"/>
      <c r="K16" s="121"/>
      <c r="L16" s="121">
        <v>-1</v>
      </c>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38.28</v>
      </c>
      <c r="D17" s="103" t="s">
        <v>594</v>
      </c>
      <c r="E17" s="36">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-38.28</v>
      </c>
      <c r="D18" s="410" t="s">
        <v>632</v>
      </c>
      <c r="E18" s="411">
        <f t="shared" si="13"/>
        <v>-1</v>
      </c>
      <c r="F18" s="35" t="s">
        <v>228</v>
      </c>
      <c r="G18" s="121"/>
      <c r="H18" s="121"/>
      <c r="I18" s="121"/>
      <c r="J18" s="121"/>
      <c r="K18" s="121"/>
      <c r="L18" s="121"/>
      <c r="M18" s="121">
        <v>-1</v>
      </c>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38.28</v>
      </c>
      <c r="D19" s="104" t="s">
        <v>633</v>
      </c>
      <c r="E19" s="36">
        <f t="shared" si="13"/>
        <v>1</v>
      </c>
      <c r="F19" s="35" t="s">
        <v>228</v>
      </c>
      <c r="G19" s="121"/>
      <c r="H19" s="121"/>
      <c r="I19" s="121"/>
      <c r="J19" s="121"/>
      <c r="K19" s="121"/>
      <c r="L19" s="121"/>
      <c r="M19" s="121">
        <v>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-24.891624761574469</v>
      </c>
      <c r="D20" s="412" t="s">
        <v>662</v>
      </c>
      <c r="E20" s="413">
        <f t="shared" si="13"/>
        <v>-0.65025143055314705</v>
      </c>
      <c r="F20" s="35" t="s">
        <v>228</v>
      </c>
      <c r="G20" s="121"/>
      <c r="H20" s="122"/>
      <c r="I20" s="121"/>
      <c r="J20" s="121"/>
      <c r="K20" s="121"/>
      <c r="L20" s="121"/>
      <c r="M20" s="121"/>
      <c r="N20" s="121">
        <v>-0.65025143055314705</v>
      </c>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18.253858158487947</v>
      </c>
      <c r="D21" s="103" t="s">
        <v>2806</v>
      </c>
      <c r="E21" s="36">
        <f t="shared" si="13"/>
        <v>0.47685104907230791</v>
      </c>
      <c r="F21" s="35" t="s">
        <v>228</v>
      </c>
      <c r="G21" s="121"/>
      <c r="H21" s="121"/>
      <c r="I21" s="121"/>
      <c r="J21" s="121"/>
      <c r="K21" s="121"/>
      <c r="L21" s="121"/>
      <c r="M21" s="121"/>
      <c r="N21" s="121">
        <v>0.65025143055314705</v>
      </c>
      <c r="O21" s="121"/>
      <c r="P21" s="128">
        <v>-8.6700190740419597E-2</v>
      </c>
      <c r="Q21" s="128">
        <v>-8.6700190740419597E-2</v>
      </c>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-18.253858158487951</v>
      </c>
      <c r="D22" s="410" t="s">
        <v>657</v>
      </c>
      <c r="E22" s="413">
        <f t="shared" si="13"/>
        <v>-0.47685104907230802</v>
      </c>
      <c r="F22" s="35" t="s">
        <v>228</v>
      </c>
      <c r="G22" s="121"/>
      <c r="H22" s="121"/>
      <c r="I22" s="121"/>
      <c r="J22" s="121"/>
      <c r="K22" s="121"/>
      <c r="L22" s="121"/>
      <c r="M22" s="121"/>
      <c r="N22" s="121"/>
      <c r="O22" s="121">
        <v>-0.47685104907230802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18.253858158487951</v>
      </c>
      <c r="D23" s="4" t="s">
        <v>658</v>
      </c>
      <c r="E23" s="86">
        <f t="shared" si="13"/>
        <v>0.47685104907230802</v>
      </c>
      <c r="F23" s="35" t="s">
        <v>228</v>
      </c>
      <c r="G23" s="121"/>
      <c r="H23" s="121"/>
      <c r="I23" s="121"/>
      <c r="J23" s="121"/>
      <c r="K23" s="121"/>
      <c r="L23" s="121"/>
      <c r="M23" s="121"/>
      <c r="N23" s="121"/>
      <c r="O23" s="121">
        <v>0.47685104907230802</v>
      </c>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3.3188833015432624</v>
      </c>
      <c r="D24" s="103" t="s">
        <v>225</v>
      </c>
      <c r="E24" s="86">
        <f t="shared" si="13"/>
        <v>8.6700190740419597E-2</v>
      </c>
      <c r="F24" s="35" t="s">
        <v>228</v>
      </c>
      <c r="G24" s="121"/>
      <c r="H24" s="121"/>
      <c r="I24" s="121"/>
      <c r="J24" s="121"/>
      <c r="K24" s="121"/>
      <c r="L24" s="121"/>
      <c r="M24" s="121"/>
      <c r="N24" s="121"/>
      <c r="O24" s="121"/>
      <c r="P24" s="121">
        <v>8.6700190740419597E-2</v>
      </c>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3.3188833015432624</v>
      </c>
      <c r="D25" s="104" t="s">
        <v>671</v>
      </c>
      <c r="E25" s="86">
        <f t="shared" si="13"/>
        <v>8.6700190740419597E-2</v>
      </c>
      <c r="F25" s="35" t="s">
        <v>228</v>
      </c>
      <c r="G25" s="121"/>
      <c r="H25" s="121"/>
      <c r="I25" s="121"/>
      <c r="J25" s="121"/>
      <c r="K25" s="121"/>
      <c r="L25" s="121"/>
      <c r="M25" s="121"/>
      <c r="N25" s="121"/>
      <c r="O25" s="121"/>
      <c r="P25" s="121"/>
      <c r="Q25" s="124">
        <v>8.6700190740419597E-2</v>
      </c>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-38.28</v>
      </c>
      <c r="D26" s="412" t="s">
        <v>709</v>
      </c>
      <c r="E26" s="413">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-38.28</v>
      </c>
      <c r="D27" s="422" t="s">
        <v>710</v>
      </c>
      <c r="E27" s="411">
        <f t="shared" si="13"/>
        <v>-1</v>
      </c>
      <c r="F27" s="35" t="s">
        <v>228</v>
      </c>
      <c r="G27" s="121"/>
      <c r="H27" s="121"/>
      <c r="I27" s="121"/>
      <c r="J27" s="121"/>
      <c r="K27" s="121"/>
      <c r="L27" s="121"/>
      <c r="M27" s="6"/>
      <c r="N27" s="121"/>
      <c r="O27" s="121"/>
      <c r="P27" s="121"/>
      <c r="Q27" s="123"/>
      <c r="R27" s="123">
        <v>1</v>
      </c>
      <c r="S27" s="121">
        <v>-1</v>
      </c>
      <c r="T27" s="121"/>
      <c r="U27" s="121"/>
      <c r="V27" s="129"/>
      <c r="W27" s="121">
        <v>-1</v>
      </c>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38.28</v>
      </c>
      <c r="D28" s="4" t="s">
        <v>716</v>
      </c>
      <c r="E28" s="36">
        <f t="shared" si="13"/>
        <v>1</v>
      </c>
      <c r="F28" s="35" t="s">
        <v>228</v>
      </c>
      <c r="G28" s="121"/>
      <c r="H28" s="121"/>
      <c r="I28" s="121"/>
      <c r="J28" s="121"/>
      <c r="K28" s="121"/>
      <c r="L28" s="121"/>
      <c r="M28" s="5"/>
      <c r="N28" s="121"/>
      <c r="O28" s="121"/>
      <c r="P28" s="121"/>
      <c r="Q28" s="123"/>
      <c r="R28" s="123"/>
      <c r="S28" s="121">
        <v>1</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ht="24" x14ac:dyDescent="0.2">
      <c r="A29" s="125"/>
      <c r="B29" s="39"/>
      <c r="C29" s="86">
        <f t="shared" si="12"/>
        <v>-38.28</v>
      </c>
      <c r="D29" s="421" t="s">
        <v>2860</v>
      </c>
      <c r="E29" s="413">
        <f t="shared" si="13"/>
        <v>-1</v>
      </c>
      <c r="F29" s="35" t="s">
        <v>228</v>
      </c>
      <c r="G29" s="121"/>
      <c r="H29" s="121"/>
      <c r="I29" s="121"/>
      <c r="J29" s="121"/>
      <c r="K29" s="121"/>
      <c r="L29" s="121"/>
      <c r="M29" s="5"/>
      <c r="N29" s="121"/>
      <c r="O29" s="121"/>
      <c r="P29" s="121"/>
      <c r="Q29" s="123"/>
      <c r="R29" s="123"/>
      <c r="S29" s="121"/>
      <c r="T29" s="121">
        <v>-1</v>
      </c>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19.14</v>
      </c>
      <c r="D30" s="103" t="s">
        <v>2861</v>
      </c>
      <c r="E30" s="36">
        <f t="shared" si="13"/>
        <v>0.5</v>
      </c>
      <c r="F30" s="35" t="s">
        <v>228</v>
      </c>
      <c r="G30" s="121"/>
      <c r="H30" s="121"/>
      <c r="I30" s="121"/>
      <c r="J30" s="121"/>
      <c r="K30" s="121"/>
      <c r="L30" s="121"/>
      <c r="M30" s="117"/>
      <c r="N30" s="121"/>
      <c r="O30" s="121"/>
      <c r="P30" s="121"/>
      <c r="Q30" s="123"/>
      <c r="R30" s="123"/>
      <c r="S30" s="121"/>
      <c r="T30" s="121">
        <v>0.5</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19.14</v>
      </c>
      <c r="D31" s="103" t="s">
        <v>2862</v>
      </c>
      <c r="E31" s="86">
        <f t="shared" si="13"/>
        <v>0.5</v>
      </c>
      <c r="F31" s="35" t="s">
        <v>228</v>
      </c>
      <c r="G31" s="121"/>
      <c r="H31" s="121"/>
      <c r="I31" s="121"/>
      <c r="J31" s="121"/>
      <c r="K31" s="121"/>
      <c r="L31" s="121"/>
      <c r="M31" s="117"/>
      <c r="N31" s="121"/>
      <c r="O31" s="121"/>
      <c r="P31" s="121"/>
      <c r="Q31" s="123"/>
      <c r="R31" s="123"/>
      <c r="S31" s="121"/>
      <c r="T31" s="121">
        <v>0.5</v>
      </c>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0</v>
      </c>
      <c r="D32" s="103" t="s">
        <v>824</v>
      </c>
      <c r="E32" s="86">
        <f t="shared" si="13"/>
        <v>0</v>
      </c>
      <c r="F32" s="35" t="s">
        <v>228</v>
      </c>
      <c r="G32" s="121"/>
      <c r="H32" s="121"/>
      <c r="I32" s="121"/>
      <c r="J32" s="121"/>
      <c r="K32" s="121"/>
      <c r="L32" s="121"/>
      <c r="M32" s="117"/>
      <c r="N32" s="121"/>
      <c r="O32" s="121"/>
      <c r="P32" s="121"/>
      <c r="Q32" s="123"/>
      <c r="R32" s="123"/>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0</v>
      </c>
      <c r="D33" s="103" t="s">
        <v>335</v>
      </c>
      <c r="E33" s="36">
        <f t="shared" si="13"/>
        <v>0</v>
      </c>
      <c r="F33" s="35" t="s">
        <v>228</v>
      </c>
      <c r="G33" s="121"/>
      <c r="H33" s="121"/>
      <c r="I33" s="121"/>
      <c r="J33" s="121"/>
      <c r="K33" s="121"/>
      <c r="L33" s="121"/>
      <c r="M33" s="121"/>
      <c r="N33" s="121"/>
      <c r="O33" s="121"/>
      <c r="P33" s="121"/>
      <c r="Q33" s="123"/>
      <c r="R33" s="123"/>
      <c r="S33" s="121"/>
      <c r="T33" s="121"/>
      <c r="U33" s="121"/>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0</v>
      </c>
      <c r="D34" s="103" t="s">
        <v>8736</v>
      </c>
      <c r="E34" s="36">
        <f t="shared" si="13"/>
        <v>0</v>
      </c>
      <c r="F34" s="35" t="s">
        <v>228</v>
      </c>
      <c r="G34" s="121"/>
      <c r="H34" s="121"/>
      <c r="I34" s="121"/>
      <c r="J34" s="121"/>
      <c r="K34" s="121"/>
      <c r="L34" s="121"/>
      <c r="M34" s="121"/>
      <c r="N34" s="121"/>
      <c r="O34" s="121"/>
      <c r="P34" s="121"/>
      <c r="Q34" s="123"/>
      <c r="R34" s="123"/>
      <c r="S34" s="121"/>
      <c r="T34" s="121"/>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-38.28</v>
      </c>
      <c r="D35" s="410" t="s">
        <v>906</v>
      </c>
      <c r="E35" s="411">
        <f t="shared" si="13"/>
        <v>-1</v>
      </c>
      <c r="F35" s="35" t="s">
        <v>228</v>
      </c>
      <c r="G35" s="121"/>
      <c r="H35" s="121"/>
      <c r="I35" s="121"/>
      <c r="J35" s="121"/>
      <c r="K35" s="121"/>
      <c r="L35" s="121"/>
      <c r="M35" s="121"/>
      <c r="N35" s="121"/>
      <c r="O35" s="121"/>
      <c r="P35" s="121"/>
      <c r="Q35" s="123"/>
      <c r="R35" s="123"/>
      <c r="S35" s="121"/>
      <c r="T35" s="121"/>
      <c r="U35" s="121"/>
      <c r="V35" s="121">
        <v>-1</v>
      </c>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38.28</v>
      </c>
      <c r="D36" s="103" t="s">
        <v>907</v>
      </c>
      <c r="E36" s="36">
        <f t="shared" si="13"/>
        <v>1</v>
      </c>
      <c r="F36" s="35" t="s">
        <v>228</v>
      </c>
      <c r="G36" s="121"/>
      <c r="H36" s="121"/>
      <c r="I36" s="121"/>
      <c r="J36" s="121"/>
      <c r="K36" s="121"/>
      <c r="L36" s="121"/>
      <c r="M36" s="121"/>
      <c r="N36" s="121"/>
      <c r="O36" s="121"/>
      <c r="P36" s="121"/>
      <c r="Q36" s="123"/>
      <c r="R36" s="123"/>
      <c r="S36" s="121"/>
      <c r="T36" s="121"/>
      <c r="U36" s="121"/>
      <c r="V36" s="121">
        <v>1</v>
      </c>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19.14</v>
      </c>
      <c r="D37" s="103" t="s">
        <v>2871</v>
      </c>
      <c r="E37" s="86">
        <f t="shared" ref="E37" si="14">SUM(G37:HY37)</f>
        <v>0.5</v>
      </c>
      <c r="F37" s="35" t="s">
        <v>228</v>
      </c>
      <c r="G37" s="121"/>
      <c r="H37" s="122"/>
      <c r="I37" s="121"/>
      <c r="J37" s="122"/>
      <c r="K37" s="122"/>
      <c r="L37" s="123"/>
      <c r="M37" s="123"/>
      <c r="N37" s="123"/>
      <c r="O37" s="123"/>
      <c r="P37" s="123"/>
      <c r="Q37" s="123"/>
      <c r="R37" s="123"/>
      <c r="S37" s="123"/>
      <c r="T37" s="123"/>
      <c r="U37" s="123"/>
      <c r="V37" s="123"/>
      <c r="W37" s="123">
        <v>0.5</v>
      </c>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19.14</v>
      </c>
      <c r="D38" s="4" t="s">
        <v>2872</v>
      </c>
      <c r="E38" s="36">
        <f t="shared" ref="E38" si="16">SUM(G38:HT38)</f>
        <v>0.5</v>
      </c>
      <c r="F38" s="35" t="s">
        <v>228</v>
      </c>
      <c r="G38" s="121"/>
      <c r="H38" s="121"/>
      <c r="I38" s="121"/>
      <c r="J38" s="121"/>
      <c r="K38" s="121"/>
      <c r="L38" s="121"/>
      <c r="M38" s="121"/>
      <c r="N38" s="121"/>
      <c r="O38" s="121"/>
      <c r="P38" s="121"/>
      <c r="Q38" s="123"/>
      <c r="R38" s="123"/>
      <c r="S38" s="121"/>
      <c r="T38" s="121"/>
      <c r="U38" s="121"/>
      <c r="V38" s="121"/>
      <c r="W38" s="121">
        <v>0.5</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ht="24" x14ac:dyDescent="0.2">
      <c r="A39" s="125"/>
      <c r="B39" s="39"/>
      <c r="C39" s="36">
        <f t="shared" si="15"/>
        <v>-43.86249999999999</v>
      </c>
      <c r="D39" s="410" t="s">
        <v>2873</v>
      </c>
      <c r="E39" s="411">
        <f>SUM(G39:HH39)</f>
        <v>-1.145833333333333</v>
      </c>
      <c r="F39" s="35" t="s">
        <v>228</v>
      </c>
      <c r="G39" s="121"/>
      <c r="H39" s="122"/>
      <c r="I39" s="122"/>
      <c r="J39" s="122"/>
      <c r="K39" s="122"/>
      <c r="L39" s="123"/>
      <c r="M39" s="123"/>
      <c r="N39" s="123"/>
      <c r="O39" s="123"/>
      <c r="P39" s="123"/>
      <c r="Q39" s="123"/>
      <c r="R39" s="123"/>
      <c r="S39" s="123"/>
      <c r="T39" s="123"/>
      <c r="U39" s="123"/>
      <c r="V39" s="123"/>
      <c r="W39" s="123"/>
      <c r="X39" s="123">
        <v>-1</v>
      </c>
      <c r="Y39" s="123"/>
      <c r="Z39" s="123"/>
      <c r="AA39" s="123">
        <v>-0.14583333333333301</v>
      </c>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14.620833333333314</v>
      </c>
      <c r="D40" s="103" t="s">
        <v>2874</v>
      </c>
      <c r="E40" s="86">
        <f>SUM(G40:HH40)</f>
        <v>0.38194444444444392</v>
      </c>
      <c r="F40" s="35" t="s">
        <v>228</v>
      </c>
      <c r="G40" s="121"/>
      <c r="H40" s="122"/>
      <c r="I40" s="122"/>
      <c r="J40" s="122"/>
      <c r="K40" s="122"/>
      <c r="L40" s="123"/>
      <c r="M40" s="123"/>
      <c r="N40" s="123"/>
      <c r="O40" s="123"/>
      <c r="P40" s="123"/>
      <c r="Q40" s="123"/>
      <c r="R40" s="123"/>
      <c r="S40" s="123"/>
      <c r="T40" s="123"/>
      <c r="U40" s="123"/>
      <c r="V40" s="123"/>
      <c r="W40" s="123"/>
      <c r="X40" s="123">
        <v>0.33333333333333298</v>
      </c>
      <c r="Y40" s="123"/>
      <c r="Z40" s="123"/>
      <c r="AA40" s="123">
        <v>4.8611111111110952E-2</v>
      </c>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27.3808333333333</v>
      </c>
      <c r="D41" s="4" t="s">
        <v>2875</v>
      </c>
      <c r="E41" s="36">
        <f>SUM(G41:HH41)</f>
        <v>0.7152777777777769</v>
      </c>
      <c r="F41" s="35" t="s">
        <v>228</v>
      </c>
      <c r="G41" s="121"/>
      <c r="H41" s="122"/>
      <c r="I41" s="122"/>
      <c r="J41" s="122"/>
      <c r="K41" s="122"/>
      <c r="L41" s="123"/>
      <c r="M41" s="123"/>
      <c r="N41" s="123"/>
      <c r="O41" s="123"/>
      <c r="P41" s="123"/>
      <c r="Q41" s="123"/>
      <c r="R41" s="123"/>
      <c r="S41" s="123"/>
      <c r="T41" s="123"/>
      <c r="U41" s="123"/>
      <c r="V41" s="123"/>
      <c r="W41" s="123"/>
      <c r="X41" s="123">
        <v>0.33333333333333298</v>
      </c>
      <c r="Y41" s="123"/>
      <c r="Z41" s="123"/>
      <c r="AA41" s="123">
        <v>4.8611111111110952E-2</v>
      </c>
      <c r="AB41" s="123">
        <v>0.33333333333333298</v>
      </c>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8.2408333333333008</v>
      </c>
      <c r="D42" s="3" t="s">
        <v>1142</v>
      </c>
      <c r="E42" s="86">
        <f>SUM(G42:HH42)</f>
        <v>0.21527777777777693</v>
      </c>
      <c r="F42" s="35" t="s">
        <v>228</v>
      </c>
      <c r="G42" s="121"/>
      <c r="H42" s="122"/>
      <c r="I42" s="122"/>
      <c r="J42" s="122"/>
      <c r="K42" s="122"/>
      <c r="L42" s="123"/>
      <c r="M42" s="123"/>
      <c r="N42" s="123"/>
      <c r="O42" s="123"/>
      <c r="P42" s="123"/>
      <c r="Q42" s="123"/>
      <c r="R42" s="123"/>
      <c r="S42" s="124"/>
      <c r="T42" s="124"/>
      <c r="U42" s="123"/>
      <c r="V42" s="123"/>
      <c r="W42" s="123"/>
      <c r="X42" s="123">
        <v>0.33333333333333298</v>
      </c>
      <c r="Y42" s="123"/>
      <c r="Z42" s="123"/>
      <c r="AA42" s="123">
        <v>4.8611111111110952E-2</v>
      </c>
      <c r="AB42" s="123">
        <v>-0.33333333333333298</v>
      </c>
      <c r="AC42" s="123"/>
      <c r="AD42" s="123"/>
      <c r="AE42" s="123"/>
      <c r="AF42" s="123"/>
      <c r="AG42" s="123">
        <v>0.16666666666666599</v>
      </c>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-0.31013179999999974</v>
      </c>
      <c r="D43" s="422" t="s">
        <v>1013</v>
      </c>
      <c r="E43" s="413">
        <f>SUM(G43:HH43)</f>
        <v>-8.1016666666666598E-3</v>
      </c>
      <c r="F43" s="35" t="s">
        <v>228</v>
      </c>
      <c r="G43" s="121"/>
      <c r="H43" s="122"/>
      <c r="I43" s="122"/>
      <c r="J43" s="122"/>
      <c r="K43" s="122"/>
      <c r="L43" s="123"/>
      <c r="M43" s="123"/>
      <c r="N43" s="123"/>
      <c r="O43" s="124"/>
      <c r="P43" s="123"/>
      <c r="Q43" s="123"/>
      <c r="R43" s="123"/>
      <c r="S43" s="123"/>
      <c r="T43" s="123"/>
      <c r="U43" s="123"/>
      <c r="V43" s="123"/>
      <c r="W43" s="123"/>
      <c r="X43" s="123"/>
      <c r="Y43" s="123">
        <v>-8.1016666666666598E-3</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0.31013179999999974</v>
      </c>
      <c r="D44" s="4" t="s">
        <v>1014</v>
      </c>
      <c r="E44" s="86">
        <f t="shared" si="13"/>
        <v>8.1016666666666598E-3</v>
      </c>
      <c r="F44" s="35" t="s">
        <v>228</v>
      </c>
      <c r="G44" s="121"/>
      <c r="H44" s="121"/>
      <c r="I44" s="121"/>
      <c r="J44" s="121"/>
      <c r="K44" s="121"/>
      <c r="L44" s="121"/>
      <c r="M44" s="121"/>
      <c r="N44" s="121"/>
      <c r="O44" s="121"/>
      <c r="P44" s="121"/>
      <c r="Q44" s="123"/>
      <c r="R44" s="123"/>
      <c r="S44" s="121"/>
      <c r="T44" s="121"/>
      <c r="U44" s="121"/>
      <c r="V44" s="121"/>
      <c r="W44" s="121"/>
      <c r="X44" s="121"/>
      <c r="Y44" s="121">
        <v>8.1016666666666598E-3</v>
      </c>
      <c r="Z44" s="121"/>
      <c r="AA44" s="121"/>
      <c r="AB44" s="121"/>
      <c r="AC44" s="121"/>
      <c r="AD44" s="123"/>
      <c r="AE44" s="123"/>
      <c r="AF44" s="123"/>
      <c r="AG44" s="123"/>
      <c r="AH44" s="124"/>
      <c r="AI44" s="124"/>
      <c r="AJ44" s="123"/>
      <c r="AK44" s="121"/>
      <c r="AL44" s="123"/>
      <c r="AM44" s="121"/>
      <c r="AN44" s="123"/>
      <c r="AO44" s="121"/>
      <c r="AP44" s="121"/>
      <c r="AQ44" s="28"/>
      <c r="AR44" s="28"/>
      <c r="AS44" s="28"/>
    </row>
    <row r="45" spans="1:187" s="27" customFormat="1" ht="24" x14ac:dyDescent="0.2">
      <c r="A45" s="125"/>
      <c r="B45" s="39"/>
      <c r="C45" s="86">
        <f>E45*D$5</f>
        <v>-38.28</v>
      </c>
      <c r="D45" s="422" t="s">
        <v>2876</v>
      </c>
      <c r="E45" s="413">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v>-1</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19.14</v>
      </c>
      <c r="D46" s="4" t="s">
        <v>2877</v>
      </c>
      <c r="E46" s="86">
        <f t="shared" si="13"/>
        <v>0.5</v>
      </c>
      <c r="F46" s="35" t="s">
        <v>228</v>
      </c>
      <c r="G46" s="121"/>
      <c r="H46" s="121"/>
      <c r="I46" s="121"/>
      <c r="J46" s="121"/>
      <c r="K46" s="121"/>
      <c r="L46" s="121"/>
      <c r="M46" s="121"/>
      <c r="N46" s="121"/>
      <c r="O46" s="121"/>
      <c r="P46" s="121"/>
      <c r="Q46" s="123"/>
      <c r="R46" s="123"/>
      <c r="S46" s="121"/>
      <c r="T46" s="121"/>
      <c r="U46" s="121"/>
      <c r="V46" s="121"/>
      <c r="W46" s="121"/>
      <c r="X46" s="121"/>
      <c r="Y46" s="121"/>
      <c r="Z46" s="121">
        <v>0.5</v>
      </c>
      <c r="AA46" s="121"/>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19.14</v>
      </c>
      <c r="D47" s="3" t="s">
        <v>102</v>
      </c>
      <c r="E47" s="86">
        <f t="shared" si="13"/>
        <v>0.5</v>
      </c>
      <c r="F47" s="35" t="s">
        <v>228</v>
      </c>
      <c r="G47" s="121"/>
      <c r="H47" s="121"/>
      <c r="I47" s="121"/>
      <c r="J47" s="121"/>
      <c r="K47" s="121"/>
      <c r="L47" s="121"/>
      <c r="M47" s="121"/>
      <c r="N47" s="121"/>
      <c r="O47" s="121"/>
      <c r="P47" s="121"/>
      <c r="Q47" s="123"/>
      <c r="R47" s="123"/>
      <c r="S47" s="121"/>
      <c r="T47" s="121"/>
      <c r="U47" s="121"/>
      <c r="V47" s="121"/>
      <c r="W47" s="121"/>
      <c r="X47" s="121"/>
      <c r="Y47" s="121"/>
      <c r="Z47" s="121">
        <v>0.5</v>
      </c>
      <c r="AA47" s="121"/>
      <c r="AB47" s="121"/>
      <c r="AC47" s="121"/>
      <c r="AD47" s="123"/>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-38.28</v>
      </c>
      <c r="D48" s="421" t="s">
        <v>1151</v>
      </c>
      <c r="E48" s="411">
        <f t="shared" si="13"/>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c r="AG48" s="123"/>
      <c r="AH48" s="123"/>
      <c r="AI48" s="123"/>
      <c r="AJ48" s="123"/>
      <c r="AK48" s="121"/>
      <c r="AL48" s="123"/>
      <c r="AM48" s="129"/>
      <c r="AN48" s="124"/>
      <c r="AO48" s="121"/>
      <c r="AP48" s="121"/>
      <c r="AQ48" s="28"/>
      <c r="AR48" s="28"/>
      <c r="AS48" s="28"/>
    </row>
    <row r="49" spans="1:76" s="27" customFormat="1" ht="24" x14ac:dyDescent="0.2">
      <c r="A49" s="125"/>
      <c r="B49" s="39"/>
      <c r="C49" s="86">
        <f t="shared" si="12"/>
        <v>38.28</v>
      </c>
      <c r="D49" s="3" t="s">
        <v>1152</v>
      </c>
      <c r="E49" s="36">
        <f t="shared" si="13"/>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v>1</v>
      </c>
      <c r="AD49" s="123"/>
      <c r="AE49" s="123"/>
      <c r="AF49" s="123"/>
      <c r="AG49" s="123"/>
      <c r="AH49" s="123"/>
      <c r="AI49" s="123"/>
      <c r="AJ49" s="123"/>
      <c r="AK49" s="121"/>
      <c r="AL49" s="123"/>
      <c r="AM49" s="121"/>
      <c r="AN49" s="124"/>
      <c r="AO49" s="121"/>
      <c r="AP49" s="121"/>
      <c r="AQ49" s="28"/>
      <c r="AR49" s="28"/>
      <c r="AS49" s="28"/>
    </row>
    <row r="50" spans="1:76" s="27" customFormat="1" x14ac:dyDescent="0.2">
      <c r="A50" s="38"/>
      <c r="B50" s="37"/>
      <c r="C50" s="36">
        <f t="shared" si="12"/>
        <v>-5.582499999999988</v>
      </c>
      <c r="D50" s="421" t="s">
        <v>1177</v>
      </c>
      <c r="E50" s="411">
        <f t="shared" si="13"/>
        <v>-0.14583333333333301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-0.14583333333333301</v>
      </c>
      <c r="AE50" s="123"/>
      <c r="AF50" s="123"/>
      <c r="AG50" s="123"/>
      <c r="AH50" s="123"/>
      <c r="AI50" s="123"/>
      <c r="AJ50" s="123"/>
      <c r="AK50" s="121"/>
      <c r="AL50" s="123"/>
      <c r="AM50" s="121"/>
      <c r="AN50" s="123"/>
      <c r="AO50" s="121"/>
      <c r="AP50" s="121"/>
      <c r="AQ50" s="28"/>
      <c r="AR50" s="28"/>
      <c r="AS50" s="28"/>
    </row>
    <row r="51" spans="1:76" s="27" customFormat="1" x14ac:dyDescent="0.2">
      <c r="A51" s="38"/>
      <c r="B51" s="37"/>
      <c r="C51" s="36">
        <f t="shared" si="12"/>
        <v>5.582499999999988</v>
      </c>
      <c r="D51" s="4" t="s">
        <v>1178</v>
      </c>
      <c r="E51" s="36">
        <f t="shared" si="13"/>
        <v>0.14583333333333301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v>0.14583333333333301</v>
      </c>
      <c r="AE51" s="123"/>
      <c r="AF51" s="123"/>
      <c r="AG51" s="123"/>
      <c r="AH51" s="123"/>
      <c r="AI51" s="123"/>
      <c r="AJ51" s="123"/>
      <c r="AK51" s="121"/>
      <c r="AL51" s="123"/>
      <c r="AM51" s="121"/>
      <c r="AN51" s="123"/>
      <c r="AO51" s="121"/>
      <c r="AP51" s="121"/>
      <c r="AQ51" s="28"/>
      <c r="AR51" s="28"/>
      <c r="AS51" s="28"/>
    </row>
    <row r="52" spans="1:76" s="27" customFormat="1" x14ac:dyDescent="0.2">
      <c r="A52" s="38"/>
      <c r="B52" s="37"/>
      <c r="C52" s="86">
        <f t="shared" si="12"/>
        <v>9.57</v>
      </c>
      <c r="D52" s="4" t="s">
        <v>1220</v>
      </c>
      <c r="E52" s="86">
        <f t="shared" si="13"/>
        <v>0.25</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c r="AP52" s="121"/>
      <c r="AQ52" s="28"/>
      <c r="AR52" s="28"/>
      <c r="AS52" s="28"/>
      <c r="BX52" s="27">
        <v>0.25</v>
      </c>
    </row>
    <row r="53" spans="1:76" s="27" customFormat="1" x14ac:dyDescent="0.2">
      <c r="A53" s="38"/>
      <c r="B53" s="37"/>
      <c r="C53" s="86">
        <f t="shared" si="12"/>
        <v>0</v>
      </c>
      <c r="D53" s="4" t="s">
        <v>1221</v>
      </c>
      <c r="E53" s="86">
        <f t="shared" si="13"/>
        <v>0</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c r="AQ53" s="28"/>
      <c r="AR53" s="28"/>
      <c r="AS53" s="28"/>
    </row>
    <row r="54" spans="1:76" s="27" customFormat="1" ht="12.95" customHeight="1" x14ac:dyDescent="0.2">
      <c r="A54" s="38"/>
      <c r="B54" s="37"/>
      <c r="C54" s="36">
        <f t="shared" si="12"/>
        <v>0</v>
      </c>
      <c r="D54" s="4" t="s">
        <v>8740</v>
      </c>
      <c r="E54" s="36">
        <f t="shared" si="13"/>
        <v>0</v>
      </c>
      <c r="F54" s="35" t="s">
        <v>228</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76" s="27" customFormat="1" ht="14.1" customHeight="1" x14ac:dyDescent="0.2">
      <c r="A55" s="38"/>
      <c r="B55" s="37"/>
      <c r="C55" s="36">
        <f t="shared" si="12"/>
        <v>0</v>
      </c>
      <c r="D55" s="4" t="s">
        <v>2811</v>
      </c>
      <c r="E55" s="36">
        <f t="shared" si="13"/>
        <v>0</v>
      </c>
      <c r="F55" s="35" t="s">
        <v>228</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76" s="27" customFormat="1" ht="17.45" customHeight="1" x14ac:dyDescent="0.2">
      <c r="A56" s="38"/>
      <c r="B56" s="37"/>
      <c r="C56" s="36">
        <f t="shared" si="12"/>
        <v>0</v>
      </c>
      <c r="D56" s="87" t="s">
        <v>339</v>
      </c>
      <c r="E56" s="36">
        <f t="shared" si="13"/>
        <v>0</v>
      </c>
      <c r="F56" s="35" t="s">
        <v>228</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76" s="27" customFormat="1" ht="17.45" customHeight="1" x14ac:dyDescent="0.2">
      <c r="A57" s="38"/>
      <c r="B57" s="37"/>
      <c r="C57" s="36">
        <f t="shared" si="12"/>
        <v>0</v>
      </c>
      <c r="D57" s="89" t="s">
        <v>2812</v>
      </c>
      <c r="E57" s="36">
        <f t="shared" si="13"/>
        <v>0</v>
      </c>
      <c r="F57" s="35" t="s">
        <v>228</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76" s="27" customFormat="1" ht="17.45" customHeight="1" x14ac:dyDescent="0.2">
      <c r="A58" s="38"/>
      <c r="B58" s="37"/>
      <c r="C58" s="36">
        <f t="shared" si="12"/>
        <v>0</v>
      </c>
      <c r="D58" s="87" t="s">
        <v>268</v>
      </c>
      <c r="E58" s="36">
        <f t="shared" si="13"/>
        <v>0</v>
      </c>
      <c r="F58" s="35" t="s">
        <v>228</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76" s="27" customFormat="1" ht="17.45" customHeight="1" x14ac:dyDescent="0.2">
      <c r="A59" s="38"/>
      <c r="B59" s="37"/>
      <c r="C59" s="36">
        <f t="shared" si="12"/>
        <v>0</v>
      </c>
      <c r="D59" s="87" t="s">
        <v>2813</v>
      </c>
      <c r="E59" s="36">
        <f t="shared" si="13"/>
        <v>0</v>
      </c>
      <c r="F59" s="35" t="s">
        <v>228</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76" s="27" customFormat="1" ht="16.5" customHeight="1" x14ac:dyDescent="0.2">
      <c r="A60" s="38"/>
      <c r="B60" s="37"/>
      <c r="C60" s="36">
        <f t="shared" si="12"/>
        <v>0</v>
      </c>
      <c r="D60" s="87" t="s">
        <v>8733</v>
      </c>
      <c r="E60" s="36">
        <f t="shared" si="13"/>
        <v>0</v>
      </c>
      <c r="F60" s="35" t="s">
        <v>228</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76" s="27" customFormat="1" ht="24" x14ac:dyDescent="0.2">
      <c r="A61" s="38"/>
      <c r="B61" s="37"/>
      <c r="C61" s="36">
        <f t="shared" si="12"/>
        <v>-38.28</v>
      </c>
      <c r="D61" s="421" t="s">
        <v>2878</v>
      </c>
      <c r="E61" s="411">
        <f t="shared" si="13"/>
        <v>-1</v>
      </c>
      <c r="F61" s="35" t="s">
        <v>228</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v>-1</v>
      </c>
      <c r="AH61" s="100"/>
      <c r="AI61" s="100"/>
      <c r="AJ61" s="100"/>
      <c r="AK61" s="28"/>
      <c r="AL61" s="100"/>
      <c r="AM61" s="28"/>
      <c r="AN61" s="123"/>
      <c r="AO61" s="28"/>
      <c r="AP61" s="28"/>
      <c r="AQ61" s="28"/>
      <c r="AR61" s="28"/>
      <c r="AS61" s="28"/>
    </row>
    <row r="62" spans="1:76" s="27" customFormat="1" x14ac:dyDescent="0.2">
      <c r="A62" s="38"/>
      <c r="B62" s="37"/>
      <c r="C62" s="86">
        <f t="shared" si="12"/>
        <v>6.3799999999999741</v>
      </c>
      <c r="D62" s="3" t="s">
        <v>2879</v>
      </c>
      <c r="E62" s="86">
        <f t="shared" si="13"/>
        <v>0.16666666666666599</v>
      </c>
      <c r="F62" s="35" t="s">
        <v>228</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v>0.16666666666666599</v>
      </c>
      <c r="AH62" s="100"/>
      <c r="AI62" s="100"/>
      <c r="AJ62" s="100"/>
      <c r="AK62" s="28"/>
      <c r="AL62" s="100"/>
      <c r="AM62" s="28"/>
      <c r="AN62" s="123"/>
      <c r="AO62" s="28"/>
      <c r="AP62" s="28"/>
      <c r="AQ62" s="28"/>
      <c r="AR62" s="28"/>
      <c r="AS62" s="28"/>
    </row>
    <row r="63" spans="1:76" s="27" customFormat="1" x14ac:dyDescent="0.2">
      <c r="A63" s="38"/>
      <c r="B63" s="37"/>
      <c r="C63" s="86">
        <f t="shared" si="12"/>
        <v>6.3799999999999741</v>
      </c>
      <c r="D63" s="3" t="s">
        <v>2880</v>
      </c>
      <c r="E63" s="86">
        <f t="shared" si="13"/>
        <v>0.16666666666666599</v>
      </c>
      <c r="F63" s="35" t="s">
        <v>228</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v>0.16666666666666599</v>
      </c>
      <c r="AH63" s="100"/>
      <c r="AI63" s="100"/>
      <c r="AJ63" s="100"/>
      <c r="AK63" s="28"/>
      <c r="AL63" s="100"/>
      <c r="AM63" s="28"/>
      <c r="AN63" s="123"/>
      <c r="AO63" s="28"/>
      <c r="AP63" s="28"/>
      <c r="AQ63" s="28"/>
      <c r="AR63" s="28"/>
      <c r="AS63" s="28"/>
    </row>
    <row r="64" spans="1:76" s="27" customFormat="1" x14ac:dyDescent="0.2">
      <c r="A64" s="38"/>
      <c r="B64" s="37"/>
      <c r="C64" s="36">
        <f t="shared" si="12"/>
        <v>6.3799999999999741</v>
      </c>
      <c r="D64" s="4" t="s">
        <v>2881</v>
      </c>
      <c r="E64" s="36">
        <f t="shared" si="13"/>
        <v>0.16666666666666599</v>
      </c>
      <c r="F64" s="35" t="s">
        <v>228</v>
      </c>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v>0.16666666666666599</v>
      </c>
      <c r="AH64" s="100"/>
      <c r="AI64" s="100"/>
      <c r="AJ64" s="100"/>
      <c r="AK64" s="28"/>
      <c r="AL64" s="100"/>
      <c r="AM64" s="28"/>
      <c r="AN64" s="123"/>
      <c r="AO64" s="28"/>
      <c r="AP64" s="28"/>
      <c r="AQ64" s="28"/>
      <c r="AR64" s="28"/>
      <c r="AS64" s="28"/>
    </row>
    <row r="65" spans="1:45" s="27" customFormat="1" x14ac:dyDescent="0.2">
      <c r="A65" s="38"/>
      <c r="B65" s="37"/>
      <c r="C65" s="86">
        <f t="shared" si="12"/>
        <v>6.3799999999999741</v>
      </c>
      <c r="D65" s="3" t="s">
        <v>2882</v>
      </c>
      <c r="E65" s="86">
        <f t="shared" si="13"/>
        <v>0.16666666666666599</v>
      </c>
      <c r="F65" s="35" t="s">
        <v>228</v>
      </c>
      <c r="H65" s="28"/>
      <c r="I65" s="28"/>
      <c r="L65" s="28"/>
      <c r="M65" s="28"/>
      <c r="N65" s="28"/>
      <c r="O65" s="28"/>
      <c r="P65" s="28"/>
      <c r="Q65" s="100"/>
      <c r="R65" s="100"/>
      <c r="S65" s="28"/>
      <c r="T65" s="28"/>
      <c r="U65" s="28"/>
      <c r="V65" s="28"/>
      <c r="W65" s="28"/>
      <c r="X65" s="28"/>
      <c r="Y65" s="28"/>
      <c r="Z65" s="28"/>
      <c r="AA65" s="28"/>
      <c r="AB65" s="28"/>
      <c r="AC65" s="28"/>
      <c r="AD65" s="100"/>
      <c r="AE65" s="100"/>
      <c r="AF65" s="100"/>
      <c r="AG65" s="100">
        <v>0.16666666666666599</v>
      </c>
      <c r="AH65" s="100"/>
      <c r="AI65" s="100"/>
      <c r="AJ65" s="100"/>
      <c r="AK65" s="28"/>
      <c r="AL65" s="100"/>
      <c r="AM65" s="28"/>
      <c r="AN65" s="123"/>
      <c r="AO65" s="28"/>
      <c r="AP65" s="28"/>
      <c r="AQ65" s="28"/>
      <c r="AR65" s="28"/>
      <c r="AS65" s="28"/>
    </row>
    <row r="66" spans="1:45" s="27" customFormat="1" x14ac:dyDescent="0.2">
      <c r="A66" s="38"/>
      <c r="B66" s="37"/>
      <c r="C66" s="86">
        <f t="shared" si="12"/>
        <v>6.3800000000000114</v>
      </c>
      <c r="D66" s="3" t="s">
        <v>8741</v>
      </c>
      <c r="E66" s="86">
        <f t="shared" si="13"/>
        <v>0.16666666666666696</v>
      </c>
      <c r="F66" s="35" t="s">
        <v>228</v>
      </c>
      <c r="H66" s="28"/>
      <c r="I66" s="28"/>
      <c r="L66" s="28"/>
      <c r="M66" s="28"/>
      <c r="N66" s="28"/>
      <c r="O66" s="28"/>
      <c r="P66" s="28"/>
      <c r="Q66" s="100"/>
      <c r="R66" s="100"/>
      <c r="S66" s="28"/>
      <c r="T66" s="28"/>
      <c r="U66" s="28"/>
      <c r="V66" s="28"/>
      <c r="W66" s="28"/>
      <c r="X66" s="28"/>
      <c r="Y66" s="28"/>
      <c r="Z66" s="28"/>
      <c r="AA66" s="28"/>
      <c r="AB66" s="28"/>
      <c r="AC66" s="28"/>
      <c r="AD66" s="100"/>
      <c r="AE66" s="100"/>
      <c r="AF66" s="100"/>
      <c r="AG66" s="101">
        <v>0.16666666666666696</v>
      </c>
      <c r="AH66" s="101"/>
      <c r="AI66" s="100"/>
      <c r="AJ66" s="100"/>
      <c r="AK66" s="28"/>
      <c r="AL66" s="100"/>
      <c r="AM66" s="28"/>
      <c r="AN66" s="123"/>
      <c r="AO66" s="28"/>
      <c r="AP66" s="28"/>
      <c r="AQ66" s="28"/>
      <c r="AR66" s="28"/>
      <c r="AS66" s="28"/>
    </row>
    <row r="67" spans="1:45" s="27" customFormat="1" x14ac:dyDescent="0.2">
      <c r="A67" s="38"/>
      <c r="B67" s="37"/>
      <c r="C67" s="36">
        <f t="shared" si="12"/>
        <v>-38.28</v>
      </c>
      <c r="D67" s="421" t="s">
        <v>266</v>
      </c>
      <c r="E67" s="411">
        <f t="shared" si="13"/>
        <v>-1</v>
      </c>
      <c r="F67" s="35" t="s">
        <v>228</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v>-1</v>
      </c>
      <c r="AI67" s="100"/>
      <c r="AJ67" s="101"/>
      <c r="AK67" s="28"/>
      <c r="AL67" s="100"/>
      <c r="AM67" s="28"/>
      <c r="AN67" s="123"/>
      <c r="AO67" s="28"/>
      <c r="AP67" s="28"/>
      <c r="AQ67" s="28"/>
      <c r="AR67" s="28"/>
      <c r="AS67" s="28"/>
    </row>
    <row r="68" spans="1:45" s="27" customFormat="1" ht="24" x14ac:dyDescent="0.2">
      <c r="A68" s="38"/>
      <c r="B68" s="37"/>
      <c r="C68" s="36">
        <f t="shared" si="12"/>
        <v>38.28</v>
      </c>
      <c r="D68" s="4" t="s">
        <v>1264</v>
      </c>
      <c r="E68" s="36">
        <f t="shared" si="13"/>
        <v>1</v>
      </c>
      <c r="F68" s="35" t="s">
        <v>228</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v>1</v>
      </c>
      <c r="AI68" s="101"/>
      <c r="AJ68" s="100"/>
      <c r="AK68" s="28"/>
      <c r="AL68" s="100"/>
      <c r="AM68" s="28"/>
      <c r="AN68" s="124"/>
      <c r="AO68" s="28"/>
      <c r="AP68" s="28"/>
      <c r="AQ68" s="28"/>
      <c r="AR68" s="28"/>
      <c r="AS68" s="28"/>
    </row>
    <row r="69" spans="1:45" s="27" customFormat="1" x14ac:dyDescent="0.2">
      <c r="A69" s="38"/>
      <c r="B69" s="37"/>
      <c r="C69" s="36">
        <f t="shared" si="12"/>
        <v>-38.28</v>
      </c>
      <c r="D69" s="421" t="s">
        <v>1272</v>
      </c>
      <c r="E69" s="411">
        <f t="shared" si="13"/>
        <v>-1</v>
      </c>
      <c r="F69" s="35" t="s">
        <v>228</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v>-1</v>
      </c>
      <c r="AJ69" s="101"/>
      <c r="AK69" s="28"/>
      <c r="AL69" s="100"/>
      <c r="AM69" s="28"/>
      <c r="AN69" s="123"/>
      <c r="AO69" s="28"/>
      <c r="AP69" s="28"/>
      <c r="AQ69" s="28"/>
      <c r="AR69" s="28"/>
      <c r="AS69" s="28"/>
    </row>
    <row r="70" spans="1:45" s="27" customFormat="1" ht="24" x14ac:dyDescent="0.2">
      <c r="A70" s="38"/>
      <c r="B70" s="37"/>
      <c r="C70" s="36">
        <f t="shared" si="12"/>
        <v>38.28</v>
      </c>
      <c r="D70" s="89" t="s">
        <v>1273</v>
      </c>
      <c r="E70" s="36">
        <f t="shared" si="13"/>
        <v>1</v>
      </c>
      <c r="F70" s="35" t="s">
        <v>228</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v>1</v>
      </c>
      <c r="AJ70" s="101"/>
      <c r="AK70" s="28"/>
      <c r="AL70" s="100"/>
      <c r="AM70" s="28"/>
      <c r="AN70" s="123"/>
      <c r="AO70" s="28"/>
      <c r="AP70" s="28"/>
      <c r="AQ70" s="28"/>
      <c r="AR70" s="28"/>
      <c r="AS70" s="28"/>
    </row>
    <row r="71" spans="1:45" s="27" customFormat="1" x14ac:dyDescent="0.2">
      <c r="A71" s="38"/>
      <c r="B71" s="37"/>
      <c r="C71" s="36">
        <f t="shared" si="12"/>
        <v>-19.14</v>
      </c>
      <c r="D71" s="418" t="s">
        <v>2838</v>
      </c>
      <c r="E71" s="411">
        <f t="shared" si="13"/>
        <v>-0.5</v>
      </c>
      <c r="F71" s="35" t="s">
        <v>228</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v>-0.5</v>
      </c>
      <c r="AK71" s="28"/>
      <c r="AL71" s="100"/>
      <c r="AM71" s="28"/>
      <c r="AN71" s="123"/>
      <c r="AO71" s="28"/>
      <c r="AP71" s="28"/>
      <c r="AQ71" s="28"/>
      <c r="AR71" s="28"/>
      <c r="AS71" s="28"/>
    </row>
    <row r="72" spans="1:45" s="27" customFormat="1" x14ac:dyDescent="0.2">
      <c r="A72" s="38"/>
      <c r="B72" s="37"/>
      <c r="C72" s="36">
        <f t="shared" si="12"/>
        <v>-19.14</v>
      </c>
      <c r="D72" s="418" t="s">
        <v>2839</v>
      </c>
      <c r="E72" s="411">
        <f t="shared" si="13"/>
        <v>-0.5</v>
      </c>
      <c r="F72" s="35" t="s">
        <v>228</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v>-0.5</v>
      </c>
      <c r="AK72" s="28"/>
      <c r="AL72" s="100"/>
      <c r="AM72" s="28"/>
      <c r="AN72" s="123"/>
      <c r="AO72" s="28"/>
      <c r="AP72" s="28"/>
      <c r="AQ72" s="28"/>
      <c r="AR72" s="28"/>
      <c r="AS72" s="28"/>
    </row>
    <row r="73" spans="1:45" s="27" customFormat="1" x14ac:dyDescent="0.2">
      <c r="A73" s="38"/>
      <c r="B73" s="37"/>
      <c r="C73" s="86">
        <f t="shared" si="12"/>
        <v>38.28</v>
      </c>
      <c r="D73" s="66" t="s">
        <v>1293</v>
      </c>
      <c r="E73" s="86">
        <f t="shared" si="13"/>
        <v>1</v>
      </c>
      <c r="F73" s="35" t="s">
        <v>228</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v>1</v>
      </c>
      <c r="AK73" s="28"/>
      <c r="AL73" s="100"/>
      <c r="AM73" s="28"/>
      <c r="AN73" s="123"/>
      <c r="AO73" s="28"/>
      <c r="AP73" s="28"/>
      <c r="AQ73" s="28"/>
      <c r="AR73" s="28"/>
      <c r="AS73" s="28"/>
    </row>
    <row r="74" spans="1:45" s="27" customFormat="1" ht="24" x14ac:dyDescent="0.2">
      <c r="A74" s="38"/>
      <c r="B74" s="37"/>
      <c r="C74" s="86">
        <f t="shared" si="12"/>
        <v>-38.28</v>
      </c>
      <c r="D74" s="418" t="s">
        <v>2863</v>
      </c>
      <c r="E74" s="413">
        <f t="shared" ref="E74:E137" si="17">SUM(G74:HT74)</f>
        <v>-1</v>
      </c>
      <c r="F74" s="35" t="s">
        <v>228</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v>-1</v>
      </c>
      <c r="AL74" s="100"/>
      <c r="AM74" s="28"/>
      <c r="AN74" s="123"/>
      <c r="AO74" s="28"/>
      <c r="AP74" s="28"/>
      <c r="AQ74" s="28"/>
      <c r="AR74" s="28"/>
      <c r="AS74" s="28"/>
    </row>
    <row r="75" spans="1:45" s="27" customFormat="1" x14ac:dyDescent="0.2">
      <c r="A75" s="38"/>
      <c r="B75" s="37"/>
      <c r="C75" s="36">
        <f t="shared" si="12"/>
        <v>38.28</v>
      </c>
      <c r="D75" s="66" t="s">
        <v>230</v>
      </c>
      <c r="E75" s="36">
        <f t="shared" si="17"/>
        <v>1</v>
      </c>
      <c r="F75" s="35" t="s">
        <v>228</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v>1</v>
      </c>
      <c r="AL75" s="100"/>
      <c r="AM75" s="28"/>
      <c r="AN75" s="100"/>
      <c r="AO75" s="28"/>
      <c r="AP75" s="28"/>
      <c r="AQ75" s="28"/>
      <c r="AR75" s="28"/>
      <c r="AS75" s="28"/>
    </row>
    <row r="76" spans="1:45" s="27" customFormat="1" x14ac:dyDescent="0.2">
      <c r="A76" s="38"/>
      <c r="B76" s="37"/>
      <c r="C76" s="36">
        <f t="shared" si="12"/>
        <v>-38.28</v>
      </c>
      <c r="D76" s="418" t="s">
        <v>774</v>
      </c>
      <c r="E76" s="411">
        <f t="shared" si="17"/>
        <v>-1</v>
      </c>
      <c r="F76" s="35" t="s">
        <v>228</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v>-1</v>
      </c>
      <c r="AM76" s="28"/>
      <c r="AN76" s="100"/>
      <c r="AO76" s="28"/>
      <c r="AP76" s="28"/>
      <c r="AQ76" s="28"/>
      <c r="AR76" s="28"/>
      <c r="AS76" s="28"/>
    </row>
    <row r="77" spans="1:45" s="27" customFormat="1" x14ac:dyDescent="0.2">
      <c r="A77" s="38"/>
      <c r="B77" s="37"/>
      <c r="C77" s="36">
        <f t="shared" si="12"/>
        <v>38.28</v>
      </c>
      <c r="D77" s="88" t="s">
        <v>775</v>
      </c>
      <c r="E77" s="36">
        <f t="shared" si="17"/>
        <v>1</v>
      </c>
      <c r="F77" s="35" t="s">
        <v>228</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v>1</v>
      </c>
      <c r="AM77" s="28"/>
      <c r="AN77" s="100"/>
      <c r="AO77" s="28"/>
      <c r="AP77" s="28"/>
      <c r="AQ77" s="28"/>
      <c r="AR77" s="28"/>
      <c r="AS77" s="28"/>
    </row>
    <row r="78" spans="1:45" s="27" customFormat="1" x14ac:dyDescent="0.2">
      <c r="A78" s="38"/>
      <c r="B78" s="37"/>
      <c r="C78" s="36">
        <f t="shared" si="12"/>
        <v>-76.56</v>
      </c>
      <c r="D78" s="418" t="s">
        <v>1432</v>
      </c>
      <c r="E78" s="411">
        <f t="shared" si="17"/>
        <v>-2</v>
      </c>
      <c r="F78" s="35" t="s">
        <v>228</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v>-1</v>
      </c>
      <c r="AN78" s="100">
        <v>-1</v>
      </c>
      <c r="AO78" s="28"/>
      <c r="AP78" s="28"/>
      <c r="AQ78" s="28"/>
      <c r="AR78" s="28"/>
      <c r="AS78" s="28"/>
    </row>
    <row r="79" spans="1:45" s="27" customFormat="1" x14ac:dyDescent="0.2">
      <c r="A79" s="38"/>
      <c r="B79" s="37"/>
      <c r="C79" s="86">
        <f t="shared" si="12"/>
        <v>38.28</v>
      </c>
      <c r="D79" s="3" t="s">
        <v>1433</v>
      </c>
      <c r="E79" s="86">
        <f t="shared" si="17"/>
        <v>1</v>
      </c>
      <c r="F79" s="35" t="s">
        <v>228</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v>1</v>
      </c>
      <c r="AN79" s="100"/>
      <c r="AO79" s="28"/>
      <c r="AP79" s="28"/>
      <c r="AQ79" s="28"/>
      <c r="AR79" s="28"/>
      <c r="AS79" s="28"/>
    </row>
    <row r="80" spans="1:45" s="27" customFormat="1" x14ac:dyDescent="0.2">
      <c r="A80" s="38"/>
      <c r="B80" s="37"/>
      <c r="C80" s="36">
        <f t="shared" si="12"/>
        <v>38.28</v>
      </c>
      <c r="D80" s="66" t="s">
        <v>2883</v>
      </c>
      <c r="E80" s="36">
        <f t="shared" si="17"/>
        <v>1</v>
      </c>
      <c r="F80" s="35" t="s">
        <v>228</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v>1</v>
      </c>
      <c r="AO80" s="28"/>
      <c r="AP80" s="28"/>
      <c r="AQ80" s="28"/>
      <c r="AR80" s="28"/>
      <c r="AS80" s="28"/>
    </row>
    <row r="81" spans="1:49" s="27" customFormat="1" ht="24" x14ac:dyDescent="0.2">
      <c r="A81" s="38"/>
      <c r="B81" s="37"/>
      <c r="C81" s="86">
        <f t="shared" si="12"/>
        <v>-38.28</v>
      </c>
      <c r="D81" s="422" t="s">
        <v>1444</v>
      </c>
      <c r="E81" s="413">
        <f t="shared" si="17"/>
        <v>-1</v>
      </c>
      <c r="F81" s="35" t="s">
        <v>228</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v>-1</v>
      </c>
      <c r="AP81" s="28"/>
      <c r="AQ81" s="28"/>
      <c r="AR81" s="28"/>
      <c r="AS81" s="28"/>
    </row>
    <row r="82" spans="1:49" s="27" customFormat="1" x14ac:dyDescent="0.2">
      <c r="A82" s="38"/>
      <c r="B82" s="37"/>
      <c r="C82" s="36">
        <f t="shared" si="12"/>
        <v>76.56</v>
      </c>
      <c r="D82" s="66" t="s">
        <v>114</v>
      </c>
      <c r="E82" s="36">
        <f t="shared" si="17"/>
        <v>2</v>
      </c>
      <c r="F82" s="35" t="s">
        <v>228</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v>1</v>
      </c>
      <c r="AP82" s="28"/>
      <c r="AQ82" s="28"/>
      <c r="AR82" s="28"/>
      <c r="AS82" s="28"/>
      <c r="AU82" s="27">
        <v>1</v>
      </c>
    </row>
    <row r="83" spans="1:49" s="27" customFormat="1" x14ac:dyDescent="0.2">
      <c r="A83" s="38"/>
      <c r="B83" s="37"/>
      <c r="C83" s="86">
        <f t="shared" si="12"/>
        <v>-38.28</v>
      </c>
      <c r="D83" s="422" t="s">
        <v>2884</v>
      </c>
      <c r="E83" s="413">
        <f t="shared" si="17"/>
        <v>-1</v>
      </c>
      <c r="F83" s="35" t="s">
        <v>228</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v>-1</v>
      </c>
      <c r="AQ83" s="28"/>
      <c r="AR83" s="28"/>
      <c r="AS83" s="28"/>
    </row>
    <row r="84" spans="1:49" s="27" customFormat="1" ht="25.5" x14ac:dyDescent="0.2">
      <c r="A84" s="38"/>
      <c r="B84" s="37" t="s">
        <v>156</v>
      </c>
      <c r="C84" s="36">
        <f t="shared" si="12"/>
        <v>38.28</v>
      </c>
      <c r="D84" s="66" t="s">
        <v>2885</v>
      </c>
      <c r="E84" s="36">
        <f t="shared" si="17"/>
        <v>1</v>
      </c>
      <c r="F84" s="35" t="s">
        <v>228</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v>1</v>
      </c>
      <c r="AQ84" s="28"/>
      <c r="AR84" s="28"/>
      <c r="AS84" s="28"/>
    </row>
    <row r="85" spans="1:49" s="27" customFormat="1" ht="24" x14ac:dyDescent="0.2">
      <c r="A85" s="38"/>
      <c r="B85" s="37"/>
      <c r="C85" s="36">
        <f t="shared" si="12"/>
        <v>-38.28</v>
      </c>
      <c r="D85" s="418" t="s">
        <v>2886</v>
      </c>
      <c r="E85" s="411">
        <f t="shared" si="17"/>
        <v>-1</v>
      </c>
      <c r="F85" s="35" t="s">
        <v>228</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v>-1</v>
      </c>
      <c r="AR85" s="28"/>
      <c r="AS85" s="28"/>
    </row>
    <row r="86" spans="1:49" s="27" customFormat="1" ht="25.5" x14ac:dyDescent="0.2">
      <c r="A86" s="38"/>
      <c r="B86" s="37" t="s">
        <v>156</v>
      </c>
      <c r="C86" s="36">
        <f t="shared" si="12"/>
        <v>38.28</v>
      </c>
      <c r="D86" s="66" t="s">
        <v>2887</v>
      </c>
      <c r="E86" s="36">
        <f t="shared" si="17"/>
        <v>1</v>
      </c>
      <c r="F86" s="35" t="s">
        <v>228</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v>1</v>
      </c>
      <c r="AR86" s="28"/>
      <c r="AS86" s="28"/>
    </row>
    <row r="87" spans="1:49" s="27" customFormat="1" x14ac:dyDescent="0.2">
      <c r="A87" s="38"/>
      <c r="B87" s="37"/>
      <c r="C87" s="36">
        <f t="shared" si="12"/>
        <v>0</v>
      </c>
      <c r="D87" s="336" t="s">
        <v>1584</v>
      </c>
      <c r="E87" s="36">
        <f t="shared" si="17"/>
        <v>0</v>
      </c>
      <c r="F87" s="35" t="s">
        <v>228</v>
      </c>
      <c r="Q87" s="100"/>
      <c r="R87" s="100"/>
      <c r="AD87" s="100"/>
      <c r="AE87" s="100"/>
      <c r="AF87" s="100"/>
      <c r="AG87" s="100"/>
      <c r="AH87" s="100"/>
      <c r="AI87" s="100"/>
      <c r="AJ87" s="100"/>
      <c r="AL87" s="100"/>
      <c r="AN87" s="100"/>
    </row>
    <row r="88" spans="1:49" s="27" customFormat="1" x14ac:dyDescent="0.2">
      <c r="A88" s="38"/>
      <c r="B88" s="37"/>
      <c r="C88" s="86">
        <f t="shared" si="12"/>
        <v>0</v>
      </c>
      <c r="D88" s="3" t="s">
        <v>1585</v>
      </c>
      <c r="E88" s="86">
        <f t="shared" si="17"/>
        <v>0</v>
      </c>
      <c r="F88" s="35" t="s">
        <v>228</v>
      </c>
      <c r="Q88" s="100"/>
      <c r="R88" s="100"/>
      <c r="AD88" s="100"/>
      <c r="AE88" s="100"/>
      <c r="AF88" s="100"/>
      <c r="AG88" s="100"/>
      <c r="AH88" s="100"/>
      <c r="AI88" s="100"/>
      <c r="AJ88" s="100"/>
      <c r="AL88" s="100"/>
      <c r="AN88" s="100"/>
    </row>
    <row r="89" spans="1:49" s="27" customFormat="1" x14ac:dyDescent="0.2">
      <c r="A89" s="38"/>
      <c r="B89" s="37"/>
      <c r="C89" s="36">
        <f t="shared" si="12"/>
        <v>0</v>
      </c>
      <c r="D89" s="66" t="s">
        <v>8737</v>
      </c>
      <c r="E89" s="36">
        <f t="shared" si="17"/>
        <v>0</v>
      </c>
      <c r="F89" s="35" t="s">
        <v>228</v>
      </c>
      <c r="Q89" s="100"/>
      <c r="R89" s="100"/>
      <c r="AD89" s="100"/>
      <c r="AE89" s="100"/>
      <c r="AF89" s="100"/>
      <c r="AG89" s="100"/>
      <c r="AH89" s="100"/>
      <c r="AI89" s="100"/>
      <c r="AJ89" s="100"/>
      <c r="AL89" s="100"/>
      <c r="AN89" s="100"/>
    </row>
    <row r="90" spans="1:49" s="27" customFormat="1" x14ac:dyDescent="0.2">
      <c r="A90" s="38"/>
      <c r="B90" s="37"/>
      <c r="C90" s="36">
        <f t="shared" si="12"/>
        <v>0</v>
      </c>
      <c r="D90" s="66" t="s">
        <v>8738</v>
      </c>
      <c r="E90" s="86">
        <f t="shared" si="17"/>
        <v>0</v>
      </c>
      <c r="F90" s="35" t="s">
        <v>228</v>
      </c>
      <c r="Q90" s="100"/>
      <c r="R90" s="100"/>
      <c r="AD90" s="100"/>
      <c r="AE90" s="100"/>
      <c r="AF90" s="100"/>
      <c r="AG90" s="100"/>
      <c r="AH90" s="100"/>
      <c r="AI90" s="100"/>
      <c r="AJ90" s="100"/>
      <c r="AL90" s="100"/>
      <c r="AN90" s="100"/>
    </row>
    <row r="91" spans="1:49" s="27" customFormat="1" x14ac:dyDescent="0.2">
      <c r="A91" s="38"/>
      <c r="B91" s="37"/>
      <c r="C91" s="86">
        <f t="shared" si="12"/>
        <v>0</v>
      </c>
      <c r="D91" s="66" t="s">
        <v>119</v>
      </c>
      <c r="E91" s="86">
        <f t="shared" si="17"/>
        <v>0</v>
      </c>
      <c r="F91" s="35" t="s">
        <v>228</v>
      </c>
      <c r="Q91" s="100"/>
      <c r="R91" s="100"/>
      <c r="AD91" s="100"/>
      <c r="AE91" s="100"/>
      <c r="AF91" s="100"/>
      <c r="AG91" s="100"/>
      <c r="AH91" s="100"/>
      <c r="AI91" s="100"/>
      <c r="AJ91" s="100"/>
      <c r="AL91" s="100"/>
      <c r="AN91" s="100"/>
    </row>
    <row r="92" spans="1:49" s="27" customFormat="1" x14ac:dyDescent="0.2">
      <c r="A92" s="38"/>
      <c r="B92" s="37"/>
      <c r="C92" s="36">
        <f t="shared" si="12"/>
        <v>0</v>
      </c>
      <c r="D92" s="66" t="s">
        <v>8739</v>
      </c>
      <c r="E92" s="86">
        <f t="shared" si="17"/>
        <v>0</v>
      </c>
      <c r="F92" s="35" t="s">
        <v>228</v>
      </c>
      <c r="Q92" s="100"/>
      <c r="R92" s="100"/>
      <c r="AD92" s="100"/>
      <c r="AE92" s="100"/>
      <c r="AF92" s="100"/>
      <c r="AG92" s="100"/>
      <c r="AH92" s="100"/>
      <c r="AI92" s="100"/>
      <c r="AJ92" s="100"/>
      <c r="AL92" s="100"/>
      <c r="AN92" s="100"/>
    </row>
    <row r="93" spans="1:49" s="27" customFormat="1" ht="24" x14ac:dyDescent="0.2">
      <c r="A93" s="38"/>
      <c r="B93" s="37"/>
      <c r="C93" s="86">
        <f t="shared" si="12"/>
        <v>-38.28</v>
      </c>
      <c r="D93" s="418" t="s">
        <v>1604</v>
      </c>
      <c r="E93" s="413">
        <f t="shared" si="17"/>
        <v>-1</v>
      </c>
      <c r="F93" s="35" t="s">
        <v>228</v>
      </c>
      <c r="Q93" s="100"/>
      <c r="R93" s="100"/>
      <c r="AD93" s="100"/>
      <c r="AE93" s="100"/>
      <c r="AF93" s="100"/>
      <c r="AG93" s="100"/>
      <c r="AH93" s="100"/>
      <c r="AI93" s="100"/>
      <c r="AJ93" s="100"/>
      <c r="AL93" s="100"/>
      <c r="AN93" s="100"/>
      <c r="AU93" s="27">
        <v>-1</v>
      </c>
    </row>
    <row r="94" spans="1:49" s="27" customFormat="1" ht="24" x14ac:dyDescent="0.2">
      <c r="A94" s="38"/>
      <c r="B94" s="37"/>
      <c r="C94" s="36">
        <f t="shared" si="12"/>
        <v>-38.28</v>
      </c>
      <c r="D94" s="418" t="s">
        <v>1609</v>
      </c>
      <c r="E94" s="413">
        <f t="shared" si="17"/>
        <v>-1</v>
      </c>
      <c r="F94" s="35" t="s">
        <v>228</v>
      </c>
      <c r="Q94" s="100"/>
      <c r="R94" s="100"/>
      <c r="AD94" s="100"/>
      <c r="AE94" s="100"/>
      <c r="AF94" s="100"/>
      <c r="AG94" s="100"/>
      <c r="AH94" s="100"/>
      <c r="AI94" s="100"/>
      <c r="AJ94" s="100"/>
      <c r="AL94" s="100"/>
      <c r="AN94" s="100"/>
      <c r="AV94" s="27">
        <v>-1</v>
      </c>
    </row>
    <row r="95" spans="1:49" s="27" customFormat="1" x14ac:dyDescent="0.2">
      <c r="A95" s="38"/>
      <c r="B95" s="37"/>
      <c r="C95" s="86">
        <f t="shared" si="12"/>
        <v>38.28</v>
      </c>
      <c r="D95" s="66" t="s">
        <v>1610</v>
      </c>
      <c r="E95" s="86">
        <f t="shared" si="17"/>
        <v>1</v>
      </c>
      <c r="F95" s="35" t="s">
        <v>228</v>
      </c>
      <c r="Q95" s="100"/>
      <c r="R95" s="100"/>
      <c r="AD95" s="100"/>
      <c r="AE95" s="100"/>
      <c r="AF95" s="100"/>
      <c r="AG95" s="100"/>
      <c r="AH95" s="100"/>
      <c r="AI95" s="100"/>
      <c r="AJ95" s="100"/>
      <c r="AL95" s="100"/>
      <c r="AN95" s="100"/>
      <c r="AV95" s="27">
        <v>1</v>
      </c>
    </row>
    <row r="96" spans="1:49" s="27" customFormat="1" ht="24" x14ac:dyDescent="0.2">
      <c r="A96" s="38"/>
      <c r="B96" s="37"/>
      <c r="C96" s="36">
        <f t="shared" si="12"/>
        <v>-38.28</v>
      </c>
      <c r="D96" s="418" t="s">
        <v>2888</v>
      </c>
      <c r="E96" s="411">
        <f t="shared" si="17"/>
        <v>-1</v>
      </c>
      <c r="F96" s="35" t="s">
        <v>228</v>
      </c>
      <c r="Q96" s="100"/>
      <c r="R96" s="100"/>
      <c r="AD96" s="100"/>
      <c r="AE96" s="100"/>
      <c r="AF96" s="100"/>
      <c r="AG96" s="100"/>
      <c r="AH96" s="100"/>
      <c r="AI96" s="100"/>
      <c r="AJ96" s="100"/>
      <c r="AL96" s="100"/>
      <c r="AN96" s="100"/>
      <c r="AW96" s="27">
        <v>-1</v>
      </c>
    </row>
    <row r="97" spans="1:58" s="27" customFormat="1" ht="24" x14ac:dyDescent="0.2">
      <c r="A97" s="38"/>
      <c r="B97" s="37"/>
      <c r="C97" s="36">
        <f t="shared" si="12"/>
        <v>38.28</v>
      </c>
      <c r="D97" s="66" t="s">
        <v>2889</v>
      </c>
      <c r="E97" s="36">
        <f t="shared" si="17"/>
        <v>1</v>
      </c>
      <c r="F97" s="35" t="s">
        <v>228</v>
      </c>
      <c r="Q97" s="100"/>
      <c r="R97" s="100"/>
      <c r="AD97" s="100"/>
      <c r="AE97" s="100"/>
      <c r="AF97" s="100"/>
      <c r="AG97" s="100"/>
      <c r="AH97" s="100"/>
      <c r="AI97" s="100"/>
      <c r="AJ97" s="100"/>
      <c r="AL97" s="100"/>
      <c r="AN97" s="100"/>
      <c r="AW97" s="27">
        <v>1</v>
      </c>
    </row>
    <row r="98" spans="1:58" s="27" customFormat="1" x14ac:dyDescent="0.2">
      <c r="A98" s="38"/>
      <c r="B98" s="37"/>
      <c r="C98" s="36">
        <f t="shared" si="12"/>
        <v>0</v>
      </c>
      <c r="D98" s="66" t="s">
        <v>1677</v>
      </c>
      <c r="E98" s="36">
        <f t="shared" si="17"/>
        <v>0</v>
      </c>
      <c r="F98" s="35" t="s">
        <v>228</v>
      </c>
      <c r="Q98" s="100"/>
      <c r="R98" s="100"/>
      <c r="AD98" s="100"/>
      <c r="AE98" s="100"/>
      <c r="AF98" s="100"/>
      <c r="AG98" s="100"/>
      <c r="AH98" s="100"/>
      <c r="AI98" s="100"/>
      <c r="AJ98" s="100"/>
      <c r="AL98" s="100"/>
      <c r="AN98" s="100"/>
    </row>
    <row r="99" spans="1:58" s="27" customFormat="1" x14ac:dyDescent="0.2">
      <c r="A99" s="38"/>
      <c r="B99" s="37"/>
      <c r="C99" s="36">
        <f t="shared" si="12"/>
        <v>0</v>
      </c>
      <c r="D99" s="3" t="s">
        <v>8742</v>
      </c>
      <c r="E99" s="36">
        <f t="shared" si="17"/>
        <v>0</v>
      </c>
      <c r="F99" s="35" t="s">
        <v>228</v>
      </c>
      <c r="Q99" s="100"/>
      <c r="R99" s="100"/>
      <c r="AD99" s="100"/>
      <c r="AE99" s="100"/>
      <c r="AF99" s="100"/>
      <c r="AG99" s="100"/>
      <c r="AH99" s="100"/>
      <c r="AI99" s="100"/>
      <c r="AJ99" s="100"/>
      <c r="AL99" s="100"/>
      <c r="AN99" s="100"/>
    </row>
    <row r="100" spans="1:58" s="27" customFormat="1" x14ac:dyDescent="0.2">
      <c r="A100" s="38"/>
      <c r="B100" s="37"/>
      <c r="C100" s="36">
        <f t="shared" si="12"/>
        <v>0</v>
      </c>
      <c r="D100" s="3" t="s">
        <v>8743</v>
      </c>
      <c r="E100" s="36">
        <f t="shared" si="17"/>
        <v>0</v>
      </c>
      <c r="F100" s="35" t="s">
        <v>228</v>
      </c>
      <c r="Q100" s="100"/>
      <c r="R100" s="100"/>
      <c r="AD100" s="100"/>
      <c r="AE100" s="100"/>
      <c r="AF100" s="100"/>
      <c r="AG100" s="100"/>
      <c r="AH100" s="100"/>
      <c r="AI100" s="100"/>
      <c r="AJ100" s="100"/>
      <c r="AL100" s="100"/>
      <c r="AN100" s="100"/>
    </row>
    <row r="101" spans="1:58" s="27" customFormat="1" x14ac:dyDescent="0.2">
      <c r="A101" s="38"/>
      <c r="B101" s="37"/>
      <c r="C101" s="36">
        <f t="shared" si="12"/>
        <v>-38.28</v>
      </c>
      <c r="D101" s="420" t="s">
        <v>1697</v>
      </c>
      <c r="E101" s="411">
        <f t="shared" si="17"/>
        <v>-1</v>
      </c>
      <c r="F101" s="35" t="s">
        <v>228</v>
      </c>
      <c r="Q101" s="100"/>
      <c r="R101" s="100"/>
      <c r="AD101" s="100"/>
      <c r="AE101" s="100"/>
      <c r="AF101" s="100"/>
      <c r="AG101" s="100"/>
      <c r="AH101" s="100"/>
      <c r="AI101" s="100"/>
      <c r="AJ101" s="100"/>
      <c r="AL101" s="100"/>
      <c r="AN101" s="100"/>
      <c r="AZ101" s="27">
        <v>-1</v>
      </c>
    </row>
    <row r="102" spans="1:58" s="27" customFormat="1" x14ac:dyDescent="0.2">
      <c r="A102" s="38"/>
      <c r="B102" s="37"/>
      <c r="C102" s="36">
        <f t="shared" si="12"/>
        <v>38.28</v>
      </c>
      <c r="D102" s="20" t="s">
        <v>1698</v>
      </c>
      <c r="E102" s="36">
        <f t="shared" si="17"/>
        <v>1</v>
      </c>
      <c r="F102" s="35" t="s">
        <v>228</v>
      </c>
      <c r="Q102" s="100"/>
      <c r="R102" s="100"/>
      <c r="AD102" s="100"/>
      <c r="AE102" s="100"/>
      <c r="AF102" s="100"/>
      <c r="AG102" s="100"/>
      <c r="AH102" s="100"/>
      <c r="AI102" s="100"/>
      <c r="AJ102" s="100"/>
      <c r="AL102" s="100"/>
      <c r="AN102" s="100"/>
      <c r="AZ102" s="27">
        <v>1</v>
      </c>
    </row>
    <row r="103" spans="1:58" s="27" customFormat="1" x14ac:dyDescent="0.2">
      <c r="A103" s="38"/>
      <c r="B103" s="37"/>
      <c r="C103" s="36">
        <f t="shared" si="12"/>
        <v>0</v>
      </c>
      <c r="D103" s="20" t="s">
        <v>8744</v>
      </c>
      <c r="E103" s="36">
        <f t="shared" si="17"/>
        <v>0</v>
      </c>
      <c r="F103" s="35" t="s">
        <v>228</v>
      </c>
      <c r="Q103" s="100"/>
      <c r="R103" s="100"/>
      <c r="AD103" s="100"/>
      <c r="AE103" s="100"/>
      <c r="AF103" s="100"/>
      <c r="AG103" s="100"/>
      <c r="AH103" s="100"/>
      <c r="AI103" s="100"/>
      <c r="AJ103" s="100"/>
      <c r="AL103" s="100"/>
      <c r="AN103" s="100"/>
    </row>
    <row r="104" spans="1:58" s="27" customFormat="1" x14ac:dyDescent="0.2">
      <c r="A104" s="38"/>
      <c r="B104" s="37"/>
      <c r="C104" s="36">
        <f t="shared" si="12"/>
        <v>0</v>
      </c>
      <c r="D104" s="20" t="s">
        <v>8745</v>
      </c>
      <c r="E104" s="36">
        <f t="shared" si="17"/>
        <v>0</v>
      </c>
      <c r="F104" s="35" t="s">
        <v>228</v>
      </c>
      <c r="Q104" s="100"/>
      <c r="R104" s="100"/>
      <c r="AD104" s="100"/>
      <c r="AE104" s="100"/>
      <c r="AF104" s="100"/>
      <c r="AG104" s="100"/>
      <c r="AH104" s="100"/>
      <c r="AI104" s="100"/>
      <c r="AJ104" s="100"/>
      <c r="AL104" s="100"/>
      <c r="AN104" s="100"/>
    </row>
    <row r="105" spans="1:58" s="27" customFormat="1" x14ac:dyDescent="0.2">
      <c r="A105" s="38"/>
      <c r="B105" s="37"/>
      <c r="C105" s="36">
        <f t="shared" si="12"/>
        <v>-38.28</v>
      </c>
      <c r="D105" s="420" t="s">
        <v>1966</v>
      </c>
      <c r="E105" s="411">
        <f t="shared" si="17"/>
        <v>-1</v>
      </c>
      <c r="F105" s="35" t="s">
        <v>228</v>
      </c>
      <c r="Q105" s="100"/>
      <c r="R105" s="100"/>
      <c r="AD105" s="100"/>
      <c r="AE105" s="100"/>
      <c r="AF105" s="100"/>
      <c r="AG105" s="100"/>
      <c r="AH105" s="100"/>
      <c r="AI105" s="100"/>
      <c r="AJ105" s="100"/>
      <c r="AL105" s="100"/>
      <c r="AN105" s="100"/>
      <c r="BC105" s="27">
        <v>-1</v>
      </c>
    </row>
    <row r="106" spans="1:58" s="27" customFormat="1" ht="25.5" x14ac:dyDescent="0.2">
      <c r="A106" s="38"/>
      <c r="B106" s="37"/>
      <c r="C106" s="36">
        <f t="shared" si="12"/>
        <v>38.28</v>
      </c>
      <c r="D106" s="20" t="s">
        <v>2826</v>
      </c>
      <c r="E106" s="36">
        <f t="shared" si="17"/>
        <v>1</v>
      </c>
      <c r="F106" s="35" t="s">
        <v>228</v>
      </c>
      <c r="Q106" s="100"/>
      <c r="R106" s="100"/>
      <c r="AD106" s="100"/>
      <c r="AE106" s="100"/>
      <c r="AF106" s="100"/>
      <c r="AG106" s="100"/>
      <c r="AH106" s="100"/>
      <c r="AI106" s="100"/>
      <c r="AJ106" s="100"/>
      <c r="AL106" s="100"/>
      <c r="AN106" s="100"/>
      <c r="BC106" s="27">
        <v>1</v>
      </c>
    </row>
    <row r="107" spans="1:58" s="27" customFormat="1" x14ac:dyDescent="0.2">
      <c r="A107" s="38"/>
      <c r="B107" s="37"/>
      <c r="C107" s="36">
        <f t="shared" si="12"/>
        <v>-38.28</v>
      </c>
      <c r="D107" s="420" t="s">
        <v>1992</v>
      </c>
      <c r="E107" s="411">
        <f t="shared" si="17"/>
        <v>-1</v>
      </c>
      <c r="F107" s="35" t="s">
        <v>228</v>
      </c>
      <c r="Q107" s="100"/>
      <c r="R107" s="100"/>
      <c r="AD107" s="100"/>
      <c r="AE107" s="100"/>
      <c r="AF107" s="100"/>
      <c r="AG107" s="100"/>
      <c r="AH107" s="100"/>
      <c r="AI107" s="100"/>
      <c r="AJ107" s="100"/>
      <c r="AL107" s="100"/>
      <c r="AN107" s="100"/>
      <c r="BD107" s="27">
        <v>-1</v>
      </c>
    </row>
    <row r="108" spans="1:58" s="27" customFormat="1" ht="51" x14ac:dyDescent="0.2">
      <c r="A108" s="38"/>
      <c r="B108" s="37"/>
      <c r="C108" s="36">
        <f t="shared" si="12"/>
        <v>38.28</v>
      </c>
      <c r="D108" s="20" t="s">
        <v>1993</v>
      </c>
      <c r="E108" s="36">
        <f t="shared" si="17"/>
        <v>1</v>
      </c>
      <c r="F108" s="35" t="s">
        <v>228</v>
      </c>
      <c r="Q108" s="100"/>
      <c r="R108" s="100"/>
      <c r="AD108" s="100"/>
      <c r="AE108" s="100"/>
      <c r="AF108" s="100"/>
      <c r="AG108" s="100"/>
      <c r="AH108" s="100"/>
      <c r="AI108" s="100"/>
      <c r="AJ108" s="100"/>
      <c r="AL108" s="100"/>
      <c r="AN108" s="100"/>
      <c r="BD108" s="27">
        <v>1</v>
      </c>
    </row>
    <row r="109" spans="1:58" s="27" customFormat="1" x14ac:dyDescent="0.2">
      <c r="A109" s="38"/>
      <c r="B109" s="37"/>
      <c r="C109" s="36">
        <f t="shared" si="12"/>
        <v>-336.54474480000005</v>
      </c>
      <c r="D109" s="420" t="s">
        <v>2117</v>
      </c>
      <c r="E109" s="411">
        <f t="shared" si="17"/>
        <v>-8.7916600000000003</v>
      </c>
      <c r="F109" s="35" t="s">
        <v>228</v>
      </c>
      <c r="Q109" s="100"/>
      <c r="R109" s="100"/>
      <c r="AD109" s="100"/>
      <c r="AE109" s="100"/>
      <c r="AF109" s="100"/>
      <c r="AG109" s="100"/>
      <c r="AH109" s="100"/>
      <c r="AI109" s="100"/>
      <c r="AJ109" s="100"/>
      <c r="AL109" s="100"/>
      <c r="AN109" s="100"/>
      <c r="BE109" s="27">
        <v>-8.7916600000000003</v>
      </c>
    </row>
    <row r="110" spans="1:58" s="27" customFormat="1" x14ac:dyDescent="0.2">
      <c r="A110" s="38"/>
      <c r="B110" s="37"/>
      <c r="C110" s="36">
        <f t="shared" si="12"/>
        <v>336.54474480000005</v>
      </c>
      <c r="D110" s="20" t="s">
        <v>2118</v>
      </c>
      <c r="E110" s="36">
        <f t="shared" si="17"/>
        <v>8.7916600000000003</v>
      </c>
      <c r="F110" s="35" t="s">
        <v>228</v>
      </c>
      <c r="Q110" s="100"/>
      <c r="R110" s="100"/>
      <c r="AD110" s="100"/>
      <c r="AE110" s="100"/>
      <c r="AF110" s="100"/>
      <c r="AG110" s="100"/>
      <c r="AH110" s="100"/>
      <c r="AI110" s="100"/>
      <c r="AJ110" s="100"/>
      <c r="AL110" s="100"/>
      <c r="AN110" s="100"/>
      <c r="BE110" s="27">
        <v>8.7916600000000003</v>
      </c>
    </row>
    <row r="111" spans="1:58" s="27" customFormat="1" ht="25.5" x14ac:dyDescent="0.2">
      <c r="A111" s="38"/>
      <c r="B111" s="37"/>
      <c r="C111" s="36">
        <f t="shared" si="12"/>
        <v>-38.28</v>
      </c>
      <c r="D111" s="420" t="s">
        <v>2890</v>
      </c>
      <c r="E111" s="411">
        <f t="shared" si="17"/>
        <v>-1</v>
      </c>
      <c r="F111" s="35" t="s">
        <v>228</v>
      </c>
      <c r="Q111" s="100"/>
      <c r="R111" s="100"/>
      <c r="AD111" s="100"/>
      <c r="AE111" s="100"/>
      <c r="AF111" s="100"/>
      <c r="AG111" s="100"/>
      <c r="AH111" s="100"/>
      <c r="AI111" s="100"/>
      <c r="AJ111" s="100"/>
      <c r="AL111" s="100"/>
      <c r="AN111" s="100"/>
      <c r="BF111" s="27">
        <v>-1</v>
      </c>
    </row>
    <row r="112" spans="1:58" s="27" customFormat="1" ht="25.5" x14ac:dyDescent="0.2">
      <c r="A112" s="38"/>
      <c r="B112" s="37"/>
      <c r="C112" s="36">
        <f t="shared" si="12"/>
        <v>38.28</v>
      </c>
      <c r="D112" s="20" t="s">
        <v>2154</v>
      </c>
      <c r="E112" s="36">
        <f t="shared" si="17"/>
        <v>1</v>
      </c>
      <c r="F112" s="35" t="s">
        <v>228</v>
      </c>
      <c r="Q112" s="100"/>
      <c r="R112" s="100"/>
      <c r="AD112" s="100"/>
      <c r="AE112" s="100"/>
      <c r="AF112" s="100"/>
      <c r="AG112" s="100"/>
      <c r="AH112" s="100"/>
      <c r="AI112" s="100"/>
      <c r="AJ112" s="100"/>
      <c r="AL112" s="100"/>
      <c r="AN112" s="100"/>
      <c r="BF112" s="27">
        <v>1</v>
      </c>
    </row>
    <row r="113" spans="1:66" s="27" customFormat="1" ht="38.25" x14ac:dyDescent="0.2">
      <c r="A113" s="38"/>
      <c r="B113" s="37"/>
      <c r="C113" s="36">
        <f t="shared" si="12"/>
        <v>-38.28</v>
      </c>
      <c r="D113" s="420" t="s">
        <v>2833</v>
      </c>
      <c r="E113" s="411">
        <f t="shared" si="17"/>
        <v>-1</v>
      </c>
      <c r="F113" s="35" t="s">
        <v>228</v>
      </c>
      <c r="Q113" s="100"/>
      <c r="R113" s="100"/>
      <c r="AD113" s="100"/>
      <c r="AE113" s="100"/>
      <c r="AF113" s="100"/>
      <c r="AG113" s="100"/>
      <c r="AH113" s="100"/>
      <c r="AI113" s="100"/>
      <c r="AJ113" s="100"/>
      <c r="AL113" s="100"/>
      <c r="AN113" s="100"/>
      <c r="BG113" s="27">
        <v>-1</v>
      </c>
    </row>
    <row r="114" spans="1:66" s="27" customFormat="1" x14ac:dyDescent="0.2">
      <c r="A114" s="38"/>
      <c r="B114" s="37"/>
      <c r="C114" s="36">
        <f t="shared" si="12"/>
        <v>38.28</v>
      </c>
      <c r="D114" s="20" t="s">
        <v>186</v>
      </c>
      <c r="E114" s="36">
        <f t="shared" si="17"/>
        <v>1</v>
      </c>
      <c r="F114" s="35" t="s">
        <v>228</v>
      </c>
      <c r="Q114" s="100"/>
      <c r="R114" s="100"/>
      <c r="AD114" s="100"/>
      <c r="AE114" s="100"/>
      <c r="AF114" s="100"/>
      <c r="AG114" s="100"/>
      <c r="AH114" s="100"/>
      <c r="AI114" s="100"/>
      <c r="AJ114" s="100"/>
      <c r="AL114" s="100"/>
      <c r="AN114" s="100"/>
      <c r="BG114" s="27">
        <v>1</v>
      </c>
    </row>
    <row r="115" spans="1:66" s="27" customFormat="1" x14ac:dyDescent="0.2">
      <c r="A115" s="38"/>
      <c r="B115" s="37"/>
      <c r="C115" s="36">
        <f t="shared" si="12"/>
        <v>0</v>
      </c>
      <c r="D115" s="20" t="s">
        <v>8746</v>
      </c>
      <c r="E115" s="36">
        <f t="shared" si="17"/>
        <v>0</v>
      </c>
      <c r="F115" s="35" t="s">
        <v>228</v>
      </c>
      <c r="Q115" s="100"/>
      <c r="R115" s="100"/>
      <c r="AD115" s="100"/>
      <c r="AE115" s="100"/>
      <c r="AF115" s="100"/>
      <c r="AG115" s="100"/>
      <c r="AH115" s="100"/>
      <c r="AI115" s="100"/>
      <c r="AJ115" s="100"/>
      <c r="AL115" s="100"/>
      <c r="AN115" s="100"/>
    </row>
    <row r="116" spans="1:66" s="27" customFormat="1" x14ac:dyDescent="0.2">
      <c r="A116" s="38"/>
      <c r="B116" s="37"/>
      <c r="C116" s="36">
        <f t="shared" si="12"/>
        <v>0</v>
      </c>
      <c r="D116" s="20" t="s">
        <v>2225</v>
      </c>
      <c r="E116" s="36">
        <f t="shared" si="17"/>
        <v>0</v>
      </c>
      <c r="F116" s="35" t="s">
        <v>228</v>
      </c>
      <c r="Q116" s="100"/>
      <c r="R116" s="100"/>
      <c r="AD116" s="100"/>
      <c r="AE116" s="100"/>
      <c r="AF116" s="100"/>
      <c r="AG116" s="100"/>
      <c r="AH116" s="100"/>
      <c r="AI116" s="100"/>
      <c r="AJ116" s="100"/>
      <c r="AL116" s="100"/>
      <c r="AN116" s="100"/>
    </row>
    <row r="117" spans="1:66" s="27" customFormat="1" x14ac:dyDescent="0.2">
      <c r="A117" s="38"/>
      <c r="B117" s="37"/>
      <c r="C117" s="36">
        <f t="shared" si="12"/>
        <v>0</v>
      </c>
      <c r="D117" s="20" t="s">
        <v>2891</v>
      </c>
      <c r="E117" s="36">
        <f t="shared" si="17"/>
        <v>0</v>
      </c>
      <c r="F117" s="35" t="s">
        <v>228</v>
      </c>
      <c r="Q117" s="100"/>
      <c r="R117" s="100"/>
      <c r="AD117" s="100"/>
      <c r="AE117" s="100"/>
      <c r="AF117" s="100"/>
      <c r="AG117" s="100"/>
      <c r="AH117" s="100"/>
      <c r="AI117" s="100"/>
      <c r="AJ117" s="100"/>
      <c r="AL117" s="100"/>
      <c r="AN117" s="100"/>
    </row>
    <row r="118" spans="1:66" s="27" customFormat="1" x14ac:dyDescent="0.2">
      <c r="A118" s="38"/>
      <c r="B118" s="37"/>
      <c r="C118" s="36">
        <f t="shared" si="12"/>
        <v>0</v>
      </c>
      <c r="D118" s="20" t="s">
        <v>2892</v>
      </c>
      <c r="E118" s="36">
        <f t="shared" si="17"/>
        <v>0</v>
      </c>
      <c r="F118" s="35" t="s">
        <v>228</v>
      </c>
      <c r="Q118" s="100"/>
      <c r="R118" s="100"/>
      <c r="AD118" s="100"/>
      <c r="AE118" s="100"/>
      <c r="AF118" s="100"/>
      <c r="AG118" s="100"/>
      <c r="AH118" s="100"/>
      <c r="AI118" s="100"/>
      <c r="AJ118" s="100"/>
      <c r="AL118" s="100"/>
      <c r="AN118" s="100"/>
    </row>
    <row r="119" spans="1:66" s="27" customFormat="1" x14ac:dyDescent="0.2">
      <c r="A119" s="38"/>
      <c r="B119" s="37"/>
      <c r="C119" s="36">
        <f t="shared" ref="C119:C182" si="18">E119*D$5</f>
        <v>0</v>
      </c>
      <c r="D119" s="20" t="s">
        <v>8747</v>
      </c>
      <c r="E119" s="36">
        <f t="shared" si="17"/>
        <v>0</v>
      </c>
      <c r="F119" s="35" t="s">
        <v>228</v>
      </c>
      <c r="Q119" s="100"/>
      <c r="R119" s="100"/>
      <c r="AD119" s="100"/>
      <c r="AE119" s="100"/>
      <c r="AF119" s="100"/>
      <c r="AG119" s="100"/>
      <c r="AH119" s="100"/>
      <c r="AI119" s="100"/>
      <c r="AJ119" s="100"/>
      <c r="AL119" s="100"/>
      <c r="AN119" s="100"/>
    </row>
    <row r="120" spans="1:66" s="27" customFormat="1" x14ac:dyDescent="0.2">
      <c r="A120" s="38"/>
      <c r="B120" s="37"/>
      <c r="C120" s="36">
        <f t="shared" si="18"/>
        <v>-19.14</v>
      </c>
      <c r="D120" s="420" t="s">
        <v>299</v>
      </c>
      <c r="E120" s="411">
        <f t="shared" si="17"/>
        <v>-0.5</v>
      </c>
      <c r="F120" s="35" t="s">
        <v>228</v>
      </c>
      <c r="Q120" s="100"/>
      <c r="R120" s="100"/>
      <c r="AD120" s="100"/>
      <c r="AE120" s="100"/>
      <c r="AF120" s="100"/>
      <c r="AG120" s="100"/>
      <c r="AH120" s="100"/>
      <c r="AI120" s="100"/>
      <c r="AJ120" s="100"/>
      <c r="AL120" s="100"/>
      <c r="AN120" s="100"/>
      <c r="BJ120" s="27">
        <v>-0.5</v>
      </c>
    </row>
    <row r="121" spans="1:66" s="27" customFormat="1" x14ac:dyDescent="0.2">
      <c r="A121" s="38"/>
      <c r="B121" s="37"/>
      <c r="C121" s="36">
        <f t="shared" si="18"/>
        <v>19.14</v>
      </c>
      <c r="D121" s="20" t="s">
        <v>2893</v>
      </c>
      <c r="E121" s="36">
        <f t="shared" si="17"/>
        <v>0.5</v>
      </c>
      <c r="F121" s="35" t="s">
        <v>228</v>
      </c>
      <c r="Q121" s="100"/>
      <c r="R121" s="100"/>
      <c r="AD121" s="100"/>
      <c r="AE121" s="100"/>
      <c r="AF121" s="100"/>
      <c r="AG121" s="100"/>
      <c r="AH121" s="100"/>
      <c r="AI121" s="100"/>
      <c r="AJ121" s="100"/>
      <c r="AL121" s="100"/>
      <c r="AN121" s="100"/>
      <c r="BJ121" s="27">
        <v>0.5</v>
      </c>
    </row>
    <row r="122" spans="1:66" s="27" customFormat="1" x14ac:dyDescent="0.2">
      <c r="A122" s="38"/>
      <c r="B122" s="37"/>
      <c r="C122" s="36">
        <f t="shared" si="18"/>
        <v>-38.28</v>
      </c>
      <c r="D122" s="420" t="s">
        <v>2297</v>
      </c>
      <c r="E122" s="411">
        <f t="shared" si="17"/>
        <v>-1</v>
      </c>
      <c r="F122" s="35" t="s">
        <v>228</v>
      </c>
      <c r="Q122" s="100"/>
      <c r="R122" s="100"/>
      <c r="AD122" s="100"/>
      <c r="AE122" s="100"/>
      <c r="AF122" s="100"/>
      <c r="AG122" s="100"/>
      <c r="AH122" s="100"/>
      <c r="AI122" s="100"/>
      <c r="AJ122" s="100"/>
      <c r="AL122" s="100"/>
      <c r="AN122" s="100"/>
      <c r="BK122" s="27">
        <v>-1</v>
      </c>
    </row>
    <row r="123" spans="1:66" s="27" customFormat="1" ht="25.5" x14ac:dyDescent="0.2">
      <c r="A123" s="38"/>
      <c r="B123" s="37"/>
      <c r="C123" s="36">
        <f t="shared" si="18"/>
        <v>38.28</v>
      </c>
      <c r="D123" s="20" t="s">
        <v>2298</v>
      </c>
      <c r="E123" s="36">
        <f t="shared" si="17"/>
        <v>1</v>
      </c>
      <c r="F123" s="35" t="s">
        <v>228</v>
      </c>
      <c r="Q123" s="100"/>
      <c r="R123" s="100"/>
      <c r="AD123" s="100"/>
      <c r="AE123" s="100"/>
      <c r="AF123" s="100"/>
      <c r="AG123" s="100"/>
      <c r="AH123" s="100"/>
      <c r="AI123" s="100"/>
      <c r="AJ123" s="100"/>
      <c r="AL123" s="100"/>
      <c r="AN123" s="100"/>
      <c r="BK123" s="27">
        <v>1</v>
      </c>
    </row>
    <row r="124" spans="1:66" s="27" customFormat="1" ht="25.5" x14ac:dyDescent="0.2">
      <c r="A124" s="38"/>
      <c r="B124" s="37"/>
      <c r="C124" s="36">
        <f t="shared" si="18"/>
        <v>-38.28</v>
      </c>
      <c r="D124" s="420" t="s">
        <v>2836</v>
      </c>
      <c r="E124" s="411">
        <f t="shared" si="17"/>
        <v>-1</v>
      </c>
      <c r="F124" s="35" t="s">
        <v>228</v>
      </c>
      <c r="Q124" s="100"/>
      <c r="R124" s="100"/>
      <c r="AD124" s="100"/>
      <c r="AE124" s="100"/>
      <c r="AF124" s="100"/>
      <c r="AG124" s="100"/>
      <c r="AH124" s="100"/>
      <c r="AI124" s="100"/>
      <c r="AJ124" s="100"/>
      <c r="AL124" s="100"/>
      <c r="AN124" s="100"/>
      <c r="BL124" s="27">
        <v>-1</v>
      </c>
    </row>
    <row r="125" spans="1:66" s="27" customFormat="1" x14ac:dyDescent="0.2">
      <c r="A125" s="38"/>
      <c r="B125" s="37"/>
      <c r="C125" s="36">
        <f t="shared" si="18"/>
        <v>38.28</v>
      </c>
      <c r="D125" s="20" t="s">
        <v>2430</v>
      </c>
      <c r="E125" s="36">
        <f t="shared" si="17"/>
        <v>1</v>
      </c>
      <c r="F125" s="35" t="s">
        <v>228</v>
      </c>
      <c r="Q125" s="100"/>
      <c r="R125" s="100"/>
      <c r="AD125" s="100"/>
      <c r="AE125" s="100"/>
      <c r="AF125" s="100"/>
      <c r="AG125" s="100"/>
      <c r="AH125" s="100"/>
      <c r="AI125" s="100"/>
      <c r="AJ125" s="100"/>
      <c r="AL125" s="100"/>
      <c r="AN125" s="100"/>
      <c r="BL125" s="27">
        <v>1</v>
      </c>
    </row>
    <row r="126" spans="1:66" s="27" customFormat="1" x14ac:dyDescent="0.2">
      <c r="A126" s="38"/>
      <c r="B126" s="37"/>
      <c r="C126" s="36">
        <f t="shared" si="18"/>
        <v>-38.28</v>
      </c>
      <c r="D126" s="420" t="s">
        <v>2456</v>
      </c>
      <c r="E126" s="411">
        <f t="shared" si="17"/>
        <v>-1</v>
      </c>
      <c r="F126" s="35" t="s">
        <v>228</v>
      </c>
      <c r="Q126" s="100"/>
      <c r="R126" s="100"/>
      <c r="AD126" s="100"/>
      <c r="AE126" s="100"/>
      <c r="AF126" s="100"/>
      <c r="AG126" s="100"/>
      <c r="AH126" s="100"/>
      <c r="AI126" s="100"/>
      <c r="AJ126" s="100"/>
      <c r="AL126" s="100"/>
      <c r="AN126" s="100"/>
      <c r="BM126" s="27">
        <v>-1</v>
      </c>
    </row>
    <row r="127" spans="1:66" s="27" customFormat="1" x14ac:dyDescent="0.2">
      <c r="A127" s="38"/>
      <c r="B127" s="37"/>
      <c r="C127" s="36">
        <f t="shared" si="18"/>
        <v>38.28</v>
      </c>
      <c r="D127" s="20" t="s">
        <v>2457</v>
      </c>
      <c r="E127" s="36">
        <f t="shared" si="17"/>
        <v>1</v>
      </c>
      <c r="F127" s="35" t="s">
        <v>228</v>
      </c>
      <c r="Q127" s="100"/>
      <c r="R127" s="100"/>
      <c r="AD127" s="100"/>
      <c r="AE127" s="100"/>
      <c r="AF127" s="100"/>
      <c r="AG127" s="100"/>
      <c r="AH127" s="100"/>
      <c r="AI127" s="100"/>
      <c r="AJ127" s="100"/>
      <c r="AL127" s="100"/>
      <c r="AN127" s="100"/>
      <c r="BM127" s="27">
        <v>1</v>
      </c>
    </row>
    <row r="128" spans="1:66" s="27" customFormat="1" x14ac:dyDescent="0.2">
      <c r="A128" s="38"/>
      <c r="B128" s="37"/>
      <c r="C128" s="36">
        <f t="shared" si="18"/>
        <v>-38.28</v>
      </c>
      <c r="D128" s="420" t="s">
        <v>2560</v>
      </c>
      <c r="E128" s="411">
        <f t="shared" si="17"/>
        <v>-1</v>
      </c>
      <c r="F128" s="35" t="s">
        <v>228</v>
      </c>
      <c r="Q128" s="100"/>
      <c r="R128" s="100"/>
      <c r="AD128" s="100"/>
      <c r="AE128" s="100"/>
      <c r="AF128" s="100"/>
      <c r="AG128" s="100"/>
      <c r="AH128" s="100"/>
      <c r="AI128" s="100"/>
      <c r="AJ128" s="100"/>
      <c r="AL128" s="100"/>
      <c r="AN128" s="100"/>
      <c r="BN128" s="27">
        <v>-1</v>
      </c>
    </row>
    <row r="129" spans="1:74" s="27" customFormat="1" ht="25.5" x14ac:dyDescent="0.2">
      <c r="A129" s="38"/>
      <c r="B129" s="37"/>
      <c r="C129" s="36">
        <f t="shared" si="18"/>
        <v>38.28</v>
      </c>
      <c r="D129" s="20" t="s">
        <v>2561</v>
      </c>
      <c r="E129" s="36">
        <f t="shared" si="17"/>
        <v>1</v>
      </c>
      <c r="F129" s="35" t="s">
        <v>228</v>
      </c>
      <c r="Q129" s="100"/>
      <c r="R129" s="100"/>
      <c r="AD129" s="100"/>
      <c r="AE129" s="100"/>
      <c r="AF129" s="100"/>
      <c r="AG129" s="100"/>
      <c r="AH129" s="100"/>
      <c r="AI129" s="100"/>
      <c r="AJ129" s="100"/>
      <c r="AL129" s="100"/>
      <c r="AN129" s="100"/>
      <c r="BN129" s="27">
        <v>1</v>
      </c>
    </row>
    <row r="130" spans="1:74" s="27" customFormat="1" ht="51" x14ac:dyDescent="0.2">
      <c r="A130" s="38"/>
      <c r="B130" s="37"/>
      <c r="C130" s="36">
        <f t="shared" si="18"/>
        <v>0</v>
      </c>
      <c r="D130" s="335" t="s">
        <v>2564</v>
      </c>
      <c r="E130" s="36">
        <f t="shared" si="17"/>
        <v>0</v>
      </c>
      <c r="F130" s="35" t="s">
        <v>228</v>
      </c>
      <c r="Q130" s="100"/>
      <c r="R130" s="100"/>
      <c r="AD130" s="100"/>
      <c r="AE130" s="100"/>
      <c r="AF130" s="100"/>
      <c r="AG130" s="100"/>
      <c r="AH130" s="100"/>
      <c r="AI130" s="100"/>
      <c r="AJ130" s="100"/>
      <c r="AL130" s="100"/>
      <c r="AN130" s="100"/>
    </row>
    <row r="131" spans="1:74" s="27" customFormat="1" ht="38.25" x14ac:dyDescent="0.2">
      <c r="A131" s="38"/>
      <c r="B131" s="37"/>
      <c r="C131" s="36">
        <f t="shared" si="18"/>
        <v>0</v>
      </c>
      <c r="D131" s="20" t="s">
        <v>2565</v>
      </c>
      <c r="E131" s="36">
        <f t="shared" si="17"/>
        <v>0</v>
      </c>
      <c r="F131" s="35" t="s">
        <v>228</v>
      </c>
      <c r="Q131" s="100"/>
      <c r="R131" s="100"/>
      <c r="AD131" s="100"/>
      <c r="AE131" s="100"/>
      <c r="AF131" s="100"/>
      <c r="AG131" s="100"/>
      <c r="AH131" s="100"/>
      <c r="AI131" s="100"/>
      <c r="AJ131" s="100"/>
      <c r="AL131" s="100"/>
      <c r="AN131" s="100"/>
    </row>
    <row r="132" spans="1:74" s="27" customFormat="1" x14ac:dyDescent="0.2">
      <c r="A132" s="38"/>
      <c r="B132" s="37"/>
      <c r="C132" s="36">
        <f t="shared" si="18"/>
        <v>0</v>
      </c>
      <c r="D132" s="20" t="s">
        <v>8748</v>
      </c>
      <c r="E132" s="36">
        <f t="shared" si="17"/>
        <v>0</v>
      </c>
      <c r="F132" s="35" t="s">
        <v>228</v>
      </c>
      <c r="Q132" s="100"/>
      <c r="R132" s="100"/>
      <c r="AD132" s="100"/>
      <c r="AE132" s="100"/>
      <c r="AF132" s="100"/>
      <c r="AG132" s="100"/>
      <c r="AH132" s="100"/>
      <c r="AI132" s="100"/>
      <c r="AJ132" s="100"/>
      <c r="AL132" s="100"/>
      <c r="AN132" s="100"/>
    </row>
    <row r="133" spans="1:74" s="27" customFormat="1" x14ac:dyDescent="0.2">
      <c r="A133" s="38"/>
      <c r="B133" s="37"/>
      <c r="C133" s="36">
        <f t="shared" si="18"/>
        <v>-38.28</v>
      </c>
      <c r="D133" s="420" t="s">
        <v>2597</v>
      </c>
      <c r="E133" s="411">
        <f t="shared" si="17"/>
        <v>-1</v>
      </c>
      <c r="F133" s="35" t="s">
        <v>228</v>
      </c>
      <c r="Q133" s="100"/>
      <c r="R133" s="100"/>
      <c r="AD133" s="100"/>
      <c r="AE133" s="100"/>
      <c r="AF133" s="100"/>
      <c r="AG133" s="100"/>
      <c r="AH133" s="100"/>
      <c r="AI133" s="100"/>
      <c r="AJ133" s="100"/>
      <c r="AL133" s="100"/>
      <c r="AN133" s="100"/>
      <c r="BP133" s="27">
        <v>-1</v>
      </c>
    </row>
    <row r="134" spans="1:74" s="27" customFormat="1" x14ac:dyDescent="0.2">
      <c r="A134" s="38"/>
      <c r="B134" s="37"/>
      <c r="C134" s="36">
        <f t="shared" si="18"/>
        <v>0</v>
      </c>
      <c r="D134" s="20" t="s">
        <v>2598</v>
      </c>
      <c r="E134" s="36">
        <f t="shared" si="17"/>
        <v>0</v>
      </c>
      <c r="F134" s="35" t="s">
        <v>228</v>
      </c>
      <c r="Q134" s="100"/>
      <c r="R134" s="100"/>
      <c r="AD134" s="100"/>
      <c r="AE134" s="100"/>
      <c r="AF134" s="100"/>
      <c r="AG134" s="100"/>
      <c r="AH134" s="100"/>
      <c r="AI134" s="100"/>
      <c r="AJ134" s="100"/>
      <c r="AL134" s="100"/>
      <c r="AN134" s="100"/>
      <c r="BP134" s="27">
        <v>1</v>
      </c>
      <c r="BQ134" s="27">
        <v>-1</v>
      </c>
    </row>
    <row r="135" spans="1:74" s="27" customFormat="1" x14ac:dyDescent="0.2">
      <c r="A135" s="38"/>
      <c r="B135" s="37"/>
      <c r="C135" s="36">
        <f t="shared" si="18"/>
        <v>38.28</v>
      </c>
      <c r="D135" s="20" t="s">
        <v>185</v>
      </c>
      <c r="E135" s="36">
        <f t="shared" si="17"/>
        <v>1</v>
      </c>
      <c r="F135" s="35" t="s">
        <v>228</v>
      </c>
      <c r="Q135" s="100"/>
      <c r="R135" s="100"/>
      <c r="AD135" s="100"/>
      <c r="AE135" s="100"/>
      <c r="AF135" s="100"/>
      <c r="AG135" s="100"/>
      <c r="AH135" s="100"/>
      <c r="AI135" s="100"/>
      <c r="AJ135" s="100"/>
      <c r="AL135" s="100"/>
      <c r="AN135" s="100"/>
      <c r="BQ135" s="27">
        <v>1</v>
      </c>
    </row>
    <row r="136" spans="1:74" s="27" customFormat="1" x14ac:dyDescent="0.2">
      <c r="A136" s="38"/>
      <c r="B136" s="37"/>
      <c r="C136" s="36">
        <f t="shared" si="18"/>
        <v>-4.7850000000000001</v>
      </c>
      <c r="D136" s="420" t="s">
        <v>975</v>
      </c>
      <c r="E136" s="411">
        <f t="shared" si="17"/>
        <v>-0.125</v>
      </c>
      <c r="F136" s="35" t="s">
        <v>228</v>
      </c>
      <c r="Q136" s="100"/>
      <c r="R136" s="100"/>
      <c r="AD136" s="100"/>
      <c r="AE136" s="100"/>
      <c r="AF136" s="100"/>
      <c r="AG136" s="100"/>
      <c r="AH136" s="100"/>
      <c r="AI136" s="100"/>
      <c r="AJ136" s="100"/>
      <c r="AL136" s="100"/>
      <c r="AN136" s="100"/>
      <c r="BR136" s="27">
        <v>-0.125</v>
      </c>
    </row>
    <row r="137" spans="1:74" s="27" customFormat="1" ht="25.5" x14ac:dyDescent="0.2">
      <c r="A137" s="38"/>
      <c r="B137" s="37"/>
      <c r="C137" s="36">
        <f t="shared" si="18"/>
        <v>4.7850000000000001</v>
      </c>
      <c r="D137" s="20" t="s">
        <v>976</v>
      </c>
      <c r="E137" s="36">
        <f t="shared" si="17"/>
        <v>0.125</v>
      </c>
      <c r="F137" s="35" t="s">
        <v>228</v>
      </c>
      <c r="Q137" s="100"/>
      <c r="R137" s="100"/>
      <c r="AD137" s="100"/>
      <c r="AE137" s="100"/>
      <c r="AF137" s="100"/>
      <c r="AG137" s="100"/>
      <c r="AH137" s="100"/>
      <c r="AI137" s="100"/>
      <c r="AJ137" s="100"/>
      <c r="AL137" s="100"/>
      <c r="AN137" s="100"/>
      <c r="BR137" s="27">
        <v>0.125</v>
      </c>
    </row>
    <row r="138" spans="1:74" s="27" customFormat="1" x14ac:dyDescent="0.2">
      <c r="A138" s="38"/>
      <c r="B138" s="37"/>
      <c r="C138" s="36">
        <f t="shared" si="18"/>
        <v>-38.28</v>
      </c>
      <c r="D138" s="420" t="s">
        <v>441</v>
      </c>
      <c r="E138" s="411">
        <f t="shared" ref="E138:E160" si="19">SUM(G138:HT138)</f>
        <v>-1</v>
      </c>
      <c r="F138" s="35" t="s">
        <v>228</v>
      </c>
      <c r="Q138" s="100"/>
      <c r="R138" s="100"/>
      <c r="AD138" s="100"/>
      <c r="AE138" s="100"/>
      <c r="AF138" s="100"/>
      <c r="AG138" s="100"/>
      <c r="AH138" s="100"/>
      <c r="AI138" s="100"/>
      <c r="AJ138" s="100"/>
      <c r="AL138" s="100"/>
      <c r="AN138" s="100"/>
      <c r="BS138" s="27">
        <v>-1</v>
      </c>
    </row>
    <row r="139" spans="1:74" s="27" customFormat="1" x14ac:dyDescent="0.2">
      <c r="A139" s="38"/>
      <c r="B139" s="37"/>
      <c r="C139" s="36">
        <f t="shared" si="18"/>
        <v>38.28</v>
      </c>
      <c r="D139" s="20" t="s">
        <v>479</v>
      </c>
      <c r="E139" s="36">
        <f t="shared" si="19"/>
        <v>1</v>
      </c>
      <c r="F139" s="35" t="s">
        <v>228</v>
      </c>
      <c r="Q139" s="100"/>
      <c r="R139" s="100"/>
      <c r="AD139" s="100"/>
      <c r="AE139" s="100"/>
      <c r="AF139" s="100"/>
      <c r="AG139" s="100"/>
      <c r="AH139" s="100"/>
      <c r="AI139" s="100"/>
      <c r="AJ139" s="100"/>
      <c r="AL139" s="100"/>
      <c r="AN139" s="100"/>
      <c r="BS139" s="27">
        <v>1</v>
      </c>
    </row>
    <row r="140" spans="1:74" s="27" customFormat="1" x14ac:dyDescent="0.2">
      <c r="A140" s="38"/>
      <c r="B140" s="37"/>
      <c r="C140" s="36">
        <f t="shared" si="18"/>
        <v>-19.14</v>
      </c>
      <c r="D140" s="420" t="s">
        <v>517</v>
      </c>
      <c r="E140" s="411">
        <f t="shared" si="19"/>
        <v>-0.5</v>
      </c>
      <c r="F140" s="35" t="s">
        <v>228</v>
      </c>
      <c r="Q140" s="100"/>
      <c r="R140" s="100"/>
      <c r="AD140" s="100"/>
      <c r="AE140" s="100"/>
      <c r="AF140" s="100"/>
      <c r="AG140" s="100"/>
      <c r="AH140" s="100"/>
      <c r="AI140" s="100"/>
      <c r="AJ140" s="100"/>
      <c r="AL140" s="100"/>
      <c r="AN140" s="100"/>
      <c r="BT140" s="27">
        <v>-0.5</v>
      </c>
    </row>
    <row r="141" spans="1:74" s="27" customFormat="1" x14ac:dyDescent="0.2">
      <c r="A141" s="38"/>
      <c r="B141" s="37"/>
      <c r="C141" s="36">
        <f t="shared" si="18"/>
        <v>19.14</v>
      </c>
      <c r="D141" s="20" t="s">
        <v>518</v>
      </c>
      <c r="E141" s="36">
        <f t="shared" si="19"/>
        <v>0.5</v>
      </c>
      <c r="F141" s="35" t="s">
        <v>228</v>
      </c>
      <c r="Q141" s="100"/>
      <c r="R141" s="100"/>
      <c r="AD141" s="100"/>
      <c r="AE141" s="100"/>
      <c r="AF141" s="100"/>
      <c r="AG141" s="100"/>
      <c r="AH141" s="100"/>
      <c r="AI141" s="100"/>
      <c r="AJ141" s="100"/>
      <c r="AL141" s="100"/>
      <c r="AN141" s="100"/>
      <c r="BT141" s="27">
        <v>0.5</v>
      </c>
    </row>
    <row r="142" spans="1:74" s="27" customFormat="1" x14ac:dyDescent="0.2">
      <c r="A142" s="38"/>
      <c r="B142" s="37"/>
      <c r="C142" s="36">
        <f t="shared" si="18"/>
        <v>-38.28</v>
      </c>
      <c r="D142" s="420" t="s">
        <v>611</v>
      </c>
      <c r="E142" s="411">
        <f t="shared" si="19"/>
        <v>-1</v>
      </c>
      <c r="F142" s="35" t="s">
        <v>228</v>
      </c>
      <c r="Q142" s="100"/>
      <c r="R142" s="100"/>
      <c r="AD142" s="100"/>
      <c r="AE142" s="100"/>
      <c r="AF142" s="100"/>
      <c r="AG142" s="100"/>
      <c r="AH142" s="100"/>
      <c r="AI142" s="100"/>
      <c r="AJ142" s="100"/>
      <c r="AL142" s="100"/>
      <c r="AN142" s="100"/>
      <c r="BU142" s="27">
        <v>-1</v>
      </c>
    </row>
    <row r="143" spans="1:74" s="27" customFormat="1" x14ac:dyDescent="0.2">
      <c r="A143" s="38"/>
      <c r="B143" s="37"/>
      <c r="C143" s="36">
        <f t="shared" si="18"/>
        <v>38.28</v>
      </c>
      <c r="D143" s="20" t="s">
        <v>599</v>
      </c>
      <c r="E143" s="36">
        <f t="shared" si="19"/>
        <v>1</v>
      </c>
      <c r="F143" s="35" t="s">
        <v>228</v>
      </c>
      <c r="Q143" s="100"/>
      <c r="R143" s="100"/>
      <c r="AD143" s="100"/>
      <c r="AE143" s="100"/>
      <c r="AF143" s="100"/>
      <c r="AG143" s="100"/>
      <c r="AH143" s="100"/>
      <c r="AI143" s="100"/>
      <c r="AJ143" s="100"/>
      <c r="AL143" s="100"/>
      <c r="AN143" s="100"/>
      <c r="BU143" s="27">
        <v>1</v>
      </c>
    </row>
    <row r="144" spans="1:74" s="27" customFormat="1" ht="25.5" x14ac:dyDescent="0.2">
      <c r="A144" s="38"/>
      <c r="B144" s="37"/>
      <c r="C144" s="36">
        <f t="shared" si="18"/>
        <v>-38.28</v>
      </c>
      <c r="D144" s="420" t="s">
        <v>2894</v>
      </c>
      <c r="E144" s="411">
        <f t="shared" si="19"/>
        <v>-1</v>
      </c>
      <c r="F144" s="35" t="s">
        <v>228</v>
      </c>
      <c r="Q144" s="100"/>
      <c r="R144" s="100"/>
      <c r="AD144" s="100"/>
      <c r="AE144" s="100"/>
      <c r="AF144" s="100"/>
      <c r="AG144" s="100"/>
      <c r="AH144" s="100"/>
      <c r="AI144" s="100"/>
      <c r="AJ144" s="100"/>
      <c r="AL144" s="100"/>
      <c r="AN144" s="100"/>
      <c r="BV144" s="27">
        <v>-1</v>
      </c>
    </row>
    <row r="145" spans="1:78" s="27" customFormat="1" x14ac:dyDescent="0.2">
      <c r="A145" s="38"/>
      <c r="B145" s="37"/>
      <c r="C145" s="36">
        <f t="shared" si="18"/>
        <v>9.57</v>
      </c>
      <c r="D145" s="20" t="s">
        <v>2895</v>
      </c>
      <c r="E145" s="36">
        <f t="shared" si="19"/>
        <v>0.25</v>
      </c>
      <c r="F145" s="35" t="s">
        <v>228</v>
      </c>
      <c r="Q145" s="100"/>
      <c r="R145" s="100"/>
      <c r="AD145" s="100"/>
      <c r="AE145" s="100"/>
      <c r="AF145" s="100"/>
      <c r="AG145" s="100"/>
      <c r="AH145" s="100"/>
      <c r="AI145" s="100"/>
      <c r="AJ145" s="100"/>
      <c r="AL145" s="100"/>
      <c r="AN145" s="100"/>
      <c r="BV145" s="27">
        <v>0.25</v>
      </c>
    </row>
    <row r="146" spans="1:78" s="27" customFormat="1" x14ac:dyDescent="0.2">
      <c r="A146" s="38"/>
      <c r="B146" s="37"/>
      <c r="C146" s="36">
        <f t="shared" si="18"/>
        <v>9.57</v>
      </c>
      <c r="D146" s="20" t="s">
        <v>2896</v>
      </c>
      <c r="E146" s="36">
        <f t="shared" si="19"/>
        <v>0.25</v>
      </c>
      <c r="F146" s="35" t="s">
        <v>228</v>
      </c>
      <c r="Q146" s="100"/>
      <c r="R146" s="100"/>
      <c r="AD146" s="100"/>
      <c r="AE146" s="100"/>
      <c r="AF146" s="100"/>
      <c r="AG146" s="100"/>
      <c r="AH146" s="100"/>
      <c r="AI146" s="100"/>
      <c r="AJ146" s="100"/>
      <c r="AL146" s="100"/>
      <c r="AN146" s="100"/>
      <c r="BV146" s="27">
        <v>0.25</v>
      </c>
    </row>
    <row r="147" spans="1:78" s="27" customFormat="1" x14ac:dyDescent="0.2">
      <c r="A147" s="38"/>
      <c r="B147" s="37"/>
      <c r="C147" s="36">
        <f t="shared" si="18"/>
        <v>9.57</v>
      </c>
      <c r="D147" s="20" t="s">
        <v>2897</v>
      </c>
      <c r="E147" s="36">
        <f t="shared" si="19"/>
        <v>0.25</v>
      </c>
      <c r="F147" s="35" t="s">
        <v>228</v>
      </c>
      <c r="Q147" s="100"/>
      <c r="R147" s="100"/>
      <c r="AD147" s="100"/>
      <c r="AE147" s="100"/>
      <c r="AF147" s="100"/>
      <c r="AG147" s="100"/>
      <c r="AH147" s="100"/>
      <c r="AI147" s="100"/>
      <c r="AJ147" s="100"/>
      <c r="AL147" s="100"/>
      <c r="AN147" s="100"/>
      <c r="BV147" s="27">
        <v>0.25</v>
      </c>
    </row>
    <row r="148" spans="1:78" s="27" customFormat="1" x14ac:dyDescent="0.2">
      <c r="A148" s="38"/>
      <c r="B148" s="37"/>
      <c r="C148" s="36">
        <f t="shared" si="18"/>
        <v>9.57</v>
      </c>
      <c r="D148" s="20" t="s">
        <v>2898</v>
      </c>
      <c r="E148" s="36">
        <f t="shared" si="19"/>
        <v>0.25</v>
      </c>
      <c r="F148" s="35" t="s">
        <v>228</v>
      </c>
      <c r="Q148" s="100"/>
      <c r="R148" s="100"/>
      <c r="AD148" s="100"/>
      <c r="AE148" s="100"/>
      <c r="AF148" s="100"/>
      <c r="AG148" s="100"/>
      <c r="AH148" s="100"/>
      <c r="AI148" s="100"/>
      <c r="AJ148" s="100"/>
      <c r="AL148" s="100"/>
      <c r="AN148" s="100"/>
      <c r="BV148" s="27">
        <v>0.25</v>
      </c>
    </row>
    <row r="149" spans="1:78" s="27" customFormat="1" ht="25.5" x14ac:dyDescent="0.2">
      <c r="A149" s="38"/>
      <c r="B149" s="37"/>
      <c r="C149" s="36">
        <f t="shared" si="18"/>
        <v>-38.28</v>
      </c>
      <c r="D149" s="420" t="s">
        <v>8759</v>
      </c>
      <c r="E149" s="411">
        <f t="shared" si="19"/>
        <v>-1</v>
      </c>
      <c r="F149" s="35" t="s">
        <v>228</v>
      </c>
      <c r="Q149" s="100"/>
      <c r="R149" s="100"/>
      <c r="AD149" s="100"/>
      <c r="AE149" s="100"/>
      <c r="AF149" s="100"/>
      <c r="AG149" s="100"/>
      <c r="AH149" s="100"/>
      <c r="AI149" s="100"/>
      <c r="AJ149" s="100"/>
      <c r="AL149" s="100"/>
      <c r="AN149" s="100"/>
      <c r="BW149" s="27">
        <v>-1</v>
      </c>
    </row>
    <row r="150" spans="1:78" s="27" customFormat="1" ht="25.5" x14ac:dyDescent="0.2">
      <c r="A150" s="38"/>
      <c r="B150" s="37"/>
      <c r="C150" s="36">
        <f t="shared" si="18"/>
        <v>38.28</v>
      </c>
      <c r="D150" s="20" t="s">
        <v>2899</v>
      </c>
      <c r="E150" s="36">
        <f t="shared" si="19"/>
        <v>1</v>
      </c>
      <c r="F150" s="35" t="s">
        <v>228</v>
      </c>
      <c r="Q150" s="100"/>
      <c r="R150" s="100"/>
      <c r="AD150" s="100"/>
      <c r="AE150" s="100"/>
      <c r="AF150" s="100"/>
      <c r="AG150" s="100"/>
      <c r="AH150" s="100"/>
      <c r="AI150" s="100"/>
      <c r="AJ150" s="100"/>
      <c r="AL150" s="100"/>
      <c r="AN150" s="100"/>
      <c r="BW150" s="27">
        <v>1</v>
      </c>
    </row>
    <row r="151" spans="1:78" s="27" customFormat="1" ht="25.5" x14ac:dyDescent="0.2">
      <c r="A151" s="38"/>
      <c r="B151" s="37"/>
      <c r="C151" s="36">
        <f t="shared" si="18"/>
        <v>-38.28</v>
      </c>
      <c r="D151" s="420" t="s">
        <v>2900</v>
      </c>
      <c r="E151" s="411">
        <f t="shared" si="19"/>
        <v>-1</v>
      </c>
      <c r="F151" s="35" t="s">
        <v>228</v>
      </c>
      <c r="Q151" s="100"/>
      <c r="R151" s="100"/>
      <c r="AD151" s="100"/>
      <c r="AE151" s="100"/>
      <c r="AF151" s="100"/>
      <c r="AG151" s="100"/>
      <c r="AH151" s="100"/>
      <c r="AI151" s="100"/>
      <c r="AJ151" s="100"/>
      <c r="AL151" s="100"/>
      <c r="AN151" s="100"/>
      <c r="BX151" s="27">
        <v>-1</v>
      </c>
    </row>
    <row r="152" spans="1:78" s="27" customFormat="1" x14ac:dyDescent="0.2">
      <c r="A152" s="38"/>
      <c r="B152" s="37"/>
      <c r="C152" s="36">
        <f t="shared" si="18"/>
        <v>9.57</v>
      </c>
      <c r="D152" s="20" t="s">
        <v>2707</v>
      </c>
      <c r="E152" s="36">
        <f t="shared" si="19"/>
        <v>0.25</v>
      </c>
      <c r="F152" s="35" t="s">
        <v>228</v>
      </c>
      <c r="Q152" s="100"/>
      <c r="R152" s="100"/>
      <c r="AD152" s="100"/>
      <c r="AE152" s="100"/>
      <c r="AF152" s="100"/>
      <c r="AG152" s="100"/>
      <c r="AH152" s="100"/>
      <c r="AI152" s="100"/>
      <c r="AJ152" s="100"/>
      <c r="AL152" s="100"/>
      <c r="AN152" s="100"/>
      <c r="BX152" s="27">
        <v>0.25</v>
      </c>
    </row>
    <row r="153" spans="1:78" s="27" customFormat="1" x14ac:dyDescent="0.2">
      <c r="A153" s="38"/>
      <c r="B153" s="37"/>
      <c r="C153" s="36">
        <f t="shared" si="18"/>
        <v>9.57</v>
      </c>
      <c r="D153" s="20" t="s">
        <v>2708</v>
      </c>
      <c r="E153" s="36">
        <f t="shared" si="19"/>
        <v>0.25</v>
      </c>
      <c r="F153" s="35" t="s">
        <v>228</v>
      </c>
      <c r="Q153" s="100"/>
      <c r="R153" s="100"/>
      <c r="AD153" s="100"/>
      <c r="AE153" s="100"/>
      <c r="AF153" s="100"/>
      <c r="AG153" s="100"/>
      <c r="AH153" s="100"/>
      <c r="AI153" s="100"/>
      <c r="AJ153" s="100"/>
      <c r="AL153" s="100"/>
      <c r="AN153" s="100"/>
      <c r="BX153" s="27">
        <v>0.25</v>
      </c>
    </row>
    <row r="154" spans="1:78" s="27" customFormat="1" x14ac:dyDescent="0.2">
      <c r="A154" s="38"/>
      <c r="B154" s="37"/>
      <c r="C154" s="36">
        <f t="shared" si="18"/>
        <v>9.57</v>
      </c>
      <c r="D154" s="20" t="s">
        <v>209</v>
      </c>
      <c r="E154" s="36">
        <f t="shared" si="19"/>
        <v>0.25</v>
      </c>
      <c r="F154" s="35" t="s">
        <v>228</v>
      </c>
      <c r="Q154" s="100"/>
      <c r="R154" s="100"/>
      <c r="AD154" s="100"/>
      <c r="AE154" s="100"/>
      <c r="AF154" s="100"/>
      <c r="AG154" s="100"/>
      <c r="AH154" s="100"/>
      <c r="AI154" s="100"/>
      <c r="AJ154" s="100"/>
      <c r="AL154" s="100"/>
      <c r="AN154" s="100"/>
      <c r="BX154" s="27">
        <v>0.25</v>
      </c>
    </row>
    <row r="155" spans="1:78" s="27" customFormat="1" x14ac:dyDescent="0.2">
      <c r="A155" s="38"/>
      <c r="B155" s="37"/>
      <c r="C155" s="36">
        <f t="shared" si="18"/>
        <v>-114.84</v>
      </c>
      <c r="D155" s="420" t="s">
        <v>106</v>
      </c>
      <c r="E155" s="411">
        <f t="shared" si="19"/>
        <v>-3</v>
      </c>
      <c r="F155" s="35" t="s">
        <v>228</v>
      </c>
      <c r="I155" s="27">
        <v>-1</v>
      </c>
      <c r="Q155" s="100"/>
      <c r="R155" s="100"/>
      <c r="AD155" s="100"/>
      <c r="AE155" s="100"/>
      <c r="AF155" s="100"/>
      <c r="AG155" s="100"/>
      <c r="AH155" s="100"/>
      <c r="AI155" s="100"/>
      <c r="AJ155" s="100"/>
      <c r="AL155" s="100"/>
      <c r="AN155" s="100"/>
      <c r="BY155" s="27">
        <v>-1</v>
      </c>
      <c r="BZ155" s="27">
        <v>-1</v>
      </c>
    </row>
    <row r="156" spans="1:78" s="27" customFormat="1" x14ac:dyDescent="0.2">
      <c r="A156" s="38"/>
      <c r="B156" s="37"/>
      <c r="C156" s="36">
        <f t="shared" si="18"/>
        <v>38.28</v>
      </c>
      <c r="D156" s="20" t="s">
        <v>436</v>
      </c>
      <c r="E156" s="36">
        <f t="shared" si="19"/>
        <v>1</v>
      </c>
      <c r="F156" s="35" t="s">
        <v>228</v>
      </c>
      <c r="Q156" s="100"/>
      <c r="R156" s="100"/>
      <c r="AD156" s="100"/>
      <c r="AE156" s="100"/>
      <c r="AF156" s="100"/>
      <c r="AG156" s="100"/>
      <c r="AH156" s="100"/>
      <c r="AI156" s="100"/>
      <c r="AJ156" s="100"/>
      <c r="AL156" s="100"/>
      <c r="AN156" s="100"/>
      <c r="BZ156" s="27">
        <v>1</v>
      </c>
    </row>
    <row r="157" spans="1:78" s="27" customFormat="1" x14ac:dyDescent="0.2">
      <c r="A157" s="38"/>
      <c r="B157" s="37"/>
      <c r="C157" s="36">
        <f t="shared" si="18"/>
        <v>0</v>
      </c>
      <c r="D157" s="20"/>
      <c r="E157" s="36">
        <f t="shared" si="19"/>
        <v>0</v>
      </c>
      <c r="F157" s="35" t="s">
        <v>228</v>
      </c>
      <c r="Q157" s="100"/>
      <c r="R157" s="100"/>
      <c r="AD157" s="100"/>
      <c r="AE157" s="100"/>
      <c r="AF157" s="100"/>
      <c r="AG157" s="100"/>
      <c r="AH157" s="100"/>
      <c r="AI157" s="100"/>
      <c r="AJ157" s="100"/>
      <c r="AL157" s="100"/>
      <c r="AN157" s="100"/>
    </row>
    <row r="158" spans="1:78" s="27" customFormat="1" x14ac:dyDescent="0.2">
      <c r="A158" s="38"/>
      <c r="B158" s="37"/>
      <c r="C158" s="36">
        <f t="shared" si="18"/>
        <v>0</v>
      </c>
      <c r="D158" s="20"/>
      <c r="E158" s="36">
        <f t="shared" si="19"/>
        <v>0</v>
      </c>
      <c r="F158" s="35" t="s">
        <v>228</v>
      </c>
      <c r="Q158" s="100"/>
      <c r="R158" s="100"/>
      <c r="AD158" s="100"/>
      <c r="AE158" s="100"/>
      <c r="AF158" s="100"/>
      <c r="AG158" s="100"/>
      <c r="AH158" s="100"/>
      <c r="AI158" s="100"/>
      <c r="AJ158" s="100"/>
      <c r="AL158" s="100"/>
      <c r="AN158" s="100"/>
    </row>
    <row r="159" spans="1:78" s="27" customFormat="1" x14ac:dyDescent="0.2">
      <c r="A159" s="38"/>
      <c r="B159" s="37"/>
      <c r="C159" s="36">
        <f t="shared" si="18"/>
        <v>0</v>
      </c>
      <c r="D159" s="20"/>
      <c r="E159" s="36">
        <f t="shared" si="19"/>
        <v>0</v>
      </c>
      <c r="F159" s="35" t="s">
        <v>228</v>
      </c>
      <c r="Q159" s="100"/>
      <c r="R159" s="100"/>
      <c r="AD159" s="100"/>
      <c r="AE159" s="100"/>
      <c r="AF159" s="100"/>
      <c r="AG159" s="100"/>
      <c r="AH159" s="100"/>
      <c r="AI159" s="100"/>
      <c r="AJ159" s="100"/>
      <c r="AL159" s="100"/>
      <c r="AN159" s="100"/>
    </row>
    <row r="160" spans="1:78" s="27" customFormat="1" x14ac:dyDescent="0.2">
      <c r="A160" s="38"/>
      <c r="B160" s="37"/>
      <c r="C160" s="36">
        <f t="shared" si="18"/>
        <v>0</v>
      </c>
      <c r="D160" s="20"/>
      <c r="E160" s="36">
        <f t="shared" si="19"/>
        <v>0</v>
      </c>
      <c r="F160" s="35" t="s">
        <v>228</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f t="shared" ref="E161:E195" si="20">SUM(G161:HS161)</f>
        <v>0</v>
      </c>
      <c r="F161" s="35" t="s">
        <v>228</v>
      </c>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f t="shared" si="20"/>
        <v>0</v>
      </c>
      <c r="F162" s="35" t="s">
        <v>228</v>
      </c>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f t="shared" si="20"/>
        <v>0</v>
      </c>
      <c r="F163" s="35" t="s">
        <v>228</v>
      </c>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f t="shared" si="20"/>
        <v>0</v>
      </c>
      <c r="F164" s="35" t="s">
        <v>228</v>
      </c>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f t="shared" si="20"/>
        <v>0</v>
      </c>
      <c r="F165" s="35" t="s">
        <v>228</v>
      </c>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f t="shared" si="20"/>
        <v>0</v>
      </c>
      <c r="F166" s="35" t="s">
        <v>228</v>
      </c>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f t="shared" si="20"/>
        <v>0</v>
      </c>
      <c r="F167" s="35" t="s">
        <v>228</v>
      </c>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f t="shared" si="20"/>
        <v>0</v>
      </c>
      <c r="F168" s="35" t="s">
        <v>228</v>
      </c>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f t="shared" si="20"/>
        <v>0</v>
      </c>
      <c r="F169" s="35" t="s">
        <v>228</v>
      </c>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f t="shared" si="20"/>
        <v>0</v>
      </c>
      <c r="F170" s="35" t="s">
        <v>228</v>
      </c>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f t="shared" si="20"/>
        <v>0</v>
      </c>
      <c r="F171" s="35" t="s">
        <v>228</v>
      </c>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f t="shared" si="20"/>
        <v>0</v>
      </c>
      <c r="F172" s="35" t="s">
        <v>228</v>
      </c>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f t="shared" si="20"/>
        <v>0</v>
      </c>
      <c r="F173" s="35" t="s">
        <v>228</v>
      </c>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f t="shared" si="20"/>
        <v>0</v>
      </c>
      <c r="F174" s="35" t="s">
        <v>228</v>
      </c>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f t="shared" si="20"/>
        <v>0</v>
      </c>
      <c r="F175" s="35" t="s">
        <v>228</v>
      </c>
      <c r="Q175" s="100"/>
      <c r="R175" s="100"/>
      <c r="AD175" s="100"/>
      <c r="AE175" s="100"/>
      <c r="AF175" s="100"/>
      <c r="AG175" s="100"/>
      <c r="AH175" s="100"/>
      <c r="AI175" s="100"/>
      <c r="AJ175" s="100"/>
      <c r="AL175" s="100"/>
      <c r="AN175" s="100"/>
    </row>
    <row r="176" spans="1:40" s="27" customFormat="1" x14ac:dyDescent="0.2">
      <c r="A176" s="38"/>
      <c r="B176" s="37"/>
      <c r="C176" s="36">
        <f t="shared" si="18"/>
        <v>0</v>
      </c>
      <c r="D176" s="20"/>
      <c r="E176" s="36">
        <f t="shared" si="20"/>
        <v>0</v>
      </c>
      <c r="F176" s="35" t="s">
        <v>228</v>
      </c>
      <c r="Q176" s="100"/>
      <c r="R176" s="100"/>
      <c r="AD176" s="100"/>
      <c r="AE176" s="100"/>
      <c r="AF176" s="100"/>
      <c r="AG176" s="100"/>
      <c r="AH176" s="100"/>
      <c r="AI176" s="100"/>
      <c r="AJ176" s="100"/>
      <c r="AL176" s="100"/>
      <c r="AN176" s="100"/>
    </row>
    <row r="177" spans="1:40" s="27" customFormat="1" x14ac:dyDescent="0.2">
      <c r="A177" s="38"/>
      <c r="B177" s="37"/>
      <c r="C177" s="36">
        <f t="shared" si="18"/>
        <v>0</v>
      </c>
      <c r="D177" s="20"/>
      <c r="E177" s="36">
        <f t="shared" si="20"/>
        <v>0</v>
      </c>
      <c r="F177" s="35" t="s">
        <v>228</v>
      </c>
      <c r="Q177" s="100"/>
      <c r="R177" s="100"/>
      <c r="AD177" s="100"/>
      <c r="AE177" s="100"/>
      <c r="AF177" s="100"/>
      <c r="AG177" s="100"/>
      <c r="AH177" s="100"/>
      <c r="AI177" s="100"/>
      <c r="AJ177" s="100"/>
      <c r="AL177" s="100"/>
      <c r="AN177" s="100"/>
    </row>
    <row r="178" spans="1:40" s="27" customFormat="1" x14ac:dyDescent="0.2">
      <c r="A178" s="38"/>
      <c r="B178" s="37"/>
      <c r="C178" s="36">
        <f t="shared" si="18"/>
        <v>0</v>
      </c>
      <c r="D178" s="20"/>
      <c r="E178" s="36">
        <f t="shared" si="20"/>
        <v>0</v>
      </c>
      <c r="F178" s="35" t="s">
        <v>228</v>
      </c>
      <c r="Q178" s="100"/>
      <c r="R178" s="100"/>
      <c r="AD178" s="100"/>
      <c r="AE178" s="100"/>
      <c r="AF178" s="100"/>
      <c r="AG178" s="100"/>
      <c r="AH178" s="100"/>
      <c r="AI178" s="100"/>
      <c r="AJ178" s="100"/>
      <c r="AL178" s="100"/>
      <c r="AN178" s="100"/>
    </row>
    <row r="179" spans="1:40" s="27" customFormat="1" x14ac:dyDescent="0.2">
      <c r="A179" s="38"/>
      <c r="B179" s="37"/>
      <c r="C179" s="36">
        <f t="shared" si="18"/>
        <v>0</v>
      </c>
      <c r="D179" s="20"/>
      <c r="E179" s="36">
        <f t="shared" si="20"/>
        <v>0</v>
      </c>
      <c r="F179" s="35" t="s">
        <v>228</v>
      </c>
      <c r="Q179" s="100"/>
      <c r="R179" s="100"/>
      <c r="AD179" s="100"/>
      <c r="AE179" s="100"/>
      <c r="AF179" s="100"/>
      <c r="AG179" s="100"/>
      <c r="AH179" s="100"/>
      <c r="AI179" s="100"/>
      <c r="AJ179" s="100"/>
      <c r="AL179" s="100"/>
      <c r="AN179" s="100"/>
    </row>
    <row r="180" spans="1:40" s="27" customFormat="1" x14ac:dyDescent="0.2">
      <c r="A180" s="38"/>
      <c r="B180" s="37"/>
      <c r="C180" s="36">
        <f t="shared" si="18"/>
        <v>0</v>
      </c>
      <c r="D180" s="20"/>
      <c r="E180" s="36">
        <f t="shared" si="20"/>
        <v>0</v>
      </c>
      <c r="F180" s="35" t="s">
        <v>228</v>
      </c>
      <c r="Q180" s="100"/>
      <c r="R180" s="100"/>
      <c r="AD180" s="100"/>
      <c r="AE180" s="100"/>
      <c r="AF180" s="100"/>
      <c r="AG180" s="100"/>
      <c r="AH180" s="100"/>
      <c r="AI180" s="100"/>
      <c r="AJ180" s="100"/>
      <c r="AL180" s="100"/>
      <c r="AN180" s="100"/>
    </row>
    <row r="181" spans="1:40" s="27" customFormat="1" x14ac:dyDescent="0.2">
      <c r="A181" s="38"/>
      <c r="B181" s="37"/>
      <c r="C181" s="36">
        <f t="shared" si="18"/>
        <v>0</v>
      </c>
      <c r="D181" s="20"/>
      <c r="E181" s="36">
        <f t="shared" si="20"/>
        <v>0</v>
      </c>
      <c r="F181" s="35" t="s">
        <v>228</v>
      </c>
      <c r="Q181" s="100"/>
      <c r="R181" s="100"/>
      <c r="AD181" s="100"/>
      <c r="AE181" s="100"/>
      <c r="AF181" s="100"/>
      <c r="AG181" s="100"/>
      <c r="AH181" s="100"/>
      <c r="AI181" s="100"/>
      <c r="AJ181" s="100"/>
      <c r="AL181" s="100"/>
      <c r="AN181" s="100"/>
    </row>
    <row r="182" spans="1:40" s="27" customFormat="1" x14ac:dyDescent="0.2">
      <c r="A182" s="38"/>
      <c r="B182" s="37"/>
      <c r="C182" s="36">
        <f t="shared" si="18"/>
        <v>0</v>
      </c>
      <c r="D182" s="20"/>
      <c r="E182" s="36">
        <f t="shared" si="20"/>
        <v>0</v>
      </c>
      <c r="F182" s="35" t="s">
        <v>228</v>
      </c>
      <c r="Q182" s="100"/>
      <c r="R182" s="100"/>
      <c r="AD182" s="100"/>
      <c r="AE182" s="100"/>
      <c r="AF182" s="100"/>
      <c r="AG182" s="100"/>
      <c r="AH182" s="100"/>
      <c r="AI182" s="100"/>
      <c r="AJ182" s="100"/>
      <c r="AL182" s="100"/>
      <c r="AN182" s="100"/>
    </row>
    <row r="183" spans="1:40" s="27" customFormat="1" x14ac:dyDescent="0.2">
      <c r="A183" s="38"/>
      <c r="B183" s="37"/>
      <c r="C183" s="36">
        <f t="shared" ref="C183:C203" si="21">E183*D$5</f>
        <v>0</v>
      </c>
      <c r="D183" s="20"/>
      <c r="E183" s="36">
        <f t="shared" si="20"/>
        <v>0</v>
      </c>
      <c r="F183" s="35" t="s">
        <v>228</v>
      </c>
      <c r="Q183" s="100"/>
      <c r="R183" s="100"/>
      <c r="AD183" s="100"/>
      <c r="AE183" s="100"/>
      <c r="AF183" s="100"/>
      <c r="AG183" s="100"/>
      <c r="AH183" s="100"/>
      <c r="AI183" s="100"/>
      <c r="AJ183" s="100"/>
      <c r="AL183" s="100"/>
      <c r="AN183" s="100"/>
    </row>
    <row r="184" spans="1:40" s="27" customFormat="1" x14ac:dyDescent="0.2">
      <c r="A184" s="38"/>
      <c r="B184" s="37"/>
      <c r="C184" s="36">
        <f t="shared" si="21"/>
        <v>0</v>
      </c>
      <c r="D184" s="20"/>
      <c r="E184" s="36">
        <f t="shared" si="20"/>
        <v>0</v>
      </c>
      <c r="F184" s="35" t="s">
        <v>228</v>
      </c>
      <c r="Q184" s="100"/>
      <c r="R184" s="100"/>
      <c r="AD184" s="100"/>
      <c r="AE184" s="100"/>
      <c r="AF184" s="100"/>
      <c r="AG184" s="100"/>
      <c r="AH184" s="100"/>
      <c r="AI184" s="100"/>
      <c r="AJ184" s="100"/>
      <c r="AL184" s="100"/>
      <c r="AN184" s="100"/>
    </row>
    <row r="185" spans="1:40" s="27" customFormat="1" x14ac:dyDescent="0.2">
      <c r="A185" s="38"/>
      <c r="B185" s="37"/>
      <c r="C185" s="36">
        <f t="shared" si="21"/>
        <v>0</v>
      </c>
      <c r="D185" s="20"/>
      <c r="E185" s="36">
        <f t="shared" si="20"/>
        <v>0</v>
      </c>
      <c r="F185" s="35" t="s">
        <v>228</v>
      </c>
      <c r="Q185" s="100"/>
      <c r="R185" s="100"/>
      <c r="AD185" s="100"/>
      <c r="AE185" s="100"/>
      <c r="AF185" s="100"/>
      <c r="AG185" s="100"/>
      <c r="AH185" s="100"/>
      <c r="AI185" s="100"/>
      <c r="AJ185" s="100"/>
      <c r="AL185" s="100"/>
      <c r="AN185" s="100"/>
    </row>
    <row r="186" spans="1:40" s="27" customFormat="1" x14ac:dyDescent="0.2">
      <c r="A186" s="38"/>
      <c r="B186" s="37"/>
      <c r="C186" s="36">
        <f t="shared" si="21"/>
        <v>0</v>
      </c>
      <c r="D186" s="20"/>
      <c r="E186" s="36">
        <f t="shared" si="20"/>
        <v>0</v>
      </c>
      <c r="F186" s="35" t="s">
        <v>228</v>
      </c>
      <c r="Q186" s="100"/>
      <c r="R186" s="100"/>
      <c r="AD186" s="100"/>
      <c r="AE186" s="100"/>
      <c r="AF186" s="100"/>
      <c r="AG186" s="100"/>
      <c r="AH186" s="100"/>
      <c r="AI186" s="100"/>
      <c r="AJ186" s="100"/>
      <c r="AL186" s="100"/>
      <c r="AN186" s="100"/>
    </row>
    <row r="187" spans="1:40" s="27" customFormat="1" x14ac:dyDescent="0.2">
      <c r="A187" s="38"/>
      <c r="B187" s="37"/>
      <c r="C187" s="36">
        <f t="shared" si="21"/>
        <v>0</v>
      </c>
      <c r="D187" s="20"/>
      <c r="E187" s="36">
        <f t="shared" si="20"/>
        <v>0</v>
      </c>
      <c r="F187" s="35" t="s">
        <v>228</v>
      </c>
      <c r="Q187" s="100"/>
      <c r="R187" s="100"/>
      <c r="AD187" s="100"/>
      <c r="AE187" s="100"/>
      <c r="AF187" s="100"/>
      <c r="AG187" s="100"/>
      <c r="AH187" s="100"/>
      <c r="AI187" s="100"/>
      <c r="AJ187" s="100"/>
      <c r="AL187" s="100"/>
      <c r="AN187" s="100"/>
    </row>
    <row r="188" spans="1:40" s="27" customFormat="1" x14ac:dyDescent="0.2">
      <c r="A188" s="38"/>
      <c r="B188" s="37"/>
      <c r="C188" s="36">
        <f t="shared" si="21"/>
        <v>0</v>
      </c>
      <c r="D188" s="20"/>
      <c r="E188" s="36">
        <f t="shared" si="20"/>
        <v>0</v>
      </c>
      <c r="F188" s="35" t="s">
        <v>228</v>
      </c>
      <c r="Q188" s="100"/>
      <c r="R188" s="100"/>
      <c r="AD188" s="100"/>
      <c r="AE188" s="100"/>
      <c r="AF188" s="100"/>
      <c r="AG188" s="100"/>
      <c r="AH188" s="100"/>
      <c r="AI188" s="100"/>
      <c r="AJ188" s="100"/>
      <c r="AL188" s="100"/>
      <c r="AN188" s="100"/>
    </row>
    <row r="189" spans="1:40" s="27" customFormat="1" x14ac:dyDescent="0.2">
      <c r="A189" s="38"/>
      <c r="B189" s="37"/>
      <c r="C189" s="36">
        <f t="shared" si="21"/>
        <v>0</v>
      </c>
      <c r="D189" s="20"/>
      <c r="E189" s="36">
        <f t="shared" si="20"/>
        <v>0</v>
      </c>
      <c r="F189" s="35" t="s">
        <v>228</v>
      </c>
      <c r="Q189" s="100"/>
      <c r="R189" s="100"/>
      <c r="AD189" s="100"/>
      <c r="AE189" s="100"/>
      <c r="AF189" s="100"/>
      <c r="AG189" s="100"/>
      <c r="AH189" s="100"/>
      <c r="AI189" s="100"/>
      <c r="AJ189" s="100"/>
      <c r="AL189" s="100"/>
      <c r="AN189" s="100"/>
    </row>
    <row r="190" spans="1:40" s="27" customFormat="1" x14ac:dyDescent="0.2">
      <c r="A190" s="38"/>
      <c r="B190" s="37"/>
      <c r="C190" s="36">
        <f t="shared" si="21"/>
        <v>0</v>
      </c>
      <c r="D190" s="20"/>
      <c r="E190" s="36">
        <f t="shared" si="20"/>
        <v>0</v>
      </c>
      <c r="F190" s="35" t="s">
        <v>228</v>
      </c>
      <c r="Q190" s="100"/>
      <c r="R190" s="100"/>
      <c r="AD190" s="100"/>
      <c r="AE190" s="100"/>
      <c r="AF190" s="100"/>
      <c r="AG190" s="100"/>
      <c r="AH190" s="100"/>
      <c r="AI190" s="100"/>
      <c r="AJ190" s="100"/>
      <c r="AL190" s="100"/>
      <c r="AN190" s="100"/>
    </row>
    <row r="191" spans="1:40" s="27" customFormat="1" x14ac:dyDescent="0.2">
      <c r="A191" s="38"/>
      <c r="B191" s="37"/>
      <c r="C191" s="36">
        <f t="shared" si="21"/>
        <v>0</v>
      </c>
      <c r="D191" s="20"/>
      <c r="E191" s="36">
        <f t="shared" si="20"/>
        <v>0</v>
      </c>
      <c r="F191" s="35" t="s">
        <v>228</v>
      </c>
      <c r="Q191" s="100"/>
      <c r="R191" s="100"/>
      <c r="AD191" s="100"/>
      <c r="AE191" s="100"/>
      <c r="AF191" s="100"/>
      <c r="AG191" s="100"/>
      <c r="AH191" s="100"/>
      <c r="AI191" s="100"/>
      <c r="AJ191" s="100"/>
      <c r="AL191" s="100"/>
      <c r="AN191" s="100"/>
    </row>
    <row r="192" spans="1:40" s="27" customFormat="1" x14ac:dyDescent="0.2">
      <c r="A192" s="38"/>
      <c r="B192" s="37"/>
      <c r="C192" s="36">
        <f t="shared" si="21"/>
        <v>0</v>
      </c>
      <c r="D192" s="20"/>
      <c r="E192" s="36">
        <f t="shared" si="20"/>
        <v>0</v>
      </c>
      <c r="F192" s="35" t="s">
        <v>228</v>
      </c>
      <c r="Q192" s="100"/>
      <c r="R192" s="100"/>
      <c r="AD192" s="100"/>
      <c r="AE192" s="100"/>
      <c r="AF192" s="100"/>
      <c r="AG192" s="100"/>
      <c r="AH192" s="100"/>
      <c r="AI192" s="100"/>
      <c r="AJ192" s="100"/>
      <c r="AL192" s="100"/>
      <c r="AN192" s="100"/>
    </row>
    <row r="193" spans="1:41" s="27" customFormat="1" x14ac:dyDescent="0.2">
      <c r="A193" s="38"/>
      <c r="B193" s="37"/>
      <c r="C193" s="36">
        <f t="shared" si="21"/>
        <v>0</v>
      </c>
      <c r="D193" s="20"/>
      <c r="E193" s="36">
        <f t="shared" si="20"/>
        <v>0</v>
      </c>
      <c r="F193" s="35" t="s">
        <v>228</v>
      </c>
      <c r="Q193" s="100"/>
      <c r="R193" s="100"/>
      <c r="AD193" s="100"/>
      <c r="AE193" s="100"/>
      <c r="AF193" s="100"/>
      <c r="AG193" s="100"/>
      <c r="AH193" s="100"/>
      <c r="AI193" s="100"/>
      <c r="AJ193" s="100"/>
      <c r="AL193" s="100"/>
      <c r="AN193" s="100"/>
    </row>
    <row r="194" spans="1:41" s="27" customFormat="1" x14ac:dyDescent="0.2">
      <c r="A194" s="38"/>
      <c r="B194" s="37"/>
      <c r="C194" s="36">
        <f t="shared" si="21"/>
        <v>0</v>
      </c>
      <c r="D194" s="20"/>
      <c r="E194" s="36">
        <f t="shared" si="20"/>
        <v>0</v>
      </c>
      <c r="F194" s="35" t="s">
        <v>228</v>
      </c>
      <c r="Q194" s="100"/>
      <c r="R194" s="100"/>
      <c r="AD194" s="100"/>
      <c r="AE194" s="100"/>
      <c r="AF194" s="100"/>
      <c r="AG194" s="100"/>
      <c r="AH194" s="100"/>
      <c r="AI194" s="100"/>
      <c r="AJ194" s="100"/>
      <c r="AL194" s="100"/>
      <c r="AN194" s="100"/>
    </row>
    <row r="195" spans="1:41" s="27" customFormat="1" x14ac:dyDescent="0.2">
      <c r="A195" s="38"/>
      <c r="B195" s="37"/>
      <c r="C195" s="36">
        <f t="shared" si="21"/>
        <v>0</v>
      </c>
      <c r="D195" s="20"/>
      <c r="E195" s="36">
        <f t="shared" si="20"/>
        <v>0</v>
      </c>
      <c r="F195" s="35" t="s">
        <v>228</v>
      </c>
      <c r="Q195" s="100"/>
      <c r="R195" s="100"/>
      <c r="AD195" s="100"/>
      <c r="AE195" s="100"/>
      <c r="AF195" s="100"/>
      <c r="AG195" s="100"/>
      <c r="AH195" s="100"/>
      <c r="AI195" s="100"/>
      <c r="AJ195" s="100"/>
      <c r="AL195" s="100"/>
      <c r="AN195" s="100"/>
    </row>
    <row r="196" spans="1:41" s="27" customFormat="1" x14ac:dyDescent="0.2">
      <c r="A196" s="38"/>
      <c r="B196" s="37"/>
      <c r="C196" s="36">
        <f t="shared" si="21"/>
        <v>0</v>
      </c>
      <c r="D196" s="20"/>
      <c r="E196" s="36">
        <f t="shared" ref="E196:E203" si="22">SUM(G196:HT196)</f>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212D-ABAC-4688-9359-1109EF707187}">
  <dimension ref="A1:GF212"/>
  <sheetViews>
    <sheetView zoomScaleNormal="120" workbookViewId="0">
      <pane xSplit="6" topLeftCell="G1" activePane="topRight" state="frozen"/>
      <selection pane="topRight" activeCell="G15" sqref="G15"/>
    </sheetView>
  </sheetViews>
  <sheetFormatPr defaultColWidth="14.42578125" defaultRowHeight="12.75" x14ac:dyDescent="0.2"/>
  <cols>
    <col min="1" max="1" width="8.140625" style="19" bestFit="1" customWidth="1"/>
    <col min="2" max="2" width="10.5703125" style="18" bestFit="1"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64</v>
      </c>
      <c r="AM1" s="116" t="s">
        <v>8623</v>
      </c>
      <c r="AN1" s="116" t="s">
        <v>112</v>
      </c>
      <c r="AO1" s="116" t="s">
        <v>64</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2794</v>
      </c>
      <c r="B2" s="555" t="s">
        <v>21</v>
      </c>
      <c r="C2" s="556"/>
      <c r="D2" s="557" t="s">
        <v>180</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2115</v>
      </c>
      <c r="AM2" s="118" t="s">
        <v>2195</v>
      </c>
      <c r="AN2" s="118" t="s">
        <v>2206</v>
      </c>
      <c r="AO2" s="118" t="s">
        <v>2223</v>
      </c>
      <c r="AP2" s="96" t="s">
        <v>2384</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2116</v>
      </c>
      <c r="AM3" s="5" t="s">
        <v>2197</v>
      </c>
      <c r="AN3" s="118" t="s">
        <v>2207</v>
      </c>
      <c r="AO3" s="118" t="s">
        <v>2224</v>
      </c>
      <c r="AP3" s="107" t="s">
        <v>2385</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40855</v>
      </c>
      <c r="AM4" s="5">
        <v>41290</v>
      </c>
      <c r="AN4" s="120">
        <v>41368</v>
      </c>
      <c r="AO4" s="120">
        <v>41486</v>
      </c>
      <c r="AP4" s="108">
        <v>42855</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51</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2910</v>
      </c>
      <c r="AM5" s="118" t="s">
        <v>63</v>
      </c>
      <c r="AN5" s="118" t="s">
        <v>8732</v>
      </c>
      <c r="AO5" s="118" t="s">
        <v>8732</v>
      </c>
      <c r="AP5" s="96" t="s">
        <v>63</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51</v>
      </c>
      <c r="D6" s="546" t="s">
        <v>138</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0" t="s">
        <v>2913</v>
      </c>
      <c r="E10" s="36">
        <f t="shared" ref="E10:E73" si="10">SUM(G10:HT10)</f>
        <v>0</v>
      </c>
      <c r="F10" s="35"/>
      <c r="G10" s="121">
        <v>1</v>
      </c>
      <c r="H10" s="122"/>
      <c r="I10" s="121"/>
      <c r="J10" s="121"/>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103" t="s">
        <v>710</v>
      </c>
      <c r="E11" s="86">
        <f t="shared" si="10"/>
        <v>0</v>
      </c>
      <c r="F11" s="35"/>
      <c r="G11" s="121"/>
      <c r="H11" s="121"/>
      <c r="I11" s="121"/>
      <c r="J11" s="121"/>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103" t="s">
        <v>716</v>
      </c>
      <c r="E12" s="86">
        <f t="shared" si="10"/>
        <v>0</v>
      </c>
      <c r="F12" s="35"/>
      <c r="G12" s="121"/>
      <c r="H12" s="121"/>
      <c r="I12" s="121"/>
      <c r="J12" s="121"/>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6">
        <f t="shared" si="9"/>
        <v>48.8</v>
      </c>
      <c r="D13" s="103" t="s">
        <v>374</v>
      </c>
      <c r="E13" s="86">
        <f t="shared" si="10"/>
        <v>0.95686274509803915</v>
      </c>
      <c r="F13" s="35"/>
      <c r="G13" s="121"/>
      <c r="H13" s="121"/>
      <c r="I13" s="121"/>
      <c r="J13" s="121"/>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v>-4.3137254901960798E-2</v>
      </c>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t="s">
        <v>156</v>
      </c>
      <c r="C14" s="36">
        <f t="shared" si="9"/>
        <v>2.2000000000000006</v>
      </c>
      <c r="D14" s="103" t="s">
        <v>2914</v>
      </c>
      <c r="E14" s="36">
        <f t="shared" si="10"/>
        <v>4.3137254901960798E-2</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v>4.3137254901960798E-2</v>
      </c>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436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106</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479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509</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517</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518</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599</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616</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632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662</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2806</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658</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225</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671</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x14ac:dyDescent="0.2">
      <c r="A29" s="125"/>
      <c r="B29" s="39"/>
      <c r="C29" s="86">
        <f t="shared" si="9"/>
        <v>0</v>
      </c>
      <c r="D29" s="4" t="s">
        <v>1220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ht="24" x14ac:dyDescent="0.2">
      <c r="A30" s="125"/>
      <c r="B30" s="39"/>
      <c r="C30" s="36">
        <f t="shared" si="9"/>
        <v>0</v>
      </c>
      <c r="D30" s="103" t="s">
        <v>2900</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2707</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2708</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x14ac:dyDescent="0.2">
      <c r="A33" s="125"/>
      <c r="B33" s="39"/>
      <c r="C33" s="36">
        <f t="shared" si="9"/>
        <v>0</v>
      </c>
      <c r="D33" s="103" t="s">
        <v>209</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ht="24" x14ac:dyDescent="0.2">
      <c r="A34" s="125"/>
      <c r="B34" s="39"/>
      <c r="C34" s="36">
        <f t="shared" si="9"/>
        <v>0</v>
      </c>
      <c r="D34" s="103" t="s">
        <v>2860</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2861</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2862</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x14ac:dyDescent="0.2">
      <c r="A37" s="125"/>
      <c r="B37" s="39"/>
      <c r="C37" s="86">
        <f>E37*D$5</f>
        <v>0</v>
      </c>
      <c r="D37" s="103" t="s">
        <v>1151</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ht="24" x14ac:dyDescent="0.2">
      <c r="A38" s="125"/>
      <c r="B38" s="39"/>
      <c r="C38" s="36">
        <f t="shared" ref="C38:C41" si="12">E38*D$5</f>
        <v>0</v>
      </c>
      <c r="D38" s="4" t="s">
        <v>1152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x14ac:dyDescent="0.2">
      <c r="A39" s="125"/>
      <c r="B39" s="39"/>
      <c r="C39" s="36">
        <f t="shared" si="12"/>
        <v>0</v>
      </c>
      <c r="D39" s="103" t="s">
        <v>1272</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1273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ht="24" x14ac:dyDescent="0.2">
      <c r="A41" s="125"/>
      <c r="B41" s="39"/>
      <c r="C41" s="36">
        <f t="shared" si="12"/>
        <v>0</v>
      </c>
      <c r="D41" s="4" t="s">
        <v>2863</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230</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x14ac:dyDescent="0.2">
      <c r="A43" s="125"/>
      <c r="B43" s="39"/>
      <c r="C43" s="86">
        <f>E43*D$5</f>
        <v>0</v>
      </c>
      <c r="D43" s="3" t="s">
        <v>114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1604</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2888</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t="s">
        <v>67</v>
      </c>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ht="24" x14ac:dyDescent="0.2">
      <c r="A46" s="125"/>
      <c r="B46" s="39"/>
      <c r="C46" s="86">
        <f t="shared" si="9"/>
        <v>0</v>
      </c>
      <c r="D46" s="4" t="s">
        <v>2889</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1697</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1698</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x14ac:dyDescent="0.2">
      <c r="A49" s="125"/>
      <c r="B49" s="39"/>
      <c r="C49" s="86">
        <f t="shared" si="9"/>
        <v>0</v>
      </c>
      <c r="D49" s="3" t="s">
        <v>2117</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2118</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ht="36" x14ac:dyDescent="0.2">
      <c r="A51" s="38"/>
      <c r="B51" s="37"/>
      <c r="C51" s="36">
        <f t="shared" si="9"/>
        <v>0</v>
      </c>
      <c r="D51" s="4" t="s">
        <v>2833</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x14ac:dyDescent="0.2">
      <c r="A52" s="38"/>
      <c r="B52" s="37"/>
      <c r="C52" s="86">
        <f t="shared" si="9"/>
        <v>0</v>
      </c>
      <c r="D52" s="4" t="s">
        <v>186</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ht="24" x14ac:dyDescent="0.2">
      <c r="A53" s="38"/>
      <c r="B53" s="37"/>
      <c r="C53" s="86">
        <f t="shared" si="9"/>
        <v>0</v>
      </c>
      <c r="D53" s="4" t="s">
        <v>2836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2430</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2457</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2560</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2561</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2597</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2598</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185</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ht="48" x14ac:dyDescent="0.2">
      <c r="A62" s="38"/>
      <c r="B62" s="37"/>
      <c r="C62" s="86">
        <f t="shared" si="9"/>
        <v>0</v>
      </c>
      <c r="D62" s="3" t="s">
        <v>8633</v>
      </c>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x14ac:dyDescent="0.2">
      <c r="A63" s="38"/>
      <c r="B63" s="37"/>
      <c r="C63" s="86">
        <f t="shared" si="9"/>
        <v>0</v>
      </c>
      <c r="D63" s="3"/>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6A49-8B5C-43A4-BA89-8208C8B805F3}">
  <dimension ref="A1:GD212"/>
  <sheetViews>
    <sheetView zoomScaleNormal="120" workbookViewId="0">
      <pane xSplit="6" topLeftCell="G1" activePane="topRight" state="frozen"/>
      <selection pane="topRight" activeCell="L30" sqref="L30"/>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6" width="13" style="13" customWidth="1"/>
    <col min="187" max="16384" width="14.42578125" style="13"/>
  </cols>
  <sheetData>
    <row r="1" spans="1:183" ht="13.5" thickBot="1" x14ac:dyDescent="0.25">
      <c r="E1" s="551" t="s">
        <v>82</v>
      </c>
      <c r="F1" s="551"/>
      <c r="G1" s="63" t="s">
        <v>228</v>
      </c>
      <c r="H1" s="116" t="s">
        <v>116</v>
      </c>
      <c r="I1" s="116" t="s">
        <v>8622</v>
      </c>
      <c r="J1" s="116" t="s">
        <v>112</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64</v>
      </c>
      <c r="AO1" s="116" t="s">
        <v>8623</v>
      </c>
      <c r="AP1" s="95" t="s">
        <v>64</v>
      </c>
      <c r="AQ1" s="95" t="s">
        <v>64</v>
      </c>
      <c r="AR1" s="95" t="s">
        <v>64</v>
      </c>
      <c r="AS1" s="95" t="s">
        <v>64</v>
      </c>
      <c r="AT1" s="95" t="s">
        <v>64</v>
      </c>
      <c r="AU1" s="95" t="s">
        <v>64</v>
      </c>
      <c r="AV1" s="95" t="s">
        <v>8623</v>
      </c>
      <c r="AW1" s="95" t="s">
        <v>64</v>
      </c>
      <c r="AX1" s="95" t="s">
        <v>107</v>
      </c>
      <c r="AY1" s="95" t="s">
        <v>8623</v>
      </c>
      <c r="AZ1" s="95" t="s">
        <v>64</v>
      </c>
      <c r="BA1" s="95" t="s">
        <v>64</v>
      </c>
      <c r="BB1" s="95" t="s">
        <v>64</v>
      </c>
      <c r="BC1" s="95" t="s">
        <v>112</v>
      </c>
      <c r="BD1" s="95" t="s">
        <v>8623</v>
      </c>
      <c r="BE1" s="95" t="s">
        <v>64</v>
      </c>
      <c r="BF1" s="95" t="s">
        <v>64</v>
      </c>
      <c r="BG1" s="95" t="s">
        <v>112</v>
      </c>
      <c r="BH1" s="95" t="s">
        <v>8623</v>
      </c>
      <c r="BI1" s="95" t="s">
        <v>112</v>
      </c>
      <c r="BJ1" s="95" t="s">
        <v>64</v>
      </c>
      <c r="BK1" s="95" t="s">
        <v>112</v>
      </c>
      <c r="BL1" s="95" t="s">
        <v>64</v>
      </c>
      <c r="BM1" s="95" t="s">
        <v>64</v>
      </c>
      <c r="BN1" s="95" t="s">
        <v>8622</v>
      </c>
      <c r="BO1" s="95" t="s">
        <v>107</v>
      </c>
      <c r="BP1" s="95" t="s">
        <v>107</v>
      </c>
      <c r="BQ1" s="95" t="s">
        <v>8623</v>
      </c>
      <c r="BR1" s="95" t="s">
        <v>116</v>
      </c>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2795</v>
      </c>
      <c r="B2" s="555" t="s">
        <v>21</v>
      </c>
      <c r="C2" s="556"/>
      <c r="D2" s="557" t="s">
        <v>2973</v>
      </c>
      <c r="E2" s="560" t="s">
        <v>22</v>
      </c>
      <c r="F2" s="561"/>
      <c r="G2" s="63"/>
      <c r="H2" s="118" t="s">
        <v>445</v>
      </c>
      <c r="I2" s="118" t="s">
        <v>506</v>
      </c>
      <c r="J2" s="118" t="s">
        <v>614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1218</v>
      </c>
      <c r="AO2" s="118" t="s">
        <v>1232</v>
      </c>
      <c r="AP2" s="96" t="s">
        <v>1253</v>
      </c>
      <c r="AQ2" s="96" t="s">
        <v>1258</v>
      </c>
      <c r="AR2" s="96" t="s">
        <v>1372</v>
      </c>
      <c r="AS2" s="96" t="s">
        <v>1409</v>
      </c>
      <c r="AT2" s="96" t="s">
        <v>1420</v>
      </c>
      <c r="AU2" s="96" t="s">
        <v>1423</v>
      </c>
      <c r="AV2" s="96" t="s">
        <v>1426</v>
      </c>
      <c r="AW2" s="96" t="s">
        <v>1450</v>
      </c>
      <c r="AX2" s="96" t="s">
        <v>1477</v>
      </c>
      <c r="AY2" s="96" t="s">
        <v>1482</v>
      </c>
      <c r="AZ2" s="96" t="s">
        <v>1595</v>
      </c>
      <c r="BA2" s="96" t="s">
        <v>1612</v>
      </c>
      <c r="BB2" s="96" t="s">
        <v>1757</v>
      </c>
      <c r="BC2" s="96" t="s">
        <v>1824</v>
      </c>
      <c r="BD2" s="96" t="s">
        <v>2195</v>
      </c>
      <c r="BE2" s="96" t="s">
        <v>2223</v>
      </c>
      <c r="BF2" s="96" t="s">
        <v>2269</v>
      </c>
      <c r="BG2" s="96" t="s">
        <v>2417</v>
      </c>
      <c r="BH2" s="96" t="s">
        <v>2426</v>
      </c>
      <c r="BI2" s="96" t="s">
        <v>2454</v>
      </c>
      <c r="BJ2" s="96" t="s">
        <v>2491</v>
      </c>
      <c r="BK2" s="96" t="s">
        <v>2557</v>
      </c>
      <c r="BL2" s="96" t="s">
        <v>2595</v>
      </c>
      <c r="BM2" s="96" t="s">
        <v>2626</v>
      </c>
      <c r="BN2" s="96" t="s">
        <v>477</v>
      </c>
      <c r="BO2" s="96" t="s">
        <v>609</v>
      </c>
      <c r="BP2" s="96" t="s">
        <v>596</v>
      </c>
      <c r="BQ2" s="96" t="s">
        <v>672</v>
      </c>
      <c r="BR2" s="96" t="s">
        <v>445</v>
      </c>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507</v>
      </c>
      <c r="J3" s="6" t="s">
        <v>615</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1219</v>
      </c>
      <c r="AO3" s="118" t="s">
        <v>1233</v>
      </c>
      <c r="AP3" s="107" t="s">
        <v>1254</v>
      </c>
      <c r="AQ3" s="107" t="s">
        <v>1259</v>
      </c>
      <c r="AR3" s="108" t="s">
        <v>1373</v>
      </c>
      <c r="AS3" s="107" t="s">
        <v>1410</v>
      </c>
      <c r="AT3" s="107" t="s">
        <v>1421</v>
      </c>
      <c r="AU3" s="96" t="s">
        <v>1424</v>
      </c>
      <c r="AV3" s="96" t="s">
        <v>1427</v>
      </c>
      <c r="AW3" s="96" t="s">
        <v>1451</v>
      </c>
      <c r="AX3" s="96" t="s">
        <v>1479</v>
      </c>
      <c r="AY3" s="96" t="s">
        <v>1483</v>
      </c>
      <c r="AZ3" s="96" t="s">
        <v>1596</v>
      </c>
      <c r="BA3" s="96" t="s">
        <v>1613</v>
      </c>
      <c r="BB3" s="96" t="s">
        <v>1758</v>
      </c>
      <c r="BC3" s="96" t="s">
        <v>1825</v>
      </c>
      <c r="BD3" s="96" t="s">
        <v>2197</v>
      </c>
      <c r="BE3" s="96" t="s">
        <v>2224</v>
      </c>
      <c r="BF3" s="96" t="s">
        <v>2270</v>
      </c>
      <c r="BG3" s="96" t="s">
        <v>2418</v>
      </c>
      <c r="BH3" s="96" t="s">
        <v>2428</v>
      </c>
      <c r="BI3" s="96" t="s">
        <v>2455</v>
      </c>
      <c r="BJ3" s="96" t="s">
        <v>2492</v>
      </c>
      <c r="BK3" s="96" t="s">
        <v>2559</v>
      </c>
      <c r="BL3" s="96" t="s">
        <v>2596</v>
      </c>
      <c r="BM3" s="96" t="s">
        <v>2627</v>
      </c>
      <c r="BN3" s="96" t="s">
        <v>478</v>
      </c>
      <c r="BO3" s="96" t="s">
        <v>610</v>
      </c>
      <c r="BP3" s="96" t="s">
        <v>597</v>
      </c>
      <c r="BQ3" s="96" t="s">
        <v>674</v>
      </c>
      <c r="BR3" s="96" t="s">
        <v>446</v>
      </c>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t="s">
        <v>2915</v>
      </c>
      <c r="J4" s="5" t="s">
        <v>2916</v>
      </c>
      <c r="K4" s="5" t="s">
        <v>2917</v>
      </c>
      <c r="L4" s="5" t="s">
        <v>2918</v>
      </c>
      <c r="M4" s="5" t="s">
        <v>2919</v>
      </c>
      <c r="N4" s="5" t="s">
        <v>2920</v>
      </c>
      <c r="O4" s="5" t="s">
        <v>2920</v>
      </c>
      <c r="P4" s="5" t="s">
        <v>2921</v>
      </c>
      <c r="Q4" s="5" t="s">
        <v>2921</v>
      </c>
      <c r="R4" s="5" t="s">
        <v>2922</v>
      </c>
      <c r="S4" s="5" t="s">
        <v>2923</v>
      </c>
      <c r="T4" s="5" t="s">
        <v>2924</v>
      </c>
      <c r="U4" s="5" t="s">
        <v>2925</v>
      </c>
      <c r="V4" s="5" t="s">
        <v>2926</v>
      </c>
      <c r="W4" s="5" t="s">
        <v>2926</v>
      </c>
      <c r="X4" s="5" t="s">
        <v>2927</v>
      </c>
      <c r="Y4" s="5" t="s">
        <v>2928</v>
      </c>
      <c r="Z4" s="5" t="s">
        <v>2929</v>
      </c>
      <c r="AA4" s="5" t="s">
        <v>2930</v>
      </c>
      <c r="AB4" s="120" t="s">
        <v>2931</v>
      </c>
      <c r="AC4" s="120" t="s">
        <v>2932</v>
      </c>
      <c r="AD4" s="5" t="s">
        <v>2933</v>
      </c>
      <c r="AE4" s="5" t="s">
        <v>2934</v>
      </c>
      <c r="AF4" s="5" t="s">
        <v>2935</v>
      </c>
      <c r="AG4" s="5" t="s">
        <v>2936</v>
      </c>
      <c r="AH4" s="5" t="s">
        <v>2937</v>
      </c>
      <c r="AI4" s="5" t="s">
        <v>2938</v>
      </c>
      <c r="AJ4" s="5" t="s">
        <v>2938</v>
      </c>
      <c r="AK4" s="5" t="s">
        <v>2939</v>
      </c>
      <c r="AL4" s="120" t="s">
        <v>2940</v>
      </c>
      <c r="AM4" s="5" t="s">
        <v>2941</v>
      </c>
      <c r="AN4" s="120" t="s">
        <v>2942</v>
      </c>
      <c r="AO4" s="120" t="s">
        <v>2943</v>
      </c>
      <c r="AP4" s="108" t="s">
        <v>2944</v>
      </c>
      <c r="AQ4" s="108" t="s">
        <v>2945</v>
      </c>
      <c r="AR4" s="108" t="s">
        <v>2946</v>
      </c>
      <c r="AS4" s="108" t="s">
        <v>2947</v>
      </c>
      <c r="AT4" s="108" t="s">
        <v>2948</v>
      </c>
      <c r="AU4" s="97" t="s">
        <v>2949</v>
      </c>
      <c r="AV4" s="97" t="s">
        <v>2950</v>
      </c>
      <c r="AW4" s="97" t="s">
        <v>2951</v>
      </c>
      <c r="AX4" s="97" t="s">
        <v>2952</v>
      </c>
      <c r="AY4" s="97" t="s">
        <v>2953</v>
      </c>
      <c r="AZ4" s="97" t="s">
        <v>2954</v>
      </c>
      <c r="BA4" s="97" t="s">
        <v>2955</v>
      </c>
      <c r="BB4" s="97" t="s">
        <v>2956</v>
      </c>
      <c r="BC4" s="97" t="s">
        <v>2957</v>
      </c>
      <c r="BD4" s="97" t="s">
        <v>2958</v>
      </c>
      <c r="BE4" s="97" t="s">
        <v>2959</v>
      </c>
      <c r="BF4" s="97" t="s">
        <v>2960</v>
      </c>
      <c r="BG4" s="97" t="s">
        <v>2961</v>
      </c>
      <c r="BH4" s="97" t="s">
        <v>2962</v>
      </c>
      <c r="BI4" s="97" t="s">
        <v>2963</v>
      </c>
      <c r="BJ4" s="97" t="s">
        <v>2964</v>
      </c>
      <c r="BK4" s="97" t="s">
        <v>2965</v>
      </c>
      <c r="BL4" s="97" t="s">
        <v>2966</v>
      </c>
      <c r="BM4" s="97" t="s">
        <v>2967</v>
      </c>
      <c r="BN4" s="97" t="s">
        <v>2968</v>
      </c>
      <c r="BO4" s="97" t="s">
        <v>2969</v>
      </c>
      <c r="BP4" s="97" t="s">
        <v>2970</v>
      </c>
      <c r="BQ4" s="97" t="s">
        <v>2971</v>
      </c>
      <c r="BR4" s="97" t="s">
        <v>2972</v>
      </c>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8732</v>
      </c>
      <c r="AP5" s="96" t="s">
        <v>2855</v>
      </c>
      <c r="AQ5" s="96" t="s">
        <v>63</v>
      </c>
      <c r="AR5" s="96" t="s">
        <v>63</v>
      </c>
      <c r="AS5" s="96" t="s">
        <v>63</v>
      </c>
      <c r="AT5" s="96" t="s">
        <v>63</v>
      </c>
      <c r="AU5" s="96" t="s">
        <v>63</v>
      </c>
      <c r="AV5" s="96" t="s">
        <v>63</v>
      </c>
      <c r="AW5" s="96" t="s">
        <v>8732</v>
      </c>
      <c r="AX5" s="96" t="s">
        <v>63</v>
      </c>
      <c r="AY5" s="96" t="s">
        <v>63</v>
      </c>
      <c r="AZ5" s="96" t="s">
        <v>63</v>
      </c>
      <c r="BA5" s="96" t="s">
        <v>63</v>
      </c>
      <c r="BB5" s="96" t="s">
        <v>63</v>
      </c>
      <c r="BC5" s="96" t="s">
        <v>2857</v>
      </c>
      <c r="BD5" s="96" t="s">
        <v>63</v>
      </c>
      <c r="BE5" s="96" t="s">
        <v>8732</v>
      </c>
      <c r="BF5" s="96" t="s">
        <v>2858</v>
      </c>
      <c r="BG5" s="96" t="s">
        <v>63</v>
      </c>
      <c r="BH5" s="96" t="s">
        <v>63</v>
      </c>
      <c r="BI5" s="96" t="s">
        <v>63</v>
      </c>
      <c r="BJ5" s="96" t="s">
        <v>63</v>
      </c>
      <c r="BK5" s="96" t="s">
        <v>63</v>
      </c>
      <c r="BL5" s="96" t="s">
        <v>63</v>
      </c>
      <c r="BM5" s="96" t="s">
        <v>63</v>
      </c>
      <c r="BN5" s="96" t="s">
        <v>63</v>
      </c>
      <c r="BO5" s="96" t="s">
        <v>63</v>
      </c>
      <c r="BP5" s="96" t="s">
        <v>2859</v>
      </c>
      <c r="BQ5" s="96" t="s">
        <v>63</v>
      </c>
      <c r="BR5" s="96" t="s">
        <v>63</v>
      </c>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140</v>
      </c>
      <c r="E6" s="544">
        <f>SUBTOTAL(9,E9:E203)</f>
        <v>0.99999999999999822</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64" t="str">
        <f t="shared" si="0"/>
        <v/>
      </c>
      <c r="R6" s="98" t="str">
        <f t="shared" si="0"/>
        <v/>
      </c>
      <c r="S6" s="98"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98" t="str">
        <f t="shared" si="0"/>
        <v/>
      </c>
      <c r="AF6" s="98" t="str">
        <f t="shared" si="0"/>
        <v/>
      </c>
      <c r="AG6" s="98" t="str">
        <f t="shared" si="0"/>
        <v/>
      </c>
      <c r="AH6" s="98" t="str">
        <f t="shared" si="0"/>
        <v/>
      </c>
      <c r="AI6" s="98" t="str">
        <f t="shared" si="0"/>
        <v/>
      </c>
      <c r="AJ6" s="98" t="str">
        <f t="shared" si="0"/>
        <v/>
      </c>
      <c r="AK6" s="98" t="str">
        <f t="shared" si="0"/>
        <v/>
      </c>
      <c r="AL6" s="64" t="str">
        <f t="shared" si="0"/>
        <v/>
      </c>
      <c r="AM6" s="98" t="str">
        <f t="shared" si="0"/>
        <v/>
      </c>
      <c r="AN6" s="64" t="str">
        <f t="shared" si="0"/>
        <v/>
      </c>
      <c r="AO6" s="98"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3">SUBTOTAL(9,L10:L204)</f>
        <v>0</v>
      </c>
      <c r="M7" s="537">
        <f t="shared" si="3"/>
        <v>0</v>
      </c>
      <c r="N7" s="537">
        <f t="shared" si="3"/>
        <v>0</v>
      </c>
      <c r="O7" s="537">
        <f t="shared" si="3"/>
        <v>0</v>
      </c>
      <c r="P7" s="537">
        <f t="shared" si="3"/>
        <v>0</v>
      </c>
      <c r="Q7" s="537">
        <f t="shared" si="3"/>
        <v>0</v>
      </c>
      <c r="R7" s="533">
        <f>SUBTOTAL(9,R10:R208)</f>
        <v>0</v>
      </c>
      <c r="S7" s="533">
        <f>SUBTOTAL(9,S10:S208)</f>
        <v>0</v>
      </c>
      <c r="T7" s="537">
        <f t="shared" ref="T7:CE7" si="4">SUBTOTAL(9,T10:T204)</f>
        <v>0</v>
      </c>
      <c r="U7" s="537">
        <f t="shared" si="4"/>
        <v>0</v>
      </c>
      <c r="V7" s="537">
        <f t="shared" si="4"/>
        <v>0</v>
      </c>
      <c r="W7" s="537">
        <f t="shared" si="4"/>
        <v>0</v>
      </c>
      <c r="X7" s="537">
        <f t="shared" si="4"/>
        <v>0</v>
      </c>
      <c r="Y7" s="537">
        <f t="shared" si="4"/>
        <v>0</v>
      </c>
      <c r="Z7" s="537">
        <f t="shared" si="4"/>
        <v>0</v>
      </c>
      <c r="AA7" s="537">
        <f t="shared" si="4"/>
        <v>0</v>
      </c>
      <c r="AB7" s="537">
        <f t="shared" si="4"/>
        <v>0</v>
      </c>
      <c r="AC7" s="537">
        <f t="shared" si="4"/>
        <v>0</v>
      </c>
      <c r="AD7" s="537">
        <f t="shared" si="4"/>
        <v>0</v>
      </c>
      <c r="AE7" s="533">
        <f>SUBTOTAL(9,AE10:AE204)</f>
        <v>0</v>
      </c>
      <c r="AF7" s="533">
        <f t="shared" ref="AF7" si="5">SUBTOTAL(9,AF10:AF208)</f>
        <v>0</v>
      </c>
      <c r="AG7" s="533">
        <f>SUBTOTAL(9,AG10:AG212)</f>
        <v>0</v>
      </c>
      <c r="AH7" s="533">
        <f>SUBTOTAL(9,AH10:AH206)</f>
        <v>0</v>
      </c>
      <c r="AI7" s="533">
        <f>SUBTOTAL(9,AI10:AI206)</f>
        <v>0</v>
      </c>
      <c r="AJ7" s="533">
        <f>SUBTOTAL(9,AJ10:AJ206)</f>
        <v>0</v>
      </c>
      <c r="AK7" s="533">
        <f>SUBTOTAL(9,AK10:AK206)</f>
        <v>-9.9920072216264089E-16</v>
      </c>
      <c r="AL7" s="537">
        <f t="shared" si="4"/>
        <v>0</v>
      </c>
      <c r="AM7" s="533">
        <f>SUBTOTAL(9,AM10:AM203)</f>
        <v>0</v>
      </c>
      <c r="AN7" s="537">
        <f t="shared" si="4"/>
        <v>0</v>
      </c>
      <c r="AO7" s="533">
        <f t="shared" ref="AO7" si="6">SUBTOTAL(9,AO10:AO206)</f>
        <v>0</v>
      </c>
      <c r="AP7" s="537">
        <f t="shared" si="4"/>
        <v>0</v>
      </c>
      <c r="AQ7" s="537">
        <f t="shared" si="4"/>
        <v>-9.9920072216264089E-16</v>
      </c>
      <c r="AR7" s="537">
        <f t="shared" si="4"/>
        <v>0</v>
      </c>
      <c r="AS7" s="537">
        <f t="shared" si="4"/>
        <v>0</v>
      </c>
      <c r="AT7" s="537">
        <f t="shared" si="4"/>
        <v>0</v>
      </c>
      <c r="AU7" s="537">
        <f t="shared" si="4"/>
        <v>0</v>
      </c>
      <c r="AV7" s="537">
        <f t="shared" si="4"/>
        <v>0</v>
      </c>
      <c r="AW7" s="537">
        <f t="shared" si="4"/>
        <v>0</v>
      </c>
      <c r="AX7" s="537">
        <f t="shared" si="4"/>
        <v>0</v>
      </c>
      <c r="AY7" s="537">
        <f t="shared" si="4"/>
        <v>0</v>
      </c>
      <c r="AZ7" s="537">
        <f t="shared" si="4"/>
        <v>0</v>
      </c>
      <c r="BA7" s="537">
        <f t="shared" si="4"/>
        <v>0</v>
      </c>
      <c r="BB7" s="537">
        <f t="shared" si="4"/>
        <v>0</v>
      </c>
      <c r="BC7" s="537">
        <f t="shared" si="4"/>
        <v>0</v>
      </c>
      <c r="BD7" s="537">
        <f t="shared" si="4"/>
        <v>0</v>
      </c>
      <c r="BE7" s="537">
        <f t="shared" si="4"/>
        <v>0</v>
      </c>
      <c r="BF7" s="537">
        <f t="shared" si="4"/>
        <v>0</v>
      </c>
      <c r="BG7" s="537">
        <f t="shared" si="4"/>
        <v>0</v>
      </c>
      <c r="BH7" s="537">
        <f t="shared" si="4"/>
        <v>0</v>
      </c>
      <c r="BI7" s="537">
        <f t="shared" si="4"/>
        <v>0</v>
      </c>
      <c r="BJ7" s="537">
        <f t="shared" si="4"/>
        <v>0</v>
      </c>
      <c r="BK7" s="537">
        <f t="shared" si="4"/>
        <v>0</v>
      </c>
      <c r="BL7" s="537">
        <f t="shared" si="4"/>
        <v>0</v>
      </c>
      <c r="BM7" s="537">
        <f t="shared" si="4"/>
        <v>0</v>
      </c>
      <c r="BN7" s="537">
        <f t="shared" si="4"/>
        <v>0</v>
      </c>
      <c r="BO7" s="537">
        <f t="shared" si="4"/>
        <v>0</v>
      </c>
      <c r="BP7" s="537">
        <f t="shared" si="4"/>
        <v>0</v>
      </c>
      <c r="BQ7" s="537">
        <f t="shared" si="4"/>
        <v>0</v>
      </c>
      <c r="BR7" s="537">
        <f t="shared" si="4"/>
        <v>0</v>
      </c>
      <c r="BS7" s="537">
        <f t="shared" si="4"/>
        <v>0</v>
      </c>
      <c r="BT7" s="537">
        <f t="shared" si="4"/>
        <v>0</v>
      </c>
      <c r="BU7" s="537">
        <f t="shared" si="4"/>
        <v>0</v>
      </c>
      <c r="BV7" s="537">
        <f t="shared" si="4"/>
        <v>0</v>
      </c>
      <c r="BW7" s="537">
        <f t="shared" si="4"/>
        <v>0</v>
      </c>
      <c r="BX7" s="537">
        <f t="shared" si="4"/>
        <v>0</v>
      </c>
      <c r="BY7" s="537">
        <f t="shared" si="4"/>
        <v>0</v>
      </c>
      <c r="BZ7" s="537">
        <f t="shared" si="4"/>
        <v>0</v>
      </c>
      <c r="CA7" s="537">
        <f t="shared" si="4"/>
        <v>0</v>
      </c>
      <c r="CB7" s="537">
        <f t="shared" si="4"/>
        <v>0</v>
      </c>
      <c r="CC7" s="537">
        <f t="shared" si="4"/>
        <v>0</v>
      </c>
      <c r="CD7" s="537">
        <f t="shared" si="4"/>
        <v>0</v>
      </c>
      <c r="CE7" s="537">
        <f t="shared" si="4"/>
        <v>0</v>
      </c>
      <c r="CF7" s="537">
        <f t="shared" ref="CF7:EQ7" si="7">SUBTOTAL(9,CF10:CF204)</f>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si="7"/>
        <v>0</v>
      </c>
      <c r="EF7" s="537">
        <f t="shared" si="7"/>
        <v>0</v>
      </c>
      <c r="EG7" s="537">
        <f t="shared" si="7"/>
        <v>0</v>
      </c>
      <c r="EH7" s="537">
        <f t="shared" si="7"/>
        <v>0</v>
      </c>
      <c r="EI7" s="537">
        <f t="shared" si="7"/>
        <v>0</v>
      </c>
      <c r="EJ7" s="537">
        <f t="shared" si="7"/>
        <v>0</v>
      </c>
      <c r="EK7" s="537">
        <f t="shared" si="7"/>
        <v>0</v>
      </c>
      <c r="EL7" s="537">
        <f t="shared" si="7"/>
        <v>0</v>
      </c>
      <c r="EM7" s="537">
        <f t="shared" si="7"/>
        <v>0</v>
      </c>
      <c r="EN7" s="537">
        <f t="shared" si="7"/>
        <v>0</v>
      </c>
      <c r="EO7" s="537">
        <f t="shared" si="7"/>
        <v>0</v>
      </c>
      <c r="EP7" s="537">
        <f t="shared" si="7"/>
        <v>0</v>
      </c>
      <c r="EQ7" s="537">
        <f t="shared" si="7"/>
        <v>0</v>
      </c>
      <c r="ER7" s="537">
        <f t="shared" ref="ER7:GA7" si="8">SUBTOTAL(9,ER10:ER204)</f>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103" t="s">
        <v>106</v>
      </c>
      <c r="E10" s="36">
        <f t="shared" ref="E10" si="10">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40</v>
      </c>
      <c r="D11" s="103" t="s">
        <v>436</v>
      </c>
      <c r="E11" s="86">
        <f t="shared" ref="E11:E74" si="11">SUM(G11:HS11)</f>
        <v>1</v>
      </c>
      <c r="F11" s="35" t="s">
        <v>228</v>
      </c>
      <c r="G11" s="121"/>
      <c r="H11" s="121">
        <v>1</v>
      </c>
      <c r="I11" s="122"/>
      <c r="J11" s="121"/>
      <c r="K11" s="121"/>
      <c r="L11" s="121"/>
      <c r="M11" s="121"/>
      <c r="N11" s="121"/>
      <c r="O11" s="121"/>
      <c r="P11" s="123"/>
      <c r="Q11" s="123"/>
      <c r="R11" s="121"/>
      <c r="S11" s="121"/>
      <c r="T11" s="121"/>
      <c r="U11" s="121"/>
      <c r="V11" s="121"/>
      <c r="W11" s="121"/>
      <c r="X11" s="121"/>
      <c r="Y11" s="121"/>
      <c r="Z11" s="121"/>
      <c r="AA11" s="121"/>
      <c r="AB11" s="121"/>
      <c r="AC11" s="124"/>
      <c r="AD11" s="123"/>
      <c r="AE11" s="123"/>
      <c r="AF11" s="123"/>
      <c r="AG11" s="123"/>
      <c r="AH11" s="123"/>
      <c r="AI11" s="123"/>
      <c r="AJ11" s="121"/>
      <c r="AK11" s="123"/>
      <c r="AL11" s="121"/>
      <c r="AM11" s="123"/>
      <c r="AN11" s="121"/>
      <c r="AO11" s="121"/>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9"/>
        <v>-40</v>
      </c>
      <c r="D12" s="410" t="s">
        <v>508</v>
      </c>
      <c r="E12" s="413">
        <f t="shared" si="11"/>
        <v>-1</v>
      </c>
      <c r="F12" s="35" t="s">
        <v>228</v>
      </c>
      <c r="G12" s="121"/>
      <c r="H12" s="121"/>
      <c r="I12" s="121">
        <v>-1</v>
      </c>
      <c r="J12" s="121"/>
      <c r="K12" s="121"/>
      <c r="L12" s="121"/>
      <c r="M12" s="121"/>
      <c r="N12" s="121"/>
      <c r="O12" s="121"/>
      <c r="P12" s="123"/>
      <c r="Q12" s="123"/>
      <c r="R12" s="121"/>
      <c r="S12" s="121"/>
      <c r="T12" s="121"/>
      <c r="U12" s="121"/>
      <c r="V12" s="121"/>
      <c r="W12" s="121"/>
      <c r="X12" s="121"/>
      <c r="Y12" s="121"/>
      <c r="Z12" s="121"/>
      <c r="AA12" s="121"/>
      <c r="AB12" s="121"/>
      <c r="AC12" s="124"/>
      <c r="AD12" s="123"/>
      <c r="AE12" s="123"/>
      <c r="AF12" s="123"/>
      <c r="AG12" s="123"/>
      <c r="AH12" s="123"/>
      <c r="AI12" s="123"/>
      <c r="AJ12" s="121"/>
      <c r="AK12" s="124"/>
      <c r="AL12" s="121"/>
      <c r="AM12" s="123"/>
      <c r="AN12" s="121"/>
      <c r="AO12" s="121"/>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9"/>
        <v>40</v>
      </c>
      <c r="D13" s="103" t="s">
        <v>509</v>
      </c>
      <c r="E13" s="86">
        <f t="shared" si="11"/>
        <v>1</v>
      </c>
      <c r="F13" s="35" t="s">
        <v>228</v>
      </c>
      <c r="G13" s="121"/>
      <c r="H13" s="121"/>
      <c r="I13" s="121">
        <v>1</v>
      </c>
      <c r="J13" s="121"/>
      <c r="K13" s="121"/>
      <c r="L13" s="121"/>
      <c r="M13" s="121"/>
      <c r="N13" s="122"/>
      <c r="O13" s="121"/>
      <c r="P13" s="123"/>
      <c r="Q13" s="123"/>
      <c r="R13" s="121"/>
      <c r="S13" s="121"/>
      <c r="T13" s="121"/>
      <c r="U13" s="121"/>
      <c r="V13" s="121"/>
      <c r="W13" s="121"/>
      <c r="X13" s="121"/>
      <c r="Y13" s="121"/>
      <c r="Z13" s="121"/>
      <c r="AA13" s="121"/>
      <c r="AB13" s="121"/>
      <c r="AC13" s="123"/>
      <c r="AD13" s="123"/>
      <c r="AE13" s="124"/>
      <c r="AF13" s="123"/>
      <c r="AG13" s="123"/>
      <c r="AH13" s="123"/>
      <c r="AI13" s="123"/>
      <c r="AJ13" s="121"/>
      <c r="AK13" s="123"/>
      <c r="AL13" s="121"/>
      <c r="AM13" s="123"/>
      <c r="AN13" s="121"/>
      <c r="AO13" s="121"/>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x14ac:dyDescent="0.2">
      <c r="B14" s="80"/>
      <c r="C14" s="36">
        <f t="shared" si="9"/>
        <v>-40</v>
      </c>
      <c r="D14" s="410" t="s">
        <v>616</v>
      </c>
      <c r="E14" s="411">
        <f t="shared" si="11"/>
        <v>-1</v>
      </c>
      <c r="F14" s="35" t="s">
        <v>228</v>
      </c>
      <c r="G14" s="121"/>
      <c r="H14" s="121"/>
      <c r="I14" s="121"/>
      <c r="J14" s="121">
        <v>-1</v>
      </c>
      <c r="K14" s="121"/>
      <c r="L14" s="121"/>
      <c r="M14" s="121"/>
      <c r="N14" s="121"/>
      <c r="O14" s="121"/>
      <c r="P14" s="123"/>
      <c r="Q14" s="123"/>
      <c r="R14" s="121"/>
      <c r="S14" s="121"/>
      <c r="T14" s="121"/>
      <c r="U14" s="121"/>
      <c r="V14" s="121"/>
      <c r="W14" s="121"/>
      <c r="X14" s="121"/>
      <c r="Y14" s="121"/>
      <c r="Z14" s="121"/>
      <c r="AA14" s="121"/>
      <c r="AB14" s="121"/>
      <c r="AC14" s="123"/>
      <c r="AD14" s="123"/>
      <c r="AE14" s="124"/>
      <c r="AF14" s="122"/>
      <c r="AG14" s="122"/>
      <c r="AH14" s="122"/>
      <c r="AI14" s="122"/>
      <c r="AJ14" s="121"/>
      <c r="AK14" s="123"/>
      <c r="AL14" s="121"/>
      <c r="AM14" s="123"/>
      <c r="AN14" s="121"/>
      <c r="AO14" s="121"/>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9"/>
        <v>40</v>
      </c>
      <c r="D15" s="103" t="s">
        <v>594</v>
      </c>
      <c r="E15" s="36">
        <f t="shared" si="11"/>
        <v>1</v>
      </c>
      <c r="F15" s="35" t="s">
        <v>228</v>
      </c>
      <c r="G15" s="121"/>
      <c r="H15" s="121"/>
      <c r="I15" s="121"/>
      <c r="J15" s="121">
        <v>1</v>
      </c>
      <c r="K15" s="121"/>
      <c r="L15" s="121"/>
      <c r="M15" s="121"/>
      <c r="N15" s="121"/>
      <c r="O15" s="121"/>
      <c r="P15" s="123"/>
      <c r="Q15" s="123"/>
      <c r="R15" s="121"/>
      <c r="S15" s="121"/>
      <c r="T15" s="121"/>
      <c r="U15" s="121"/>
      <c r="V15" s="121"/>
      <c r="W15" s="121"/>
      <c r="X15" s="121"/>
      <c r="Y15" s="121"/>
      <c r="Z15" s="121"/>
      <c r="AA15" s="121"/>
      <c r="AB15" s="121"/>
      <c r="AC15" s="123"/>
      <c r="AD15" s="123"/>
      <c r="AE15" s="123"/>
      <c r="AF15" s="122"/>
      <c r="AG15" s="122"/>
      <c r="AH15" s="122"/>
      <c r="AI15" s="122"/>
      <c r="AJ15" s="121"/>
      <c r="AK15" s="123"/>
      <c r="AL15" s="121"/>
      <c r="AM15" s="123"/>
      <c r="AN15" s="121"/>
      <c r="AO15" s="121"/>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9"/>
        <v>-43.076923076923073</v>
      </c>
      <c r="D16" s="410" t="s">
        <v>621</v>
      </c>
      <c r="E16" s="411">
        <f t="shared" si="11"/>
        <v>-1.0769230769230769</v>
      </c>
      <c r="F16" s="35" t="s">
        <v>228</v>
      </c>
      <c r="G16" s="121"/>
      <c r="H16" s="121"/>
      <c r="I16" s="121"/>
      <c r="J16" s="121"/>
      <c r="K16" s="121">
        <v>-7.69230769230769E-2</v>
      </c>
      <c r="L16" s="121">
        <v>-1</v>
      </c>
      <c r="M16" s="121"/>
      <c r="N16" s="121"/>
      <c r="O16" s="122"/>
      <c r="P16" s="123"/>
      <c r="Q16" s="123"/>
      <c r="R16" s="121"/>
      <c r="S16" s="121"/>
      <c r="T16" s="121"/>
      <c r="U16" s="121"/>
      <c r="V16" s="121"/>
      <c r="W16" s="121"/>
      <c r="X16" s="121"/>
      <c r="Y16" s="121"/>
      <c r="Z16" s="122"/>
      <c r="AA16" s="121"/>
      <c r="AB16" s="121"/>
      <c r="AC16" s="123"/>
      <c r="AD16" s="123"/>
      <c r="AE16" s="123"/>
      <c r="AF16" s="122"/>
      <c r="AG16" s="122"/>
      <c r="AH16" s="122"/>
      <c r="AI16" s="122"/>
      <c r="AJ16" s="121"/>
      <c r="AK16" s="123"/>
      <c r="AL16" s="121"/>
      <c r="AM16" s="123"/>
      <c r="AN16" s="121"/>
      <c r="AO16" s="121"/>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9"/>
        <v>1.5384615384615379</v>
      </c>
      <c r="D17" s="103" t="s">
        <v>2804</v>
      </c>
      <c r="E17" s="36">
        <f t="shared" si="11"/>
        <v>3.846153846153845E-2</v>
      </c>
      <c r="F17" s="35" t="s">
        <v>228</v>
      </c>
      <c r="G17" s="121"/>
      <c r="H17" s="121"/>
      <c r="I17" s="121"/>
      <c r="J17" s="121"/>
      <c r="K17" s="121">
        <v>3.846153846153845E-2</v>
      </c>
      <c r="L17" s="121"/>
      <c r="M17" s="121"/>
      <c r="N17" s="121"/>
      <c r="O17" s="121"/>
      <c r="P17" s="123"/>
      <c r="Q17" s="123"/>
      <c r="R17" s="121"/>
      <c r="S17" s="121"/>
      <c r="T17" s="121"/>
      <c r="U17" s="121"/>
      <c r="V17" s="121"/>
      <c r="W17" s="121"/>
      <c r="X17" s="121"/>
      <c r="Y17" s="121"/>
      <c r="Z17" s="121"/>
      <c r="AA17" s="121"/>
      <c r="AB17" s="121"/>
      <c r="AC17" s="123"/>
      <c r="AD17" s="123"/>
      <c r="AE17" s="123"/>
      <c r="AF17" s="122"/>
      <c r="AG17" s="122"/>
      <c r="AH17" s="122"/>
      <c r="AI17" s="122"/>
      <c r="AJ17" s="121"/>
      <c r="AK17" s="123"/>
      <c r="AL17" s="121"/>
      <c r="AM17" s="123"/>
      <c r="AN17" s="121"/>
      <c r="AO17" s="121"/>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9"/>
        <v>14.871794871794856</v>
      </c>
      <c r="D18" s="103" t="s">
        <v>2805</v>
      </c>
      <c r="E18" s="36">
        <f t="shared" si="11"/>
        <v>0.37179487179487142</v>
      </c>
      <c r="F18" s="35" t="s">
        <v>228</v>
      </c>
      <c r="G18" s="121"/>
      <c r="H18" s="121"/>
      <c r="I18" s="121"/>
      <c r="J18" s="121"/>
      <c r="K18" s="121">
        <v>3.846153846153845E-2</v>
      </c>
      <c r="L18" s="121"/>
      <c r="M18" s="121"/>
      <c r="N18" s="122"/>
      <c r="O18" s="128"/>
      <c r="P18" s="124"/>
      <c r="Q18" s="123"/>
      <c r="R18" s="129"/>
      <c r="S18" s="121"/>
      <c r="T18" s="121"/>
      <c r="U18" s="121"/>
      <c r="V18" s="121"/>
      <c r="W18" s="121"/>
      <c r="X18" s="121"/>
      <c r="Y18" s="121"/>
      <c r="Z18" s="121"/>
      <c r="AA18" s="121"/>
      <c r="AB18" s="121"/>
      <c r="AC18" s="123"/>
      <c r="AD18" s="123"/>
      <c r="AE18" s="123"/>
      <c r="AF18" s="122"/>
      <c r="AG18" s="122"/>
      <c r="AH18" s="122"/>
      <c r="AI18" s="122"/>
      <c r="AJ18" s="121"/>
      <c r="AK18" s="124">
        <v>0.33333333333333298</v>
      </c>
      <c r="AL18" s="121"/>
      <c r="AM18" s="123"/>
      <c r="AN18" s="121"/>
      <c r="AO18" s="121"/>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9"/>
        <v>100</v>
      </c>
      <c r="D19" s="104" t="s">
        <v>599</v>
      </c>
      <c r="E19" s="36">
        <f t="shared" si="11"/>
        <v>2.5</v>
      </c>
      <c r="F19" s="35" t="s">
        <v>228</v>
      </c>
      <c r="G19" s="121"/>
      <c r="H19" s="121"/>
      <c r="I19" s="121"/>
      <c r="J19" s="121"/>
      <c r="K19" s="121"/>
      <c r="L19" s="121">
        <v>1</v>
      </c>
      <c r="M19" s="121"/>
      <c r="N19" s="122"/>
      <c r="O19" s="128"/>
      <c r="P19" s="128"/>
      <c r="Q19" s="123"/>
      <c r="R19" s="129"/>
      <c r="S19" s="121"/>
      <c r="T19" s="121"/>
      <c r="U19" s="121"/>
      <c r="V19" s="121"/>
      <c r="W19" s="121"/>
      <c r="X19" s="121"/>
      <c r="Y19" s="121"/>
      <c r="Z19" s="121"/>
      <c r="AA19" s="121"/>
      <c r="AB19" s="121"/>
      <c r="AC19" s="123"/>
      <c r="AD19" s="123"/>
      <c r="AE19" s="123"/>
      <c r="AF19" s="122"/>
      <c r="AG19" s="122"/>
      <c r="AH19" s="122"/>
      <c r="AI19" s="122"/>
      <c r="AJ19" s="121"/>
      <c r="AK19" s="123"/>
      <c r="AL19" s="121"/>
      <c r="AM19" s="123"/>
      <c r="AN19" s="121"/>
      <c r="AO19" s="121"/>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v>1</v>
      </c>
      <c r="BP19" s="28">
        <v>0.5</v>
      </c>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9"/>
        <v>-40</v>
      </c>
      <c r="D20" s="412" t="s">
        <v>632</v>
      </c>
      <c r="E20" s="413">
        <f t="shared" si="11"/>
        <v>-1</v>
      </c>
      <c r="F20" s="35" t="s">
        <v>228</v>
      </c>
      <c r="G20" s="121"/>
      <c r="H20" s="121"/>
      <c r="I20" s="121"/>
      <c r="J20" s="121"/>
      <c r="K20" s="121"/>
      <c r="L20" s="121"/>
      <c r="M20" s="121">
        <v>-1</v>
      </c>
      <c r="N20" s="122"/>
      <c r="O20" s="128"/>
      <c r="P20" s="128"/>
      <c r="Q20" s="123"/>
      <c r="R20" s="129"/>
      <c r="S20" s="121"/>
      <c r="T20" s="121"/>
      <c r="U20" s="121"/>
      <c r="V20" s="121"/>
      <c r="W20" s="121"/>
      <c r="X20" s="121"/>
      <c r="Y20" s="121"/>
      <c r="Z20" s="121"/>
      <c r="AA20" s="121"/>
      <c r="AB20" s="121"/>
      <c r="AC20" s="123"/>
      <c r="AD20" s="123"/>
      <c r="AE20" s="123"/>
      <c r="AF20" s="123"/>
      <c r="AG20" s="123"/>
      <c r="AH20" s="123"/>
      <c r="AI20" s="123"/>
      <c r="AJ20" s="121"/>
      <c r="AK20" s="123"/>
      <c r="AL20" s="121"/>
      <c r="AM20" s="123"/>
      <c r="AN20" s="121"/>
      <c r="AO20" s="121"/>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9"/>
        <v>40</v>
      </c>
      <c r="D21" s="103" t="s">
        <v>633</v>
      </c>
      <c r="E21" s="36">
        <f t="shared" si="11"/>
        <v>1</v>
      </c>
      <c r="F21" s="35" t="s">
        <v>228</v>
      </c>
      <c r="G21" s="121"/>
      <c r="H21" s="121"/>
      <c r="I21" s="121"/>
      <c r="J21" s="121"/>
      <c r="K21" s="121"/>
      <c r="L21" s="121"/>
      <c r="M21" s="121">
        <v>1</v>
      </c>
      <c r="N21" s="121"/>
      <c r="O21" s="128"/>
      <c r="P21" s="128"/>
      <c r="Q21" s="123"/>
      <c r="R21" s="129"/>
      <c r="S21" s="121"/>
      <c r="T21" s="121"/>
      <c r="U21" s="121"/>
      <c r="V21" s="121"/>
      <c r="W21" s="121"/>
      <c r="X21" s="121"/>
      <c r="Y21" s="121"/>
      <c r="Z21" s="121"/>
      <c r="AA21" s="121"/>
      <c r="AB21" s="121"/>
      <c r="AC21" s="123"/>
      <c r="AD21" s="123"/>
      <c r="AE21" s="123"/>
      <c r="AF21" s="123"/>
      <c r="AG21" s="123"/>
      <c r="AH21" s="123"/>
      <c r="AI21" s="123"/>
      <c r="AJ21" s="121"/>
      <c r="AK21" s="123"/>
      <c r="AL21" s="122"/>
      <c r="AM21" s="123"/>
      <c r="AN21" s="121"/>
      <c r="AO21" s="121"/>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9"/>
        <v>-26.01005722212588</v>
      </c>
      <c r="D22" s="410" t="s">
        <v>662</v>
      </c>
      <c r="E22" s="413">
        <f t="shared" si="11"/>
        <v>-0.65025143055314705</v>
      </c>
      <c r="F22" s="35" t="s">
        <v>228</v>
      </c>
      <c r="G22" s="121"/>
      <c r="H22" s="121"/>
      <c r="I22" s="121"/>
      <c r="J22" s="121"/>
      <c r="K22" s="121"/>
      <c r="L22" s="121"/>
      <c r="M22" s="121"/>
      <c r="N22" s="121">
        <v>-0.65025143055314705</v>
      </c>
      <c r="O22" s="128"/>
      <c r="P22" s="128"/>
      <c r="Q22" s="123"/>
      <c r="R22" s="129"/>
      <c r="S22" s="121"/>
      <c r="T22" s="121"/>
      <c r="U22" s="121"/>
      <c r="V22" s="121"/>
      <c r="W22" s="121"/>
      <c r="X22" s="121"/>
      <c r="Y22" s="121"/>
      <c r="Z22" s="121"/>
      <c r="AA22" s="121"/>
      <c r="AB22" s="121"/>
      <c r="AC22" s="123"/>
      <c r="AD22" s="123"/>
      <c r="AE22" s="123"/>
      <c r="AF22" s="123"/>
      <c r="AG22" s="123"/>
      <c r="AH22" s="123"/>
      <c r="AI22" s="123"/>
      <c r="AJ22" s="121"/>
      <c r="AK22" s="123"/>
      <c r="AL22" s="122"/>
      <c r="AM22" s="123"/>
      <c r="AN22" s="121"/>
      <c r="AO22" s="121"/>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9"/>
        <v>19.074041962892316</v>
      </c>
      <c r="D23" s="4" t="s">
        <v>2806</v>
      </c>
      <c r="E23" s="86">
        <f t="shared" si="11"/>
        <v>0.47685104907230791</v>
      </c>
      <c r="F23" s="35" t="s">
        <v>228</v>
      </c>
      <c r="G23" s="121"/>
      <c r="H23" s="121"/>
      <c r="I23" s="121"/>
      <c r="J23" s="121"/>
      <c r="K23" s="121"/>
      <c r="L23" s="121"/>
      <c r="M23" s="121"/>
      <c r="N23" s="121">
        <v>0.65025143055314705</v>
      </c>
      <c r="O23" s="121"/>
      <c r="P23" s="124">
        <v>-8.6700190740419597E-2</v>
      </c>
      <c r="Q23" s="123">
        <v>-8.6700190740419597E-2</v>
      </c>
      <c r="R23" s="121"/>
      <c r="S23" s="129"/>
      <c r="T23" s="121"/>
      <c r="U23" s="121"/>
      <c r="V23" s="121"/>
      <c r="W23" s="121"/>
      <c r="X23" s="121"/>
      <c r="Y23" s="121"/>
      <c r="Z23" s="121"/>
      <c r="AA23" s="121"/>
      <c r="AB23" s="121"/>
      <c r="AC23" s="123"/>
      <c r="AD23" s="123"/>
      <c r="AE23" s="123"/>
      <c r="AF23" s="123"/>
      <c r="AG23" s="123"/>
      <c r="AH23" s="123"/>
      <c r="AI23" s="123"/>
      <c r="AJ23" s="121"/>
      <c r="AK23" s="123"/>
      <c r="AL23" s="122"/>
      <c r="AM23" s="123"/>
      <c r="AN23" s="121"/>
      <c r="AO23" s="121"/>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9"/>
        <v>-19.07404196289232</v>
      </c>
      <c r="D24" s="410" t="s">
        <v>657</v>
      </c>
      <c r="E24" s="413">
        <f t="shared" si="11"/>
        <v>-0.47685104907230802</v>
      </c>
      <c r="F24" s="35" t="s">
        <v>228</v>
      </c>
      <c r="G24" s="121"/>
      <c r="H24" s="121"/>
      <c r="I24" s="121"/>
      <c r="J24" s="121"/>
      <c r="K24" s="121"/>
      <c r="L24" s="121"/>
      <c r="M24" s="121"/>
      <c r="N24" s="121"/>
      <c r="O24" s="121">
        <v>-0.47685104907230802</v>
      </c>
      <c r="P24" s="124"/>
      <c r="Q24" s="123"/>
      <c r="R24" s="121"/>
      <c r="S24" s="129"/>
      <c r="T24" s="121"/>
      <c r="U24" s="121"/>
      <c r="V24" s="121"/>
      <c r="W24" s="121"/>
      <c r="X24" s="121"/>
      <c r="Y24" s="121"/>
      <c r="Z24" s="121"/>
      <c r="AA24" s="121"/>
      <c r="AB24" s="121"/>
      <c r="AC24" s="123"/>
      <c r="AD24" s="123"/>
      <c r="AE24" s="123"/>
      <c r="AF24" s="123"/>
      <c r="AG24" s="123"/>
      <c r="AH24" s="123"/>
      <c r="AI24" s="123"/>
      <c r="AJ24" s="121"/>
      <c r="AK24" s="123"/>
      <c r="AL24" s="122"/>
      <c r="AM24" s="123"/>
      <c r="AN24" s="121"/>
      <c r="AO24" s="121"/>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9"/>
        <v>19.07404196289232</v>
      </c>
      <c r="D25" s="104" t="s">
        <v>658</v>
      </c>
      <c r="E25" s="86">
        <f t="shared" si="11"/>
        <v>0.47685104907230802</v>
      </c>
      <c r="F25" s="35" t="s">
        <v>228</v>
      </c>
      <c r="G25" s="121"/>
      <c r="H25" s="121"/>
      <c r="I25" s="121"/>
      <c r="J25" s="121"/>
      <c r="K25" s="121"/>
      <c r="L25" s="121"/>
      <c r="M25" s="121"/>
      <c r="N25" s="121"/>
      <c r="O25" s="121">
        <v>0.47685104907230802</v>
      </c>
      <c r="P25" s="124"/>
      <c r="Q25" s="123"/>
      <c r="R25" s="121"/>
      <c r="S25" s="121"/>
      <c r="T25" s="129"/>
      <c r="U25" s="121"/>
      <c r="V25" s="121"/>
      <c r="W25" s="121"/>
      <c r="X25" s="121"/>
      <c r="Y25" s="121"/>
      <c r="Z25" s="121"/>
      <c r="AA25" s="121"/>
      <c r="AB25" s="121"/>
      <c r="AC25" s="123"/>
      <c r="AD25" s="123"/>
      <c r="AE25" s="123"/>
      <c r="AF25" s="123"/>
      <c r="AG25" s="123"/>
      <c r="AH25" s="6"/>
      <c r="AI25" s="123"/>
      <c r="AJ25" s="121"/>
      <c r="AK25" s="123"/>
      <c r="AL25" s="121"/>
      <c r="AM25" s="123"/>
      <c r="AN25" s="121"/>
      <c r="AO25" s="121"/>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9"/>
        <v>3.4680076296167837</v>
      </c>
      <c r="D26" s="104" t="s">
        <v>225</v>
      </c>
      <c r="E26" s="86">
        <f t="shared" si="11"/>
        <v>8.6700190740419597E-2</v>
      </c>
      <c r="F26" s="35" t="s">
        <v>228</v>
      </c>
      <c r="G26" s="121"/>
      <c r="H26" s="121"/>
      <c r="I26" s="121"/>
      <c r="J26" s="121"/>
      <c r="K26" s="121"/>
      <c r="L26" s="121"/>
      <c r="M26" s="121"/>
      <c r="N26" s="121"/>
      <c r="O26" s="121"/>
      <c r="P26" s="123">
        <v>8.6700190740419597E-2</v>
      </c>
      <c r="Q26" s="123"/>
      <c r="R26" s="121"/>
      <c r="S26" s="121"/>
      <c r="T26" s="129"/>
      <c r="U26" s="121"/>
      <c r="V26" s="121"/>
      <c r="W26" s="121"/>
      <c r="X26" s="121"/>
      <c r="Y26" s="121"/>
      <c r="Z26" s="121"/>
      <c r="AA26" s="121"/>
      <c r="AB26" s="121"/>
      <c r="AC26" s="123"/>
      <c r="AD26" s="123"/>
      <c r="AE26" s="123"/>
      <c r="AF26" s="123"/>
      <c r="AG26" s="123"/>
      <c r="AH26" s="5"/>
      <c r="AI26" s="123"/>
      <c r="AJ26" s="121"/>
      <c r="AK26" s="123"/>
      <c r="AL26" s="122"/>
      <c r="AM26" s="123"/>
      <c r="AN26" s="121"/>
      <c r="AO26" s="121"/>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9"/>
        <v>3.4680076296167837</v>
      </c>
      <c r="D27" s="3" t="s">
        <v>671</v>
      </c>
      <c r="E27" s="36">
        <f t="shared" si="11"/>
        <v>8.6700190740419597E-2</v>
      </c>
      <c r="F27" s="35" t="s">
        <v>228</v>
      </c>
      <c r="G27" s="121"/>
      <c r="H27" s="121"/>
      <c r="I27" s="121"/>
      <c r="J27" s="121"/>
      <c r="K27" s="121"/>
      <c r="L27" s="6"/>
      <c r="M27" s="121"/>
      <c r="N27" s="121"/>
      <c r="O27" s="121"/>
      <c r="P27" s="123"/>
      <c r="Q27" s="123">
        <v>8.6700190740419597E-2</v>
      </c>
      <c r="R27" s="121"/>
      <c r="S27" s="121"/>
      <c r="T27" s="121"/>
      <c r="U27" s="129"/>
      <c r="V27" s="121"/>
      <c r="W27" s="121"/>
      <c r="X27" s="121"/>
      <c r="Y27" s="121"/>
      <c r="Z27" s="121"/>
      <c r="AA27" s="121"/>
      <c r="AB27" s="121"/>
      <c r="AC27" s="123"/>
      <c r="AD27" s="123"/>
      <c r="AE27" s="123"/>
      <c r="AF27" s="123"/>
      <c r="AG27" s="123"/>
      <c r="AH27" s="5"/>
      <c r="AI27" s="123"/>
      <c r="AJ27" s="121"/>
      <c r="AK27" s="123"/>
      <c r="AL27" s="121"/>
      <c r="AM27" s="123"/>
      <c r="AN27" s="121"/>
      <c r="AO27" s="121"/>
      <c r="AP27" s="28"/>
      <c r="AQ27" s="28"/>
      <c r="AR27" s="28"/>
    </row>
    <row r="28" spans="1:181" s="27" customFormat="1" x14ac:dyDescent="0.2">
      <c r="A28" s="125"/>
      <c r="B28" s="39"/>
      <c r="C28" s="36">
        <f t="shared" si="9"/>
        <v>-9.2307692307692406</v>
      </c>
      <c r="D28" s="421" t="s">
        <v>693</v>
      </c>
      <c r="E28" s="411">
        <f t="shared" si="11"/>
        <v>-0.230769230769231</v>
      </c>
      <c r="F28" s="35" t="s">
        <v>228</v>
      </c>
      <c r="G28" s="121"/>
      <c r="H28" s="121"/>
      <c r="I28" s="121"/>
      <c r="J28" s="121"/>
      <c r="K28" s="121"/>
      <c r="L28" s="5"/>
      <c r="M28" s="121"/>
      <c r="N28" s="121"/>
      <c r="O28" s="121"/>
      <c r="P28" s="123"/>
      <c r="Q28" s="123"/>
      <c r="R28" s="121">
        <v>-0.230769230769231</v>
      </c>
      <c r="S28" s="121"/>
      <c r="T28" s="121"/>
      <c r="U28" s="129"/>
      <c r="V28" s="121"/>
      <c r="W28" s="121"/>
      <c r="X28" s="121"/>
      <c r="Y28" s="121"/>
      <c r="Z28" s="121"/>
      <c r="AA28" s="121"/>
      <c r="AB28" s="121"/>
      <c r="AC28" s="123"/>
      <c r="AD28" s="123"/>
      <c r="AE28" s="123"/>
      <c r="AF28" s="123"/>
      <c r="AG28" s="123"/>
      <c r="AH28" s="5"/>
      <c r="AI28" s="123"/>
      <c r="AJ28" s="121"/>
      <c r="AK28" s="123"/>
      <c r="AL28" s="121"/>
      <c r="AM28" s="123"/>
      <c r="AN28" s="121"/>
      <c r="AO28" s="121"/>
      <c r="AP28" s="28"/>
      <c r="AQ28" s="28"/>
      <c r="AR28" s="28"/>
    </row>
    <row r="29" spans="1:181" s="27" customFormat="1" x14ac:dyDescent="0.2">
      <c r="A29" s="125"/>
      <c r="B29" s="39"/>
      <c r="C29" s="86">
        <f t="shared" si="9"/>
        <v>0</v>
      </c>
      <c r="D29" s="4" t="s">
        <v>694</v>
      </c>
      <c r="E29" s="86">
        <f t="shared" si="11"/>
        <v>0</v>
      </c>
      <c r="F29" s="35" t="s">
        <v>228</v>
      </c>
      <c r="G29" s="121"/>
      <c r="H29" s="121"/>
      <c r="I29" s="121"/>
      <c r="J29" s="121"/>
      <c r="K29" s="121"/>
      <c r="L29" s="5"/>
      <c r="M29" s="121"/>
      <c r="N29" s="121"/>
      <c r="O29" s="121"/>
      <c r="P29" s="123"/>
      <c r="Q29" s="123"/>
      <c r="R29" s="121">
        <v>0.230769230769231</v>
      </c>
      <c r="S29" s="121">
        <v>-0.15384615384615399</v>
      </c>
      <c r="T29" s="121">
        <v>-3.8461538461538498E-2</v>
      </c>
      <c r="U29" s="129">
        <v>-3.8461538461538498E-2</v>
      </c>
      <c r="V29" s="121"/>
      <c r="W29" s="121"/>
      <c r="X29" s="121"/>
      <c r="Y29" s="121"/>
      <c r="Z29" s="121"/>
      <c r="AA29" s="121"/>
      <c r="AB29" s="121"/>
      <c r="AC29" s="123"/>
      <c r="AD29" s="123"/>
      <c r="AE29" s="123"/>
      <c r="AF29" s="123"/>
      <c r="AG29" s="123"/>
      <c r="AH29" s="5"/>
      <c r="AI29" s="123"/>
      <c r="AJ29" s="121"/>
      <c r="AK29" s="123"/>
      <c r="AL29" s="121"/>
      <c r="AM29" s="123"/>
      <c r="AN29" s="121"/>
      <c r="AO29" s="121"/>
      <c r="AP29" s="28"/>
      <c r="AQ29" s="28"/>
      <c r="AR29" s="28"/>
    </row>
    <row r="30" spans="1:181" s="27" customFormat="1" x14ac:dyDescent="0.2">
      <c r="A30" s="125"/>
      <c r="B30" s="39"/>
      <c r="C30" s="36">
        <f t="shared" si="9"/>
        <v>0</v>
      </c>
      <c r="D30" s="103" t="s">
        <v>698</v>
      </c>
      <c r="E30" s="36">
        <f t="shared" si="11"/>
        <v>0</v>
      </c>
      <c r="F30" s="35" t="s">
        <v>228</v>
      </c>
      <c r="G30" s="121"/>
      <c r="H30" s="121"/>
      <c r="I30" s="121"/>
      <c r="J30" s="121"/>
      <c r="K30" s="121"/>
      <c r="L30" s="117"/>
      <c r="M30" s="121"/>
      <c r="N30" s="121"/>
      <c r="O30" s="121"/>
      <c r="P30" s="123"/>
      <c r="Q30" s="123"/>
      <c r="R30" s="121"/>
      <c r="S30" s="121">
        <v>0.15384615384615399</v>
      </c>
      <c r="T30" s="121"/>
      <c r="U30" s="121"/>
      <c r="V30" s="129"/>
      <c r="W30" s="129"/>
      <c r="X30" s="129">
        <v>-0.15384615384615399</v>
      </c>
      <c r="Y30" s="129"/>
      <c r="Z30" s="129"/>
      <c r="AA30" s="121"/>
      <c r="AB30" s="121"/>
      <c r="AC30" s="123"/>
      <c r="AD30" s="123"/>
      <c r="AE30" s="123"/>
      <c r="AF30" s="123"/>
      <c r="AG30" s="123"/>
      <c r="AH30" s="118"/>
      <c r="AI30" s="123"/>
      <c r="AJ30" s="121"/>
      <c r="AK30" s="123"/>
      <c r="AL30" s="121"/>
      <c r="AM30" s="123"/>
      <c r="AN30" s="121"/>
      <c r="AO30" s="121"/>
      <c r="AP30" s="28"/>
      <c r="AQ30" s="28"/>
      <c r="AR30" s="28"/>
    </row>
    <row r="31" spans="1:181" s="27" customFormat="1" x14ac:dyDescent="0.2">
      <c r="A31" s="125"/>
      <c r="B31" s="39"/>
      <c r="C31" s="86">
        <f t="shared" si="9"/>
        <v>1.5384615384615399</v>
      </c>
      <c r="D31" s="103" t="s">
        <v>702</v>
      </c>
      <c r="E31" s="86">
        <f t="shared" si="11"/>
        <v>3.8461538461538498E-2</v>
      </c>
      <c r="F31" s="35" t="s">
        <v>228</v>
      </c>
      <c r="G31" s="121"/>
      <c r="H31" s="121"/>
      <c r="I31" s="121"/>
      <c r="J31" s="121"/>
      <c r="K31" s="121"/>
      <c r="L31" s="117"/>
      <c r="M31" s="121"/>
      <c r="N31" s="121"/>
      <c r="O31" s="121"/>
      <c r="P31" s="123"/>
      <c r="Q31" s="123"/>
      <c r="R31" s="121"/>
      <c r="S31" s="121"/>
      <c r="T31" s="121">
        <v>3.8461538461538498E-2</v>
      </c>
      <c r="U31" s="121"/>
      <c r="V31" s="129"/>
      <c r="W31" s="129"/>
      <c r="X31" s="121"/>
      <c r="Y31" s="121"/>
      <c r="Z31" s="121"/>
      <c r="AA31" s="121"/>
      <c r="AB31" s="121"/>
      <c r="AC31" s="123"/>
      <c r="AD31" s="123"/>
      <c r="AE31" s="123"/>
      <c r="AF31" s="123"/>
      <c r="AG31" s="123"/>
      <c r="AH31" s="118"/>
      <c r="AI31" s="123"/>
      <c r="AJ31" s="121"/>
      <c r="AK31" s="123"/>
      <c r="AL31" s="121"/>
      <c r="AM31" s="123"/>
      <c r="AN31" s="121"/>
      <c r="AO31" s="121"/>
      <c r="AP31" s="28"/>
      <c r="AQ31" s="28"/>
      <c r="AR31" s="28"/>
    </row>
    <row r="32" spans="1:181" s="27" customFormat="1" x14ac:dyDescent="0.2">
      <c r="A32" s="125"/>
      <c r="B32" s="39"/>
      <c r="C32" s="86">
        <f t="shared" si="9"/>
        <v>1.5384615384615399</v>
      </c>
      <c r="D32" s="103" t="s">
        <v>706</v>
      </c>
      <c r="E32" s="86">
        <f t="shared" si="11"/>
        <v>3.8461538461538498E-2</v>
      </c>
      <c r="F32" s="35" t="s">
        <v>228</v>
      </c>
      <c r="G32" s="121"/>
      <c r="H32" s="121"/>
      <c r="I32" s="121"/>
      <c r="J32" s="121"/>
      <c r="K32" s="121"/>
      <c r="L32" s="117"/>
      <c r="M32" s="121"/>
      <c r="N32" s="121"/>
      <c r="O32" s="121"/>
      <c r="P32" s="123"/>
      <c r="Q32" s="123"/>
      <c r="R32" s="121"/>
      <c r="S32" s="121"/>
      <c r="T32" s="121"/>
      <c r="U32" s="121">
        <v>3.8461538461538498E-2</v>
      </c>
      <c r="V32" s="129"/>
      <c r="W32" s="121"/>
      <c r="X32" s="129"/>
      <c r="Y32" s="121"/>
      <c r="Z32" s="121"/>
      <c r="AA32" s="121"/>
      <c r="AB32" s="121"/>
      <c r="AC32" s="123"/>
      <c r="AD32" s="123"/>
      <c r="AE32" s="123"/>
      <c r="AF32" s="123"/>
      <c r="AG32" s="123"/>
      <c r="AH32" s="118"/>
      <c r="AI32" s="123"/>
      <c r="AJ32" s="121"/>
      <c r="AK32" s="123"/>
      <c r="AL32" s="121"/>
      <c r="AM32" s="123"/>
      <c r="AN32" s="121"/>
      <c r="AO32" s="121"/>
      <c r="AP32" s="28"/>
      <c r="AQ32" s="28"/>
      <c r="AR32" s="28"/>
    </row>
    <row r="33" spans="1:186" s="27" customFormat="1" x14ac:dyDescent="0.2">
      <c r="A33" s="125"/>
      <c r="B33" s="39"/>
      <c r="C33" s="36">
        <f t="shared" si="9"/>
        <v>-1.5384615384615399</v>
      </c>
      <c r="D33" s="410" t="s">
        <v>791</v>
      </c>
      <c r="E33" s="411">
        <f t="shared" si="11"/>
        <v>-3.8461538461538498E-2</v>
      </c>
      <c r="F33" s="35" t="s">
        <v>228</v>
      </c>
      <c r="G33" s="121"/>
      <c r="H33" s="121"/>
      <c r="I33" s="121"/>
      <c r="J33" s="121"/>
      <c r="K33" s="121"/>
      <c r="L33" s="121"/>
      <c r="M33" s="121"/>
      <c r="N33" s="121"/>
      <c r="O33" s="121"/>
      <c r="P33" s="123"/>
      <c r="Q33" s="123"/>
      <c r="R33" s="121"/>
      <c r="S33" s="121"/>
      <c r="T33" s="121"/>
      <c r="U33" s="121"/>
      <c r="V33" s="129">
        <v>-3.8461538461538498E-2</v>
      </c>
      <c r="W33" s="121"/>
      <c r="X33" s="121"/>
      <c r="Y33" s="129"/>
      <c r="Z33" s="121"/>
      <c r="AA33" s="121"/>
      <c r="AB33" s="121"/>
      <c r="AC33" s="123"/>
      <c r="AD33" s="123"/>
      <c r="AE33" s="123"/>
      <c r="AF33" s="123"/>
      <c r="AG33" s="123"/>
      <c r="AH33" s="123"/>
      <c r="AI33" s="123"/>
      <c r="AJ33" s="121"/>
      <c r="AK33" s="123"/>
      <c r="AL33" s="121"/>
      <c r="AM33" s="123"/>
      <c r="AN33" s="121"/>
      <c r="AO33" s="121"/>
      <c r="AP33" s="28"/>
      <c r="AQ33" s="28"/>
      <c r="AR33" s="28"/>
    </row>
    <row r="34" spans="1:186" s="27" customFormat="1" x14ac:dyDescent="0.2">
      <c r="A34" s="125"/>
      <c r="B34" s="39"/>
      <c r="C34" s="36">
        <f t="shared" si="9"/>
        <v>0.76923076923077194</v>
      </c>
      <c r="D34" s="103" t="s">
        <v>792</v>
      </c>
      <c r="E34" s="36">
        <f t="shared" si="11"/>
        <v>1.9230769230769298E-2</v>
      </c>
      <c r="F34" s="35" t="s">
        <v>228</v>
      </c>
      <c r="G34" s="121"/>
      <c r="H34" s="121"/>
      <c r="I34" s="121"/>
      <c r="J34" s="121"/>
      <c r="K34" s="121"/>
      <c r="L34" s="121"/>
      <c r="M34" s="121"/>
      <c r="N34" s="121"/>
      <c r="O34" s="121"/>
      <c r="P34" s="123"/>
      <c r="Q34" s="123"/>
      <c r="R34" s="121"/>
      <c r="S34" s="121"/>
      <c r="T34" s="121"/>
      <c r="U34" s="121"/>
      <c r="V34" s="129">
        <v>3.8461538461538498E-2</v>
      </c>
      <c r="W34" s="121">
        <v>-1.9230769230769201E-2</v>
      </c>
      <c r="X34" s="121"/>
      <c r="Y34" s="121"/>
      <c r="Z34" s="129"/>
      <c r="AA34" s="121"/>
      <c r="AB34" s="121"/>
      <c r="AC34" s="121"/>
      <c r="AD34" s="123"/>
      <c r="AE34" s="123"/>
      <c r="AF34" s="123"/>
      <c r="AG34" s="123"/>
      <c r="AH34" s="123"/>
      <c r="AI34" s="123"/>
      <c r="AJ34" s="121"/>
      <c r="AK34" s="123"/>
      <c r="AL34" s="121"/>
      <c r="AM34" s="123"/>
      <c r="AN34" s="121"/>
      <c r="AO34" s="121"/>
      <c r="AP34" s="28"/>
      <c r="AQ34" s="28"/>
      <c r="AR34" s="28"/>
    </row>
    <row r="35" spans="1:186" s="27" customFormat="1" x14ac:dyDescent="0.2">
      <c r="A35" s="125"/>
      <c r="B35" s="39"/>
      <c r="C35" s="36">
        <f t="shared" si="9"/>
        <v>-39.230769230769234</v>
      </c>
      <c r="D35" s="410" t="s">
        <v>795</v>
      </c>
      <c r="E35" s="411">
        <f t="shared" si="11"/>
        <v>-0.98076923076923084</v>
      </c>
      <c r="F35" s="35" t="s">
        <v>228</v>
      </c>
      <c r="G35" s="121"/>
      <c r="H35" s="121"/>
      <c r="I35" s="121"/>
      <c r="J35" s="121"/>
      <c r="K35" s="121"/>
      <c r="L35" s="121"/>
      <c r="M35" s="121"/>
      <c r="N35" s="121"/>
      <c r="O35" s="121"/>
      <c r="P35" s="123"/>
      <c r="Q35" s="123"/>
      <c r="R35" s="121"/>
      <c r="S35" s="121"/>
      <c r="T35" s="121"/>
      <c r="U35" s="121"/>
      <c r="V35" s="129"/>
      <c r="W35" s="121">
        <v>1.9230769230769201E-2</v>
      </c>
      <c r="X35" s="121"/>
      <c r="Y35" s="121">
        <v>-1</v>
      </c>
      <c r="Z35" s="121"/>
      <c r="AA35" s="121"/>
      <c r="AB35" s="121"/>
      <c r="AC35" s="121"/>
      <c r="AD35" s="123"/>
      <c r="AE35" s="123"/>
      <c r="AF35" s="123"/>
      <c r="AG35" s="123"/>
      <c r="AH35" s="123"/>
      <c r="AI35" s="123"/>
      <c r="AJ35" s="121"/>
      <c r="AK35" s="121"/>
      <c r="AL35" s="121"/>
      <c r="AM35" s="123"/>
      <c r="AN35" s="121"/>
      <c r="AO35" s="121"/>
      <c r="AP35" s="28"/>
      <c r="AQ35" s="28"/>
      <c r="AR35" s="28"/>
    </row>
    <row r="36" spans="1:186" s="27" customFormat="1" ht="24" x14ac:dyDescent="0.2">
      <c r="A36" s="125"/>
      <c r="B36" s="39"/>
      <c r="C36" s="36">
        <f t="shared" si="9"/>
        <v>6.1538461538461595</v>
      </c>
      <c r="D36" s="103" t="s">
        <v>2807</v>
      </c>
      <c r="E36" s="36">
        <f t="shared" si="11"/>
        <v>0.15384615384615399</v>
      </c>
      <c r="F36" s="35" t="s">
        <v>228</v>
      </c>
      <c r="G36" s="121"/>
      <c r="H36" s="121"/>
      <c r="I36" s="121"/>
      <c r="J36" s="121"/>
      <c r="K36" s="121"/>
      <c r="L36" s="121"/>
      <c r="M36" s="121"/>
      <c r="N36" s="121"/>
      <c r="O36" s="121"/>
      <c r="P36" s="123"/>
      <c r="Q36" s="123"/>
      <c r="R36" s="121"/>
      <c r="S36" s="121"/>
      <c r="T36" s="121"/>
      <c r="U36" s="121"/>
      <c r="V36" s="121"/>
      <c r="W36" s="121"/>
      <c r="X36" s="121">
        <v>0.15384615384615399</v>
      </c>
      <c r="Y36" s="121"/>
      <c r="Z36" s="121"/>
      <c r="AA36" s="121"/>
      <c r="AB36" s="121"/>
      <c r="AC36" s="121"/>
      <c r="AD36" s="123"/>
      <c r="AE36" s="124"/>
      <c r="AF36" s="123"/>
      <c r="AG36" s="123"/>
      <c r="AH36" s="123"/>
      <c r="AI36" s="123"/>
      <c r="AJ36" s="121"/>
      <c r="AK36" s="123"/>
      <c r="AL36" s="121"/>
      <c r="AM36" s="124"/>
      <c r="AN36" s="121"/>
      <c r="AO36" s="121"/>
      <c r="AP36" s="28"/>
      <c r="AQ36" s="28"/>
      <c r="AR36" s="28"/>
    </row>
    <row r="37" spans="1:186" s="27" customFormat="1" x14ac:dyDescent="0.2">
      <c r="A37" s="125"/>
      <c r="B37" s="39"/>
      <c r="C37" s="86">
        <f>E37*D$5</f>
        <v>40</v>
      </c>
      <c r="D37" s="103" t="s">
        <v>901</v>
      </c>
      <c r="E37" s="86">
        <f t="shared" si="11"/>
        <v>1</v>
      </c>
      <c r="F37" s="35" t="s">
        <v>228</v>
      </c>
      <c r="G37" s="121"/>
      <c r="H37" s="121"/>
      <c r="I37" s="122"/>
      <c r="J37" s="122"/>
      <c r="K37" s="123"/>
      <c r="L37" s="123"/>
      <c r="M37" s="123"/>
      <c r="N37" s="123"/>
      <c r="O37" s="123"/>
      <c r="P37" s="123"/>
      <c r="Q37" s="123"/>
      <c r="R37" s="123"/>
      <c r="S37" s="123"/>
      <c r="T37" s="123"/>
      <c r="U37" s="123"/>
      <c r="V37" s="123"/>
      <c r="W37" s="123"/>
      <c r="X37" s="121"/>
      <c r="Y37" s="123">
        <v>1</v>
      </c>
      <c r="Z37" s="123"/>
      <c r="AA37" s="123"/>
      <c r="AB37" s="123"/>
      <c r="AC37" s="121"/>
      <c r="AD37" s="123"/>
      <c r="AE37" s="124"/>
      <c r="AF37" s="124"/>
      <c r="AG37" s="124"/>
      <c r="AH37" s="123"/>
      <c r="AI37" s="123"/>
      <c r="AJ37" s="123"/>
      <c r="AK37" s="121"/>
      <c r="AL37" s="123"/>
      <c r="AM37" s="123"/>
      <c r="AN37" s="123"/>
      <c r="AO37" s="123"/>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2">E38*D$5</f>
        <v>-0.3076923076923076</v>
      </c>
      <c r="D38" s="421" t="s">
        <v>927</v>
      </c>
      <c r="E38" s="411">
        <f t="shared" si="11"/>
        <v>-7.6923076923076901E-3</v>
      </c>
      <c r="F38" s="35" t="s">
        <v>228</v>
      </c>
      <c r="G38" s="121"/>
      <c r="H38" s="121"/>
      <c r="I38" s="121"/>
      <c r="J38" s="121"/>
      <c r="K38" s="121"/>
      <c r="L38" s="121"/>
      <c r="M38" s="121"/>
      <c r="N38" s="121"/>
      <c r="O38" s="121"/>
      <c r="P38" s="123"/>
      <c r="Q38" s="123"/>
      <c r="R38" s="121"/>
      <c r="S38" s="121"/>
      <c r="T38" s="121"/>
      <c r="U38" s="121"/>
      <c r="V38" s="121"/>
      <c r="W38" s="121"/>
      <c r="X38" s="121"/>
      <c r="Y38" s="121"/>
      <c r="Z38" s="121">
        <v>-7.6923076923076901E-3</v>
      </c>
      <c r="AA38" s="121"/>
      <c r="AB38" s="121"/>
      <c r="AC38" s="121"/>
      <c r="AD38" s="123"/>
      <c r="AE38" s="124"/>
      <c r="AF38" s="124"/>
      <c r="AG38" s="123"/>
      <c r="AH38" s="123"/>
      <c r="AI38" s="124"/>
      <c r="AJ38" s="121"/>
      <c r="AK38" s="121"/>
      <c r="AL38" s="121"/>
      <c r="AM38" s="124"/>
      <c r="AN38" s="121"/>
      <c r="AO38" s="121"/>
      <c r="AP38" s="28"/>
      <c r="AQ38" s="28"/>
      <c r="AR38" s="28"/>
    </row>
    <row r="39" spans="1:186" s="27" customFormat="1" x14ac:dyDescent="0.2">
      <c r="A39" s="125"/>
      <c r="B39" s="39"/>
      <c r="C39" s="36">
        <f t="shared" si="12"/>
        <v>-1.2307692307692324</v>
      </c>
      <c r="D39" s="410" t="s">
        <v>928</v>
      </c>
      <c r="E39" s="411">
        <f t="shared" si="11"/>
        <v>-3.0769230769230809E-2</v>
      </c>
      <c r="F39" s="35" t="s">
        <v>228</v>
      </c>
      <c r="G39" s="121"/>
      <c r="H39" s="122"/>
      <c r="I39" s="122"/>
      <c r="J39" s="122"/>
      <c r="K39" s="123"/>
      <c r="L39" s="123"/>
      <c r="M39" s="123"/>
      <c r="N39" s="123"/>
      <c r="O39" s="123"/>
      <c r="P39" s="123"/>
      <c r="Q39" s="123"/>
      <c r="R39" s="123"/>
      <c r="S39" s="123"/>
      <c r="T39" s="123"/>
      <c r="U39" s="123"/>
      <c r="V39" s="123"/>
      <c r="W39" s="123"/>
      <c r="X39" s="123"/>
      <c r="Y39" s="123"/>
      <c r="Z39" s="123">
        <v>7.6923076923076901E-3</v>
      </c>
      <c r="AA39" s="123"/>
      <c r="AB39" s="123">
        <v>-3.8461538461538498E-2</v>
      </c>
      <c r="AC39" s="123"/>
      <c r="AD39" s="123"/>
      <c r="AE39" s="124"/>
      <c r="AF39" s="124"/>
      <c r="AG39" s="124"/>
      <c r="AH39" s="123"/>
      <c r="AI39" s="123"/>
      <c r="AJ39" s="123"/>
      <c r="AK39" s="123"/>
      <c r="AL39" s="123"/>
      <c r="AM39" s="123"/>
      <c r="AN39" s="123"/>
      <c r="AO39" s="123"/>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x14ac:dyDescent="0.2">
      <c r="A40" s="125"/>
      <c r="B40" s="39"/>
      <c r="C40" s="86">
        <f t="shared" si="12"/>
        <v>-40</v>
      </c>
      <c r="D40" s="410" t="s">
        <v>997</v>
      </c>
      <c r="E40" s="413">
        <f t="shared" si="11"/>
        <v>-1</v>
      </c>
      <c r="F40" s="35" t="s">
        <v>228</v>
      </c>
      <c r="G40" s="121"/>
      <c r="H40" s="122"/>
      <c r="I40" s="122"/>
      <c r="J40" s="122"/>
      <c r="K40" s="123"/>
      <c r="L40" s="123"/>
      <c r="M40" s="123"/>
      <c r="N40" s="123"/>
      <c r="O40" s="123"/>
      <c r="P40" s="123"/>
      <c r="Q40" s="123"/>
      <c r="R40" s="123"/>
      <c r="S40" s="123"/>
      <c r="T40" s="123"/>
      <c r="U40" s="123"/>
      <c r="V40" s="123"/>
      <c r="W40" s="123"/>
      <c r="X40" s="123"/>
      <c r="Y40" s="123"/>
      <c r="Z40" s="123"/>
      <c r="AA40" s="123">
        <v>-1</v>
      </c>
      <c r="AB40" s="123"/>
      <c r="AC40" s="123"/>
      <c r="AD40" s="123"/>
      <c r="AE40" s="123"/>
      <c r="AF40" s="124"/>
      <c r="AG40" s="123"/>
      <c r="AH40" s="123"/>
      <c r="AI40" s="124"/>
      <c r="AJ40" s="123"/>
      <c r="AK40" s="123"/>
      <c r="AL40" s="123"/>
      <c r="AM40" s="123"/>
      <c r="AN40" s="123"/>
      <c r="AO40" s="123"/>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2"/>
        <v>39.230769230769234</v>
      </c>
      <c r="D41" s="4" t="s">
        <v>998</v>
      </c>
      <c r="E41" s="36">
        <f t="shared" si="11"/>
        <v>0.98076923076923084</v>
      </c>
      <c r="F41" s="35" t="s">
        <v>228</v>
      </c>
      <c r="G41" s="121"/>
      <c r="H41" s="122"/>
      <c r="I41" s="122"/>
      <c r="J41" s="122"/>
      <c r="K41" s="123"/>
      <c r="L41" s="123"/>
      <c r="M41" s="123"/>
      <c r="N41" s="123"/>
      <c r="O41" s="123"/>
      <c r="P41" s="123"/>
      <c r="Q41" s="123"/>
      <c r="R41" s="123"/>
      <c r="S41" s="123"/>
      <c r="T41" s="123"/>
      <c r="U41" s="123"/>
      <c r="V41" s="123"/>
      <c r="W41" s="123"/>
      <c r="X41" s="123"/>
      <c r="Y41" s="123"/>
      <c r="Z41" s="123"/>
      <c r="AA41" s="123">
        <v>1</v>
      </c>
      <c r="AB41" s="123"/>
      <c r="AC41" s="123"/>
      <c r="AD41" s="123"/>
      <c r="AE41" s="123"/>
      <c r="AF41" s="123"/>
      <c r="AG41" s="124"/>
      <c r="AH41" s="124"/>
      <c r="AI41" s="123">
        <v>-1.9230769230769201E-2</v>
      </c>
      <c r="AJ41" s="123"/>
      <c r="AK41" s="123"/>
      <c r="AL41" s="123"/>
      <c r="AM41" s="123"/>
      <c r="AN41" s="123"/>
      <c r="AO41" s="123"/>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-38.46153846153846</v>
      </c>
      <c r="D42" s="422" t="s">
        <v>1066</v>
      </c>
      <c r="E42" s="413">
        <f t="shared" si="11"/>
        <v>-0.96153846153846145</v>
      </c>
      <c r="F42" s="35" t="s">
        <v>228</v>
      </c>
      <c r="G42" s="121"/>
      <c r="H42" s="122"/>
      <c r="I42" s="122"/>
      <c r="J42" s="122"/>
      <c r="K42" s="123"/>
      <c r="L42" s="123"/>
      <c r="M42" s="123"/>
      <c r="N42" s="123"/>
      <c r="O42" s="123"/>
      <c r="P42" s="123"/>
      <c r="Q42" s="123"/>
      <c r="R42" s="124"/>
      <c r="S42" s="124"/>
      <c r="T42" s="123"/>
      <c r="U42" s="123"/>
      <c r="V42" s="123"/>
      <c r="W42" s="123"/>
      <c r="X42" s="123"/>
      <c r="Y42" s="123"/>
      <c r="Z42" s="123"/>
      <c r="AA42" s="123"/>
      <c r="AB42" s="123">
        <v>3.8461538461538498E-2</v>
      </c>
      <c r="AC42" s="123"/>
      <c r="AD42" s="123"/>
      <c r="AE42" s="123"/>
      <c r="AF42" s="123"/>
      <c r="AG42" s="123"/>
      <c r="AH42" s="123"/>
      <c r="AI42" s="124"/>
      <c r="AJ42" s="123"/>
      <c r="AK42" s="123"/>
      <c r="AL42" s="123"/>
      <c r="AM42" s="123"/>
      <c r="AN42" s="123"/>
      <c r="AO42" s="123"/>
      <c r="AP42" s="100"/>
      <c r="AQ42" s="100"/>
      <c r="AR42" s="100"/>
      <c r="AS42" s="100"/>
      <c r="AT42" s="100"/>
      <c r="AU42" s="100"/>
      <c r="AV42" s="100"/>
      <c r="AW42" s="100"/>
      <c r="AX42" s="100">
        <v>-1</v>
      </c>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-40</v>
      </c>
      <c r="D43" s="422" t="s">
        <v>1130</v>
      </c>
      <c r="E43" s="413">
        <f t="shared" si="11"/>
        <v>-1</v>
      </c>
      <c r="F43" s="35" t="s">
        <v>228</v>
      </c>
      <c r="G43" s="121"/>
      <c r="H43" s="122"/>
      <c r="I43" s="122"/>
      <c r="J43" s="122"/>
      <c r="K43" s="123"/>
      <c r="L43" s="123"/>
      <c r="M43" s="123"/>
      <c r="N43" s="124"/>
      <c r="O43" s="123"/>
      <c r="P43" s="123"/>
      <c r="Q43" s="123"/>
      <c r="R43" s="123"/>
      <c r="S43" s="123"/>
      <c r="T43" s="123"/>
      <c r="U43" s="123"/>
      <c r="V43" s="123"/>
      <c r="W43" s="123"/>
      <c r="X43" s="123"/>
      <c r="Y43" s="123"/>
      <c r="Z43" s="123"/>
      <c r="AA43" s="123"/>
      <c r="AB43" s="123"/>
      <c r="AC43" s="123">
        <v>-1</v>
      </c>
      <c r="AD43" s="123"/>
      <c r="AE43" s="123"/>
      <c r="AF43" s="123"/>
      <c r="AG43" s="123"/>
      <c r="AH43" s="123"/>
      <c r="AI43" s="124"/>
      <c r="AJ43" s="123"/>
      <c r="AK43" s="123"/>
      <c r="AL43" s="123"/>
      <c r="AM43" s="123"/>
      <c r="AN43" s="123"/>
      <c r="AO43" s="123"/>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9"/>
        <v>0</v>
      </c>
      <c r="D44" s="4" t="s">
        <v>1131</v>
      </c>
      <c r="E44" s="86">
        <f t="shared" si="11"/>
        <v>0</v>
      </c>
      <c r="F44" s="35" t="s">
        <v>228</v>
      </c>
      <c r="G44" s="121"/>
      <c r="H44" s="121"/>
      <c r="I44" s="121"/>
      <c r="J44" s="121"/>
      <c r="K44" s="121"/>
      <c r="L44" s="121"/>
      <c r="M44" s="121"/>
      <c r="N44" s="121"/>
      <c r="O44" s="121"/>
      <c r="P44" s="123"/>
      <c r="Q44" s="123"/>
      <c r="R44" s="121"/>
      <c r="S44" s="121"/>
      <c r="T44" s="121"/>
      <c r="U44" s="121"/>
      <c r="V44" s="121"/>
      <c r="W44" s="121"/>
      <c r="X44" s="121"/>
      <c r="Y44" s="121"/>
      <c r="Z44" s="121"/>
      <c r="AA44" s="121"/>
      <c r="AB44" s="121"/>
      <c r="AC44" s="123">
        <v>1</v>
      </c>
      <c r="AD44" s="123"/>
      <c r="AE44" s="123"/>
      <c r="AF44" s="123">
        <v>-1</v>
      </c>
      <c r="AG44" s="124"/>
      <c r="AH44" s="124"/>
      <c r="AI44" s="123"/>
      <c r="AJ44" s="121"/>
      <c r="AK44" s="123"/>
      <c r="AL44" s="121"/>
      <c r="AM44" s="123"/>
      <c r="AN44" s="121"/>
      <c r="AO44" s="121"/>
      <c r="AP44" s="28"/>
      <c r="AQ44" s="28"/>
      <c r="AR44" s="28"/>
    </row>
    <row r="45" spans="1:186" s="27" customFormat="1" x14ac:dyDescent="0.2">
      <c r="A45" s="125"/>
      <c r="B45" s="39"/>
      <c r="C45" s="86">
        <f>E45*D$5</f>
        <v>-40</v>
      </c>
      <c r="D45" s="422" t="s">
        <v>1136</v>
      </c>
      <c r="E45" s="413">
        <f t="shared" si="11"/>
        <v>-1</v>
      </c>
      <c r="F45" s="35" t="s">
        <v>228</v>
      </c>
      <c r="G45" s="121"/>
      <c r="H45" s="123"/>
      <c r="I45" s="123"/>
      <c r="J45" s="123"/>
      <c r="K45" s="123"/>
      <c r="L45" s="124"/>
      <c r="M45" s="124"/>
      <c r="N45" s="123"/>
      <c r="O45" s="123"/>
      <c r="P45" s="123"/>
      <c r="Q45" s="123"/>
      <c r="R45" s="123"/>
      <c r="S45" s="123"/>
      <c r="T45" s="123"/>
      <c r="U45" s="123"/>
      <c r="V45" s="123"/>
      <c r="W45" s="123"/>
      <c r="X45" s="123"/>
      <c r="Y45" s="123"/>
      <c r="Z45" s="123"/>
      <c r="AA45" s="121"/>
      <c r="AB45" s="123"/>
      <c r="AC45" s="123"/>
      <c r="AD45" s="123">
        <v>-1</v>
      </c>
      <c r="AE45" s="123"/>
      <c r="AF45" s="123"/>
      <c r="AG45" s="123"/>
      <c r="AH45" s="123"/>
      <c r="AI45" s="124"/>
      <c r="AJ45" s="123"/>
      <c r="AK45" s="121"/>
      <c r="AL45" s="123"/>
      <c r="AM45" s="123"/>
      <c r="AN45" s="123"/>
      <c r="AO45" s="123"/>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9"/>
        <v>120</v>
      </c>
      <c r="D46" s="4" t="s">
        <v>114</v>
      </c>
      <c r="E46" s="86">
        <f t="shared" si="11"/>
        <v>3</v>
      </c>
      <c r="F46" s="35" t="s">
        <v>228</v>
      </c>
      <c r="G46" s="121"/>
      <c r="H46" s="121"/>
      <c r="I46" s="121"/>
      <c r="J46" s="121"/>
      <c r="K46" s="121"/>
      <c r="L46" s="121"/>
      <c r="M46" s="121"/>
      <c r="N46" s="121"/>
      <c r="O46" s="121"/>
      <c r="P46" s="123"/>
      <c r="Q46" s="123"/>
      <c r="R46" s="121"/>
      <c r="S46" s="121"/>
      <c r="T46" s="121"/>
      <c r="U46" s="121"/>
      <c r="V46" s="121"/>
      <c r="W46" s="121"/>
      <c r="X46" s="121"/>
      <c r="Y46" s="121"/>
      <c r="Z46" s="121"/>
      <c r="AA46" s="121"/>
      <c r="AB46" s="121"/>
      <c r="AC46" s="123"/>
      <c r="AD46" s="123">
        <v>1</v>
      </c>
      <c r="AE46" s="123">
        <v>-1</v>
      </c>
      <c r="AF46" s="123">
        <v>1</v>
      </c>
      <c r="AG46" s="123">
        <v>-1</v>
      </c>
      <c r="AH46" s="123"/>
      <c r="AI46" s="124"/>
      <c r="AJ46" s="121"/>
      <c r="AK46" s="123"/>
      <c r="AL46" s="129"/>
      <c r="AM46" s="123"/>
      <c r="AN46" s="121"/>
      <c r="AO46" s="121"/>
      <c r="AP46" s="28"/>
      <c r="AQ46" s="28"/>
      <c r="AR46" s="28"/>
      <c r="AS46" s="27">
        <v>1</v>
      </c>
      <c r="AT46" s="27">
        <v>1</v>
      </c>
      <c r="AU46" s="27">
        <v>1</v>
      </c>
    </row>
    <row r="47" spans="1:186" s="27" customFormat="1" x14ac:dyDescent="0.2">
      <c r="A47" s="125"/>
      <c r="B47" s="39"/>
      <c r="C47" s="86">
        <f t="shared" si="9"/>
        <v>40</v>
      </c>
      <c r="D47" s="3" t="s">
        <v>1139</v>
      </c>
      <c r="E47" s="86">
        <f t="shared" si="11"/>
        <v>1</v>
      </c>
      <c r="F47" s="35" t="s">
        <v>228</v>
      </c>
      <c r="G47" s="121"/>
      <c r="H47" s="121"/>
      <c r="I47" s="121"/>
      <c r="J47" s="121"/>
      <c r="K47" s="121"/>
      <c r="L47" s="121"/>
      <c r="M47" s="121"/>
      <c r="N47" s="121"/>
      <c r="O47" s="121"/>
      <c r="P47" s="123"/>
      <c r="Q47" s="123"/>
      <c r="R47" s="121"/>
      <c r="S47" s="121"/>
      <c r="T47" s="121"/>
      <c r="U47" s="121"/>
      <c r="V47" s="121"/>
      <c r="W47" s="121"/>
      <c r="X47" s="121"/>
      <c r="Y47" s="121"/>
      <c r="Z47" s="121"/>
      <c r="AA47" s="121"/>
      <c r="AB47" s="121"/>
      <c r="AC47" s="123"/>
      <c r="AD47" s="123"/>
      <c r="AE47" s="123">
        <v>1</v>
      </c>
      <c r="AF47" s="123"/>
      <c r="AG47" s="123"/>
      <c r="AH47" s="123"/>
      <c r="AI47" s="123"/>
      <c r="AJ47" s="121"/>
      <c r="AK47" s="123"/>
      <c r="AL47" s="129"/>
      <c r="AM47" s="124"/>
      <c r="AN47" s="121"/>
      <c r="AO47" s="121"/>
      <c r="AP47" s="28"/>
      <c r="AQ47" s="28"/>
      <c r="AR47" s="28"/>
    </row>
    <row r="48" spans="1:186" s="27" customFormat="1" x14ac:dyDescent="0.2">
      <c r="A48" s="125"/>
      <c r="B48" s="39"/>
      <c r="C48" s="36">
        <f t="shared" si="9"/>
        <v>40</v>
      </c>
      <c r="D48" s="4" t="s">
        <v>1148</v>
      </c>
      <c r="E48" s="36">
        <f t="shared" si="11"/>
        <v>1</v>
      </c>
      <c r="F48" s="35" t="s">
        <v>228</v>
      </c>
      <c r="G48" s="121"/>
      <c r="H48" s="121"/>
      <c r="I48" s="121"/>
      <c r="J48" s="121"/>
      <c r="K48" s="121"/>
      <c r="L48" s="121"/>
      <c r="M48" s="121"/>
      <c r="N48" s="121"/>
      <c r="O48" s="121"/>
      <c r="P48" s="123"/>
      <c r="Q48" s="123"/>
      <c r="R48" s="121"/>
      <c r="S48" s="121"/>
      <c r="T48" s="121"/>
      <c r="U48" s="121"/>
      <c r="V48" s="121"/>
      <c r="W48" s="121"/>
      <c r="X48" s="121"/>
      <c r="Y48" s="121"/>
      <c r="Z48" s="121"/>
      <c r="AA48" s="121"/>
      <c r="AB48" s="121"/>
      <c r="AC48" s="123"/>
      <c r="AD48" s="123"/>
      <c r="AE48" s="123"/>
      <c r="AF48" s="123"/>
      <c r="AG48" s="123">
        <v>1</v>
      </c>
      <c r="AH48" s="123"/>
      <c r="AI48" s="123"/>
      <c r="AJ48" s="121"/>
      <c r="AK48" s="123"/>
      <c r="AL48" s="129"/>
      <c r="AM48" s="124"/>
      <c r="AN48" s="121"/>
      <c r="AO48" s="121"/>
      <c r="AP48" s="28"/>
      <c r="AQ48" s="28"/>
      <c r="AR48" s="28"/>
    </row>
    <row r="49" spans="1:69" s="27" customFormat="1" x14ac:dyDescent="0.2">
      <c r="A49" s="125"/>
      <c r="B49" s="39"/>
      <c r="C49" s="86">
        <f t="shared" si="9"/>
        <v>-40</v>
      </c>
      <c r="D49" s="422" t="s">
        <v>1151</v>
      </c>
      <c r="E49" s="411">
        <f t="shared" si="11"/>
        <v>-1</v>
      </c>
      <c r="F49" s="35" t="s">
        <v>228</v>
      </c>
      <c r="G49" s="121"/>
      <c r="H49" s="121"/>
      <c r="I49" s="121"/>
      <c r="J49" s="121"/>
      <c r="K49" s="121"/>
      <c r="L49" s="121"/>
      <c r="M49" s="121"/>
      <c r="N49" s="121"/>
      <c r="O49" s="121"/>
      <c r="P49" s="123"/>
      <c r="Q49" s="123"/>
      <c r="R49" s="121"/>
      <c r="S49" s="121"/>
      <c r="T49" s="121"/>
      <c r="U49" s="121"/>
      <c r="V49" s="121"/>
      <c r="W49" s="121"/>
      <c r="X49" s="121"/>
      <c r="Y49" s="121"/>
      <c r="Z49" s="121"/>
      <c r="AA49" s="121"/>
      <c r="AB49" s="121"/>
      <c r="AC49" s="123"/>
      <c r="AD49" s="123"/>
      <c r="AE49" s="123"/>
      <c r="AF49" s="123"/>
      <c r="AG49" s="123"/>
      <c r="AH49" s="123">
        <v>-1</v>
      </c>
      <c r="AI49" s="123"/>
      <c r="AJ49" s="121"/>
      <c r="AK49" s="123"/>
      <c r="AL49" s="121"/>
      <c r="AM49" s="124"/>
      <c r="AN49" s="121"/>
      <c r="AO49" s="121"/>
      <c r="AP49" s="28"/>
      <c r="AQ49" s="28"/>
      <c r="AR49" s="28"/>
    </row>
    <row r="50" spans="1:69" s="27" customFormat="1" ht="24" x14ac:dyDescent="0.2">
      <c r="A50" s="38"/>
      <c r="B50" s="37"/>
      <c r="C50" s="36">
        <f t="shared" si="9"/>
        <v>40</v>
      </c>
      <c r="D50" s="4" t="s">
        <v>1152</v>
      </c>
      <c r="E50" s="36">
        <f t="shared" si="11"/>
        <v>1</v>
      </c>
      <c r="F50" s="35" t="s">
        <v>228</v>
      </c>
      <c r="G50" s="122"/>
      <c r="H50" s="121"/>
      <c r="I50" s="121"/>
      <c r="J50" s="121"/>
      <c r="K50" s="121"/>
      <c r="L50" s="121"/>
      <c r="M50" s="121"/>
      <c r="N50" s="121"/>
      <c r="O50" s="121"/>
      <c r="P50" s="123"/>
      <c r="Q50" s="123"/>
      <c r="R50" s="121"/>
      <c r="S50" s="121"/>
      <c r="T50" s="121"/>
      <c r="U50" s="121"/>
      <c r="V50" s="121"/>
      <c r="W50" s="121"/>
      <c r="X50" s="121"/>
      <c r="Y50" s="121"/>
      <c r="Z50" s="121"/>
      <c r="AA50" s="122"/>
      <c r="AB50" s="121"/>
      <c r="AC50" s="123"/>
      <c r="AD50" s="123"/>
      <c r="AE50" s="123"/>
      <c r="AF50" s="123"/>
      <c r="AG50" s="123"/>
      <c r="AH50" s="123">
        <v>1</v>
      </c>
      <c r="AI50" s="123"/>
      <c r="AJ50" s="121"/>
      <c r="AK50" s="123"/>
      <c r="AL50" s="121"/>
      <c r="AM50" s="123"/>
      <c r="AN50" s="121"/>
      <c r="AO50" s="121"/>
      <c r="AP50" s="28"/>
      <c r="AQ50" s="28"/>
      <c r="AR50" s="28"/>
    </row>
    <row r="51" spans="1:69" s="27" customFormat="1" x14ac:dyDescent="0.2">
      <c r="A51" s="38"/>
      <c r="B51" s="37"/>
      <c r="C51" s="36">
        <f t="shared" si="9"/>
        <v>40.307692307692307</v>
      </c>
      <c r="D51" s="4" t="s">
        <v>1156</v>
      </c>
      <c r="E51" s="36">
        <f t="shared" si="11"/>
        <v>1.0076923076923077</v>
      </c>
      <c r="F51" s="35" t="s">
        <v>228</v>
      </c>
      <c r="G51" s="122"/>
      <c r="H51" s="121"/>
      <c r="I51" s="121"/>
      <c r="J51" s="121"/>
      <c r="K51" s="121"/>
      <c r="L51" s="121"/>
      <c r="M51" s="121"/>
      <c r="N51" s="121"/>
      <c r="O51" s="121"/>
      <c r="P51" s="123"/>
      <c r="Q51" s="123"/>
      <c r="R51" s="121"/>
      <c r="S51" s="121"/>
      <c r="T51" s="121"/>
      <c r="U51" s="121"/>
      <c r="V51" s="121"/>
      <c r="W51" s="121"/>
      <c r="X51" s="121"/>
      <c r="Y51" s="121"/>
      <c r="Z51" s="121"/>
      <c r="AA51" s="121"/>
      <c r="AB51" s="121"/>
      <c r="AC51" s="123"/>
      <c r="AD51" s="123"/>
      <c r="AE51" s="123"/>
      <c r="AF51" s="123"/>
      <c r="AG51" s="123"/>
      <c r="AH51" s="123"/>
      <c r="AI51" s="123">
        <v>1.9230769230769201E-2</v>
      </c>
      <c r="AJ51" s="121">
        <v>1</v>
      </c>
      <c r="AK51" s="123"/>
      <c r="AL51" s="121"/>
      <c r="AM51" s="123">
        <v>-3.8461538461538498E-3</v>
      </c>
      <c r="AN51" s="121"/>
      <c r="AO51" s="121"/>
      <c r="AP51" s="28">
        <v>-7.6923076923076901E-3</v>
      </c>
      <c r="AQ51" s="28"/>
      <c r="AR51" s="28"/>
    </row>
    <row r="52" spans="1:69" s="27" customFormat="1" x14ac:dyDescent="0.2">
      <c r="A52" s="38"/>
      <c r="B52" s="37"/>
      <c r="C52" s="86">
        <f t="shared" si="9"/>
        <v>-40</v>
      </c>
      <c r="D52" s="421" t="s">
        <v>372</v>
      </c>
      <c r="E52" s="413">
        <f t="shared" si="11"/>
        <v>-1</v>
      </c>
      <c r="F52" s="35" t="s">
        <v>228</v>
      </c>
      <c r="G52" s="122"/>
      <c r="H52" s="121"/>
      <c r="I52" s="121"/>
      <c r="J52" s="121"/>
      <c r="K52" s="121"/>
      <c r="L52" s="121"/>
      <c r="M52" s="121"/>
      <c r="N52" s="121"/>
      <c r="O52" s="121"/>
      <c r="P52" s="123"/>
      <c r="Q52" s="123"/>
      <c r="R52" s="121"/>
      <c r="S52" s="121"/>
      <c r="T52" s="121"/>
      <c r="U52" s="121"/>
      <c r="V52" s="121"/>
      <c r="W52" s="121"/>
      <c r="X52" s="121"/>
      <c r="Y52" s="121"/>
      <c r="Z52" s="121"/>
      <c r="AA52" s="121"/>
      <c r="AB52" s="121"/>
      <c r="AC52" s="123"/>
      <c r="AD52" s="123"/>
      <c r="AE52" s="123"/>
      <c r="AF52" s="123"/>
      <c r="AG52" s="123"/>
      <c r="AH52" s="123"/>
      <c r="AI52" s="123"/>
      <c r="AJ52" s="121">
        <v>-1</v>
      </c>
      <c r="AK52" s="123"/>
      <c r="AL52" s="121"/>
      <c r="AM52" s="123"/>
      <c r="AN52" s="121"/>
      <c r="AO52" s="121"/>
      <c r="AP52" s="28"/>
      <c r="AQ52" s="28"/>
      <c r="AR52" s="28"/>
    </row>
    <row r="53" spans="1:69" s="27" customFormat="1" ht="24" x14ac:dyDescent="0.2">
      <c r="A53" s="38"/>
      <c r="B53" s="37"/>
      <c r="C53" s="86">
        <f t="shared" si="9"/>
        <v>-40</v>
      </c>
      <c r="D53" s="421" t="s">
        <v>2808</v>
      </c>
      <c r="E53" s="413">
        <f t="shared" si="11"/>
        <v>-1</v>
      </c>
      <c r="F53" s="35" t="s">
        <v>228</v>
      </c>
      <c r="G53" s="122"/>
      <c r="H53" s="121"/>
      <c r="I53" s="121"/>
      <c r="J53" s="121"/>
      <c r="K53" s="121"/>
      <c r="L53" s="121"/>
      <c r="M53" s="121"/>
      <c r="N53" s="121"/>
      <c r="O53" s="121"/>
      <c r="P53" s="123"/>
      <c r="Q53" s="123"/>
      <c r="R53" s="121"/>
      <c r="S53" s="121"/>
      <c r="T53" s="121"/>
      <c r="U53" s="121"/>
      <c r="V53" s="121"/>
      <c r="W53" s="121"/>
      <c r="X53" s="121"/>
      <c r="Y53" s="121"/>
      <c r="Z53" s="121"/>
      <c r="AA53" s="121"/>
      <c r="AB53" s="121"/>
      <c r="AC53" s="123"/>
      <c r="AD53" s="123"/>
      <c r="AE53" s="123"/>
      <c r="AF53" s="123"/>
      <c r="AG53" s="123"/>
      <c r="AH53" s="123"/>
      <c r="AI53" s="123"/>
      <c r="AJ53" s="121"/>
      <c r="AK53" s="123">
        <v>-1</v>
      </c>
      <c r="AL53" s="121"/>
      <c r="AM53" s="123"/>
      <c r="AN53" s="121"/>
      <c r="AO53" s="121"/>
      <c r="AP53" s="28"/>
      <c r="AQ53" s="28"/>
      <c r="AR53" s="28"/>
    </row>
    <row r="54" spans="1:69" s="27" customFormat="1" ht="12.95" customHeight="1" x14ac:dyDescent="0.2">
      <c r="A54" s="38"/>
      <c r="B54" s="37"/>
      <c r="C54" s="36">
        <f t="shared" si="9"/>
        <v>-6.6666666666666803</v>
      </c>
      <c r="D54" s="421" t="s">
        <v>2809</v>
      </c>
      <c r="E54" s="411">
        <f t="shared" si="11"/>
        <v>-0.16666666666666702</v>
      </c>
      <c r="F54" s="35" t="s">
        <v>228</v>
      </c>
      <c r="G54" s="122"/>
      <c r="H54" s="121"/>
      <c r="I54" s="121"/>
      <c r="J54" s="121"/>
      <c r="K54" s="121"/>
      <c r="L54" s="121"/>
      <c r="M54" s="121"/>
      <c r="N54" s="121"/>
      <c r="O54" s="121"/>
      <c r="P54" s="123"/>
      <c r="Q54" s="123"/>
      <c r="R54" s="121"/>
      <c r="S54" s="121"/>
      <c r="T54" s="121"/>
      <c r="U54" s="121"/>
      <c r="V54" s="121"/>
      <c r="W54" s="121"/>
      <c r="X54" s="121"/>
      <c r="Y54" s="121"/>
      <c r="Z54" s="121"/>
      <c r="AA54" s="121"/>
      <c r="AB54" s="121"/>
      <c r="AC54" s="123"/>
      <c r="AD54" s="123"/>
      <c r="AE54" s="123"/>
      <c r="AF54" s="123"/>
      <c r="AG54" s="123"/>
      <c r="AH54" s="123"/>
      <c r="AI54" s="123"/>
      <c r="AJ54" s="121"/>
      <c r="AK54" s="123">
        <v>0.33333333333333298</v>
      </c>
      <c r="AL54" s="121"/>
      <c r="AM54" s="123"/>
      <c r="AN54" s="121"/>
      <c r="AO54" s="121"/>
      <c r="AP54" s="28"/>
      <c r="AQ54" s="28"/>
      <c r="AR54" s="28"/>
      <c r="AT54" s="27">
        <v>-0.5</v>
      </c>
    </row>
    <row r="55" spans="1:69" s="27" customFormat="1" ht="14.1" customHeight="1" x14ac:dyDescent="0.2">
      <c r="A55" s="38"/>
      <c r="B55" s="37"/>
      <c r="C55" s="36">
        <f t="shared" si="9"/>
        <v>13.33333333333332</v>
      </c>
      <c r="D55" s="4" t="s">
        <v>2810</v>
      </c>
      <c r="E55" s="36">
        <f t="shared" si="11"/>
        <v>0.33333333333333298</v>
      </c>
      <c r="F55" s="35" t="s">
        <v>228</v>
      </c>
      <c r="G55" s="122"/>
      <c r="H55" s="121"/>
      <c r="I55" s="121"/>
      <c r="J55" s="121"/>
      <c r="K55" s="121"/>
      <c r="L55" s="121"/>
      <c r="M55" s="121"/>
      <c r="N55" s="121"/>
      <c r="O55" s="121"/>
      <c r="P55" s="123"/>
      <c r="Q55" s="123"/>
      <c r="R55" s="121"/>
      <c r="S55" s="121"/>
      <c r="T55" s="121"/>
      <c r="U55" s="121"/>
      <c r="V55" s="121"/>
      <c r="W55" s="121"/>
      <c r="X55" s="121"/>
      <c r="Y55" s="121"/>
      <c r="Z55" s="121"/>
      <c r="AA55" s="121"/>
      <c r="AB55" s="121"/>
      <c r="AC55" s="123"/>
      <c r="AD55" s="123"/>
      <c r="AE55" s="123"/>
      <c r="AF55" s="123"/>
      <c r="AG55" s="123"/>
      <c r="AH55" s="123"/>
      <c r="AI55" s="123"/>
      <c r="AJ55" s="121"/>
      <c r="AK55" s="123">
        <v>0.33333333333333298</v>
      </c>
      <c r="AL55" s="121"/>
      <c r="AM55" s="124"/>
      <c r="AN55" s="121"/>
      <c r="AO55" s="121"/>
      <c r="AP55" s="28"/>
      <c r="AQ55" s="28"/>
      <c r="AR55" s="28"/>
    </row>
    <row r="56" spans="1:69" s="27" customFormat="1" ht="17.45" customHeight="1" x14ac:dyDescent="0.2">
      <c r="A56" s="38"/>
      <c r="B56" s="37"/>
      <c r="C56" s="36">
        <f t="shared" si="9"/>
        <v>-40</v>
      </c>
      <c r="D56" s="423" t="s">
        <v>1195</v>
      </c>
      <c r="E56" s="411">
        <f t="shared" si="11"/>
        <v>-1</v>
      </c>
      <c r="F56" s="35" t="s">
        <v>228</v>
      </c>
      <c r="H56" s="28"/>
      <c r="I56" s="28"/>
      <c r="J56" s="28"/>
      <c r="K56" s="28"/>
      <c r="L56" s="28"/>
      <c r="M56" s="28"/>
      <c r="N56" s="28"/>
      <c r="O56" s="28"/>
      <c r="P56" s="100"/>
      <c r="Q56" s="100"/>
      <c r="R56" s="28"/>
      <c r="S56" s="28"/>
      <c r="T56" s="28"/>
      <c r="U56" s="28"/>
      <c r="V56" s="28"/>
      <c r="W56" s="28"/>
      <c r="X56" s="28"/>
      <c r="Y56" s="28"/>
      <c r="Z56" s="28"/>
      <c r="AA56" s="28"/>
      <c r="AB56" s="28"/>
      <c r="AC56" s="100"/>
      <c r="AD56" s="100"/>
      <c r="AE56" s="100"/>
      <c r="AF56" s="100"/>
      <c r="AG56" s="100"/>
      <c r="AH56" s="100"/>
      <c r="AI56" s="100"/>
      <c r="AJ56" s="28"/>
      <c r="AK56" s="100"/>
      <c r="AL56" s="28">
        <v>-1</v>
      </c>
      <c r="AM56" s="123"/>
      <c r="AN56" s="28"/>
      <c r="AO56" s="28"/>
      <c r="AP56" s="28"/>
      <c r="AQ56" s="28"/>
      <c r="AR56" s="28"/>
    </row>
    <row r="57" spans="1:69" s="27" customFormat="1" ht="17.45" customHeight="1" x14ac:dyDescent="0.2">
      <c r="A57" s="38"/>
      <c r="B57" s="37"/>
      <c r="C57" s="36">
        <f t="shared" si="9"/>
        <v>40</v>
      </c>
      <c r="D57" s="89" t="s">
        <v>1196</v>
      </c>
      <c r="E57" s="36">
        <f t="shared" si="11"/>
        <v>1</v>
      </c>
      <c r="F57" s="35" t="s">
        <v>228</v>
      </c>
      <c r="H57" s="28"/>
      <c r="I57" s="28"/>
      <c r="J57" s="28"/>
      <c r="K57" s="28"/>
      <c r="L57" s="28"/>
      <c r="M57" s="28"/>
      <c r="N57" s="28"/>
      <c r="O57" s="28"/>
      <c r="P57" s="100"/>
      <c r="Q57" s="100"/>
      <c r="R57" s="28"/>
      <c r="S57" s="28"/>
      <c r="T57" s="28"/>
      <c r="U57" s="28"/>
      <c r="V57" s="28"/>
      <c r="W57" s="28"/>
      <c r="X57" s="28"/>
      <c r="Y57" s="28"/>
      <c r="Z57" s="28"/>
      <c r="AA57" s="28"/>
      <c r="AB57" s="28"/>
      <c r="AC57" s="100"/>
      <c r="AD57" s="100"/>
      <c r="AE57" s="100"/>
      <c r="AF57" s="100"/>
      <c r="AG57" s="100"/>
      <c r="AH57" s="100"/>
      <c r="AI57" s="100"/>
      <c r="AJ57" s="28"/>
      <c r="AK57" s="100"/>
      <c r="AL57" s="28">
        <v>1</v>
      </c>
      <c r="AM57" s="123"/>
      <c r="AN57" s="28"/>
      <c r="AO57" s="28"/>
      <c r="AP57" s="28"/>
      <c r="AQ57" s="28"/>
      <c r="AR57" s="28"/>
    </row>
    <row r="58" spans="1:69" s="27" customFormat="1" ht="17.45" customHeight="1" x14ac:dyDescent="0.2">
      <c r="A58" s="38"/>
      <c r="B58" s="37"/>
      <c r="C58" s="36">
        <f t="shared" si="9"/>
        <v>0.15384615384615399</v>
      </c>
      <c r="D58" s="87" t="s">
        <v>1199</v>
      </c>
      <c r="E58" s="36">
        <f t="shared" si="11"/>
        <v>3.8461538461538498E-3</v>
      </c>
      <c r="F58" s="35" t="s">
        <v>228</v>
      </c>
      <c r="H58" s="28"/>
      <c r="I58" s="28"/>
      <c r="J58" s="28"/>
      <c r="K58" s="28"/>
      <c r="L58" s="28"/>
      <c r="M58" s="28"/>
      <c r="N58" s="28"/>
      <c r="O58" s="28"/>
      <c r="P58" s="100"/>
      <c r="Q58" s="100"/>
      <c r="R58" s="28"/>
      <c r="S58" s="28"/>
      <c r="T58" s="28"/>
      <c r="U58" s="28"/>
      <c r="V58" s="28"/>
      <c r="W58" s="28"/>
      <c r="X58" s="28"/>
      <c r="Y58" s="28"/>
      <c r="Z58" s="28"/>
      <c r="AA58" s="28"/>
      <c r="AB58" s="28"/>
      <c r="AC58" s="100"/>
      <c r="AD58" s="100"/>
      <c r="AE58" s="100"/>
      <c r="AF58" s="100"/>
      <c r="AG58" s="100"/>
      <c r="AH58" s="100"/>
      <c r="AI58" s="100"/>
      <c r="AJ58" s="28"/>
      <c r="AK58" s="100"/>
      <c r="AL58" s="28"/>
      <c r="AM58" s="123">
        <v>3.8461538461538498E-3</v>
      </c>
      <c r="AN58" s="28"/>
      <c r="AO58" s="28"/>
      <c r="AP58" s="28"/>
      <c r="AQ58" s="28"/>
      <c r="AR58" s="28"/>
    </row>
    <row r="59" spans="1:69" s="27" customFormat="1" ht="17.45" customHeight="1" x14ac:dyDescent="0.2">
      <c r="A59" s="38"/>
      <c r="B59" s="37"/>
      <c r="C59" s="36">
        <f t="shared" si="9"/>
        <v>10</v>
      </c>
      <c r="D59" s="87" t="s">
        <v>1220</v>
      </c>
      <c r="E59" s="36">
        <f t="shared" si="11"/>
        <v>0.25</v>
      </c>
      <c r="F59" s="35" t="s">
        <v>228</v>
      </c>
      <c r="H59" s="28"/>
      <c r="I59" s="28"/>
      <c r="J59" s="28"/>
      <c r="K59" s="28"/>
      <c r="L59" s="28"/>
      <c r="M59" s="28"/>
      <c r="N59" s="28"/>
      <c r="O59" s="28"/>
      <c r="P59" s="100"/>
      <c r="Q59" s="100"/>
      <c r="R59" s="28"/>
      <c r="S59" s="28"/>
      <c r="T59" s="28"/>
      <c r="U59" s="28"/>
      <c r="V59" s="28"/>
      <c r="W59" s="28"/>
      <c r="X59" s="28"/>
      <c r="Y59" s="28"/>
      <c r="Z59" s="28"/>
      <c r="AA59" s="28"/>
      <c r="AB59" s="28"/>
      <c r="AC59" s="100"/>
      <c r="AD59" s="100"/>
      <c r="AE59" s="100"/>
      <c r="AF59" s="100"/>
      <c r="AG59" s="100"/>
      <c r="AH59" s="100"/>
      <c r="AI59" s="100"/>
      <c r="AJ59" s="28"/>
      <c r="AK59" s="100"/>
      <c r="AL59" s="28"/>
      <c r="AM59" s="123"/>
      <c r="AN59" s="28"/>
      <c r="AO59" s="28"/>
      <c r="AP59" s="28"/>
      <c r="AQ59" s="28"/>
      <c r="AR59" s="28"/>
      <c r="BQ59" s="27">
        <v>0.25</v>
      </c>
    </row>
    <row r="60" spans="1:69" s="27" customFormat="1" ht="16.5" customHeight="1" x14ac:dyDescent="0.2">
      <c r="A60" s="38"/>
      <c r="B60" s="37"/>
      <c r="C60" s="36">
        <f t="shared" si="9"/>
        <v>0</v>
      </c>
      <c r="D60" s="87" t="s">
        <v>1221</v>
      </c>
      <c r="E60" s="36">
        <f t="shared" si="11"/>
        <v>0</v>
      </c>
      <c r="F60" s="35" t="s">
        <v>228</v>
      </c>
      <c r="H60" s="28"/>
      <c r="I60" s="28"/>
      <c r="J60" s="28"/>
      <c r="K60" s="28"/>
      <c r="L60" s="28"/>
      <c r="M60" s="28"/>
      <c r="N60" s="28"/>
      <c r="O60" s="28"/>
      <c r="P60" s="100"/>
      <c r="Q60" s="100"/>
      <c r="R60" s="28"/>
      <c r="S60" s="28"/>
      <c r="T60" s="28"/>
      <c r="U60" s="28"/>
      <c r="V60" s="28"/>
      <c r="W60" s="28"/>
      <c r="X60" s="28"/>
      <c r="Y60" s="28"/>
      <c r="Z60" s="28"/>
      <c r="AA60" s="28"/>
      <c r="AB60" s="28"/>
      <c r="AC60" s="100"/>
      <c r="AD60" s="100"/>
      <c r="AE60" s="100"/>
      <c r="AF60" s="100"/>
      <c r="AG60" s="100"/>
      <c r="AH60" s="100"/>
      <c r="AI60" s="100"/>
      <c r="AJ60" s="28"/>
      <c r="AK60" s="100"/>
      <c r="AL60" s="28"/>
      <c r="AM60" s="123"/>
      <c r="AN60" s="28"/>
      <c r="AO60" s="28"/>
      <c r="AP60" s="28"/>
      <c r="AQ60" s="28"/>
      <c r="AR60" s="28"/>
    </row>
    <row r="61" spans="1:69" s="27" customFormat="1" x14ac:dyDescent="0.2">
      <c r="A61" s="38"/>
      <c r="B61" s="37"/>
      <c r="C61" s="36">
        <f t="shared" si="9"/>
        <v>0</v>
      </c>
      <c r="D61" s="4" t="s">
        <v>8740</v>
      </c>
      <c r="E61" s="36">
        <f t="shared" si="11"/>
        <v>0</v>
      </c>
      <c r="F61" s="35" t="s">
        <v>228</v>
      </c>
      <c r="H61" s="28"/>
      <c r="I61" s="28"/>
      <c r="J61" s="28"/>
      <c r="K61" s="28"/>
      <c r="L61" s="28"/>
      <c r="M61" s="28"/>
      <c r="N61" s="28"/>
      <c r="O61" s="28"/>
      <c r="P61" s="100"/>
      <c r="Q61" s="100"/>
      <c r="R61" s="28"/>
      <c r="S61" s="28"/>
      <c r="T61" s="28"/>
      <c r="U61" s="28"/>
      <c r="V61" s="28"/>
      <c r="W61" s="28"/>
      <c r="X61" s="28"/>
      <c r="Y61" s="28"/>
      <c r="Z61" s="28"/>
      <c r="AA61" s="28"/>
      <c r="AB61" s="28"/>
      <c r="AC61" s="100"/>
      <c r="AD61" s="100"/>
      <c r="AE61" s="100"/>
      <c r="AF61" s="100"/>
      <c r="AG61" s="100"/>
      <c r="AH61" s="100"/>
      <c r="AI61" s="100"/>
      <c r="AJ61" s="28"/>
      <c r="AK61" s="100"/>
      <c r="AL61" s="28"/>
      <c r="AM61" s="123"/>
      <c r="AN61" s="28"/>
      <c r="AO61" s="28"/>
      <c r="AP61" s="28"/>
      <c r="AQ61" s="28"/>
      <c r="AR61" s="28"/>
    </row>
    <row r="62" spans="1:69" s="27" customFormat="1" ht="24" x14ac:dyDescent="0.2">
      <c r="A62" s="38"/>
      <c r="B62" s="37"/>
      <c r="C62" s="86">
        <f t="shared" si="9"/>
        <v>0</v>
      </c>
      <c r="D62" s="3" t="s">
        <v>2811</v>
      </c>
      <c r="E62" s="86">
        <f t="shared" si="11"/>
        <v>0</v>
      </c>
      <c r="F62" s="35" t="s">
        <v>228</v>
      </c>
      <c r="H62" s="28"/>
      <c r="I62" s="28"/>
      <c r="J62" s="28"/>
      <c r="K62" s="28"/>
      <c r="L62" s="28"/>
      <c r="M62" s="28"/>
      <c r="N62" s="28"/>
      <c r="O62" s="28"/>
      <c r="P62" s="100"/>
      <c r="Q62" s="100"/>
      <c r="R62" s="28"/>
      <c r="S62" s="28"/>
      <c r="T62" s="28"/>
      <c r="U62" s="28"/>
      <c r="V62" s="28"/>
      <c r="W62" s="28"/>
      <c r="X62" s="28"/>
      <c r="Y62" s="28"/>
      <c r="Z62" s="28"/>
      <c r="AA62" s="28"/>
      <c r="AB62" s="28"/>
      <c r="AC62" s="100"/>
      <c r="AD62" s="100"/>
      <c r="AE62" s="100"/>
      <c r="AF62" s="100"/>
      <c r="AG62" s="100"/>
      <c r="AH62" s="100"/>
      <c r="AI62" s="100"/>
      <c r="AJ62" s="28"/>
      <c r="AK62" s="100"/>
      <c r="AL62" s="28"/>
      <c r="AM62" s="123"/>
      <c r="AN62" s="28"/>
      <c r="AO62" s="28"/>
      <c r="AP62" s="28"/>
      <c r="AQ62" s="28"/>
      <c r="AR62" s="28"/>
    </row>
    <row r="63" spans="1:69" s="27" customFormat="1" x14ac:dyDescent="0.2">
      <c r="A63" s="38"/>
      <c r="B63" s="37"/>
      <c r="C63" s="86">
        <f t="shared" si="9"/>
        <v>0</v>
      </c>
      <c r="D63" s="3" t="s">
        <v>339</v>
      </c>
      <c r="E63" s="86">
        <f t="shared" si="11"/>
        <v>0</v>
      </c>
      <c r="F63" s="35" t="s">
        <v>228</v>
      </c>
      <c r="H63" s="28"/>
      <c r="I63" s="28"/>
      <c r="J63" s="28"/>
      <c r="K63" s="28"/>
      <c r="L63" s="28"/>
      <c r="M63" s="28"/>
      <c r="N63" s="28"/>
      <c r="O63" s="28"/>
      <c r="P63" s="100"/>
      <c r="Q63" s="100"/>
      <c r="R63" s="28"/>
      <c r="S63" s="28"/>
      <c r="T63" s="28"/>
      <c r="U63" s="28"/>
      <c r="V63" s="28"/>
      <c r="W63" s="28"/>
      <c r="X63" s="28"/>
      <c r="Y63" s="28"/>
      <c r="Z63" s="28"/>
      <c r="AA63" s="28"/>
      <c r="AB63" s="28"/>
      <c r="AC63" s="100"/>
      <c r="AD63" s="100"/>
      <c r="AE63" s="100"/>
      <c r="AF63" s="100"/>
      <c r="AG63" s="100"/>
      <c r="AH63" s="100"/>
      <c r="AI63" s="100"/>
      <c r="AJ63" s="28"/>
      <c r="AK63" s="100"/>
      <c r="AL63" s="28"/>
      <c r="AM63" s="123"/>
      <c r="AN63" s="28"/>
      <c r="AO63" s="28"/>
      <c r="AP63" s="28"/>
      <c r="AQ63" s="28"/>
      <c r="AR63" s="28"/>
    </row>
    <row r="64" spans="1:69" s="27" customFormat="1" x14ac:dyDescent="0.2">
      <c r="A64" s="38"/>
      <c r="B64" s="37"/>
      <c r="C64" s="36">
        <f t="shared" si="9"/>
        <v>0</v>
      </c>
      <c r="D64" s="4" t="s">
        <v>2812</v>
      </c>
      <c r="E64" s="36">
        <f t="shared" si="11"/>
        <v>0</v>
      </c>
      <c r="F64" s="35" t="s">
        <v>228</v>
      </c>
      <c r="H64" s="28"/>
      <c r="J64" s="28"/>
      <c r="K64" s="28"/>
      <c r="L64" s="28"/>
      <c r="M64" s="28"/>
      <c r="N64" s="28"/>
      <c r="O64" s="28"/>
      <c r="P64" s="100"/>
      <c r="Q64" s="100"/>
      <c r="R64" s="28"/>
      <c r="S64" s="28"/>
      <c r="T64" s="28"/>
      <c r="U64" s="28"/>
      <c r="V64" s="28"/>
      <c r="W64" s="28"/>
      <c r="X64" s="28"/>
      <c r="Y64" s="28"/>
      <c r="Z64" s="28"/>
      <c r="AA64" s="28"/>
      <c r="AB64" s="28"/>
      <c r="AC64" s="100"/>
      <c r="AD64" s="100"/>
      <c r="AE64" s="100"/>
      <c r="AF64" s="100"/>
      <c r="AG64" s="100"/>
      <c r="AH64" s="100"/>
      <c r="AI64" s="100"/>
      <c r="AJ64" s="28"/>
      <c r="AK64" s="100"/>
      <c r="AL64" s="28"/>
      <c r="AM64" s="123"/>
      <c r="AN64" s="28"/>
      <c r="AO64" s="28"/>
      <c r="AP64" s="28"/>
      <c r="AQ64" s="28"/>
      <c r="AR64" s="28"/>
    </row>
    <row r="65" spans="1:54" s="27" customFormat="1" x14ac:dyDescent="0.2">
      <c r="A65" s="38"/>
      <c r="B65" s="37"/>
      <c r="C65" s="86">
        <f t="shared" si="9"/>
        <v>0</v>
      </c>
      <c r="D65" s="3" t="s">
        <v>268</v>
      </c>
      <c r="E65" s="86">
        <f t="shared" si="11"/>
        <v>0</v>
      </c>
      <c r="F65" s="35" t="s">
        <v>228</v>
      </c>
      <c r="H65" s="28"/>
      <c r="K65" s="28"/>
      <c r="L65" s="28"/>
      <c r="M65" s="28"/>
      <c r="N65" s="28"/>
      <c r="O65" s="28"/>
      <c r="P65" s="100"/>
      <c r="Q65" s="100"/>
      <c r="R65" s="28"/>
      <c r="S65" s="28"/>
      <c r="T65" s="28"/>
      <c r="U65" s="28"/>
      <c r="V65" s="28"/>
      <c r="W65" s="28"/>
      <c r="X65" s="28"/>
      <c r="Y65" s="28"/>
      <c r="Z65" s="28"/>
      <c r="AA65" s="28"/>
      <c r="AB65" s="28"/>
      <c r="AC65" s="100"/>
      <c r="AD65" s="100"/>
      <c r="AE65" s="100"/>
      <c r="AF65" s="100"/>
      <c r="AG65" s="100"/>
      <c r="AH65" s="100"/>
      <c r="AI65" s="100"/>
      <c r="AJ65" s="28"/>
      <c r="AK65" s="100"/>
      <c r="AL65" s="28"/>
      <c r="AM65" s="123"/>
      <c r="AN65" s="28"/>
      <c r="AO65" s="28"/>
      <c r="AP65" s="28"/>
      <c r="AQ65" s="28"/>
      <c r="AR65" s="28"/>
    </row>
    <row r="66" spans="1:54" s="27" customFormat="1" x14ac:dyDescent="0.2">
      <c r="A66" s="38"/>
      <c r="B66" s="37"/>
      <c r="C66" s="86">
        <f t="shared" si="9"/>
        <v>0</v>
      </c>
      <c r="D66" s="3" t="s">
        <v>2813</v>
      </c>
      <c r="E66" s="86">
        <f t="shared" si="11"/>
        <v>0</v>
      </c>
      <c r="F66" s="35" t="s">
        <v>228</v>
      </c>
      <c r="H66" s="28"/>
      <c r="K66" s="28"/>
      <c r="L66" s="28"/>
      <c r="M66" s="28"/>
      <c r="N66" s="28"/>
      <c r="O66" s="28"/>
      <c r="P66" s="100"/>
      <c r="Q66" s="100"/>
      <c r="R66" s="28"/>
      <c r="S66" s="28"/>
      <c r="T66" s="28"/>
      <c r="U66" s="28"/>
      <c r="V66" s="28"/>
      <c r="W66" s="28"/>
      <c r="X66" s="28"/>
      <c r="Y66" s="28"/>
      <c r="Z66" s="28"/>
      <c r="AA66" s="28"/>
      <c r="AB66" s="28"/>
      <c r="AC66" s="100"/>
      <c r="AD66" s="100"/>
      <c r="AE66" s="100"/>
      <c r="AF66" s="101"/>
      <c r="AG66" s="101"/>
      <c r="AH66" s="100"/>
      <c r="AI66" s="100"/>
      <c r="AJ66" s="28"/>
      <c r="AK66" s="100"/>
      <c r="AL66" s="28"/>
      <c r="AM66" s="123"/>
      <c r="AN66" s="28"/>
      <c r="AO66" s="28"/>
      <c r="AP66" s="28"/>
      <c r="AQ66" s="28"/>
      <c r="AR66" s="28"/>
    </row>
    <row r="67" spans="1:54" s="27" customFormat="1" x14ac:dyDescent="0.2">
      <c r="A67" s="38"/>
      <c r="B67" s="37"/>
      <c r="C67" s="36">
        <f t="shared" si="9"/>
        <v>0</v>
      </c>
      <c r="D67" s="4" t="s">
        <v>8733</v>
      </c>
      <c r="E67" s="36">
        <f t="shared" si="11"/>
        <v>0</v>
      </c>
      <c r="F67" s="35" t="s">
        <v>228</v>
      </c>
      <c r="H67" s="28"/>
      <c r="I67" s="28"/>
      <c r="J67" s="28"/>
      <c r="K67" s="28"/>
      <c r="L67" s="28"/>
      <c r="M67" s="28"/>
      <c r="N67" s="28"/>
      <c r="O67" s="28"/>
      <c r="P67" s="100"/>
      <c r="Q67" s="100"/>
      <c r="R67" s="28"/>
      <c r="S67" s="28"/>
      <c r="T67" s="28"/>
      <c r="U67" s="28"/>
      <c r="V67" s="28"/>
      <c r="W67" s="28"/>
      <c r="X67" s="28"/>
      <c r="Y67" s="28"/>
      <c r="Z67" s="28"/>
      <c r="AA67" s="28"/>
      <c r="AB67" s="28"/>
      <c r="AC67" s="100"/>
      <c r="AD67" s="100"/>
      <c r="AE67" s="100"/>
      <c r="AF67" s="101"/>
      <c r="AG67" s="100"/>
      <c r="AH67" s="100"/>
      <c r="AI67" s="101"/>
      <c r="AJ67" s="28"/>
      <c r="AK67" s="100"/>
      <c r="AL67" s="28"/>
      <c r="AM67" s="123"/>
      <c r="AN67" s="28"/>
      <c r="AO67" s="28"/>
      <c r="AP67" s="28"/>
      <c r="AQ67" s="28"/>
      <c r="AR67" s="28"/>
    </row>
    <row r="68" spans="1:54" s="27" customFormat="1" x14ac:dyDescent="0.2">
      <c r="A68" s="38"/>
      <c r="B68" s="37"/>
      <c r="C68" s="36">
        <f t="shared" si="9"/>
        <v>0.1538461538461538</v>
      </c>
      <c r="D68" s="4" t="s">
        <v>2814</v>
      </c>
      <c r="E68" s="36">
        <f t="shared" si="11"/>
        <v>3.8461538461538451E-3</v>
      </c>
      <c r="F68" s="35" t="s">
        <v>228</v>
      </c>
      <c r="H68" s="28"/>
      <c r="I68" s="28"/>
      <c r="J68" s="28"/>
      <c r="K68" s="28"/>
      <c r="L68" s="28"/>
      <c r="M68" s="28"/>
      <c r="N68" s="28"/>
      <c r="O68" s="28"/>
      <c r="P68" s="100"/>
      <c r="Q68" s="100"/>
      <c r="R68" s="28"/>
      <c r="S68" s="28"/>
      <c r="T68" s="28"/>
      <c r="U68" s="28"/>
      <c r="V68" s="28"/>
      <c r="W68" s="28"/>
      <c r="X68" s="28"/>
      <c r="Y68" s="28"/>
      <c r="Z68" s="28"/>
      <c r="AA68" s="28"/>
      <c r="AB68" s="28"/>
      <c r="AC68" s="100"/>
      <c r="AD68" s="100"/>
      <c r="AE68" s="100"/>
      <c r="AF68" s="100"/>
      <c r="AG68" s="101"/>
      <c r="AH68" s="101"/>
      <c r="AI68" s="100"/>
      <c r="AJ68" s="28"/>
      <c r="AK68" s="100"/>
      <c r="AL68" s="28"/>
      <c r="AM68" s="124"/>
      <c r="AN68" s="28"/>
      <c r="AO68" s="28"/>
      <c r="AP68" s="28">
        <v>3.8461538461538451E-3</v>
      </c>
      <c r="AQ68" s="28"/>
      <c r="AR68" s="28"/>
    </row>
    <row r="69" spans="1:54" s="27" customFormat="1" x14ac:dyDescent="0.2">
      <c r="A69" s="38"/>
      <c r="B69" s="37"/>
      <c r="C69" s="36">
        <f t="shared" si="9"/>
        <v>-79.84615384615384</v>
      </c>
      <c r="D69" s="421" t="s">
        <v>2815</v>
      </c>
      <c r="E69" s="411">
        <f t="shared" si="11"/>
        <v>-1.9961538461538462</v>
      </c>
      <c r="F69" s="35" t="s">
        <v>228</v>
      </c>
      <c r="H69" s="28"/>
      <c r="I69" s="28"/>
      <c r="J69" s="28"/>
      <c r="K69" s="28"/>
      <c r="L69" s="28"/>
      <c r="M69" s="28"/>
      <c r="N69" s="28"/>
      <c r="O69" s="28"/>
      <c r="P69" s="100"/>
      <c r="Q69" s="100"/>
      <c r="R69" s="28"/>
      <c r="S69" s="28"/>
      <c r="T69" s="28"/>
      <c r="U69" s="28"/>
      <c r="V69" s="28"/>
      <c r="W69" s="28"/>
      <c r="X69" s="28"/>
      <c r="Y69" s="28"/>
      <c r="Z69" s="28"/>
      <c r="AA69" s="28"/>
      <c r="AB69" s="28"/>
      <c r="AC69" s="100"/>
      <c r="AD69" s="100"/>
      <c r="AE69" s="100"/>
      <c r="AF69" s="100"/>
      <c r="AG69" s="100"/>
      <c r="AH69" s="100"/>
      <c r="AI69" s="101"/>
      <c r="AJ69" s="28"/>
      <c r="AK69" s="100"/>
      <c r="AL69" s="28"/>
      <c r="AM69" s="123"/>
      <c r="AN69" s="28"/>
      <c r="AO69" s="28"/>
      <c r="AP69" s="28">
        <v>3.8461538461538451E-3</v>
      </c>
      <c r="AQ69" s="28">
        <v>-1</v>
      </c>
      <c r="AR69" s="28"/>
      <c r="BB69" s="27">
        <v>-1</v>
      </c>
    </row>
    <row r="70" spans="1:54" s="27" customFormat="1" x14ac:dyDescent="0.2">
      <c r="A70" s="38"/>
      <c r="B70" s="37"/>
      <c r="C70" s="36">
        <f t="shared" si="9"/>
        <v>13.33333333333332</v>
      </c>
      <c r="D70" s="89" t="s">
        <v>2816</v>
      </c>
      <c r="E70" s="36">
        <f t="shared" si="11"/>
        <v>0.33333333333333298</v>
      </c>
      <c r="F70" s="35" t="s">
        <v>228</v>
      </c>
      <c r="H70" s="28"/>
      <c r="I70" s="28"/>
      <c r="J70" s="28"/>
      <c r="K70" s="28"/>
      <c r="L70" s="28"/>
      <c r="M70" s="28"/>
      <c r="N70" s="28"/>
      <c r="O70" s="28"/>
      <c r="P70" s="100"/>
      <c r="Q70" s="100"/>
      <c r="R70" s="28"/>
      <c r="S70" s="28"/>
      <c r="T70" s="28"/>
      <c r="U70" s="28"/>
      <c r="V70" s="28"/>
      <c r="W70" s="28"/>
      <c r="X70" s="28"/>
      <c r="Y70" s="28"/>
      <c r="Z70" s="28"/>
      <c r="AA70" s="28"/>
      <c r="AB70" s="28"/>
      <c r="AC70" s="100"/>
      <c r="AD70" s="100"/>
      <c r="AE70" s="100"/>
      <c r="AF70" s="100"/>
      <c r="AG70" s="100"/>
      <c r="AH70" s="100"/>
      <c r="AI70" s="101"/>
      <c r="AJ70" s="28"/>
      <c r="AK70" s="100"/>
      <c r="AL70" s="28"/>
      <c r="AM70" s="123"/>
      <c r="AN70" s="28"/>
      <c r="AO70" s="28"/>
      <c r="AP70" s="28"/>
      <c r="AQ70" s="28">
        <v>0.33333333333333298</v>
      </c>
      <c r="AR70" s="28"/>
    </row>
    <row r="71" spans="1:54" s="27" customFormat="1" x14ac:dyDescent="0.2">
      <c r="A71" s="38"/>
      <c r="B71" s="37"/>
      <c r="C71" s="36">
        <f t="shared" si="9"/>
        <v>13.33333333333332</v>
      </c>
      <c r="D71" s="66" t="s">
        <v>2817</v>
      </c>
      <c r="E71" s="36">
        <f t="shared" si="11"/>
        <v>0.33333333333333298</v>
      </c>
      <c r="F71" s="35" t="s">
        <v>228</v>
      </c>
      <c r="H71" s="28"/>
      <c r="I71" s="28"/>
      <c r="J71" s="28"/>
      <c r="K71" s="28"/>
      <c r="L71" s="28"/>
      <c r="M71" s="28"/>
      <c r="N71" s="28"/>
      <c r="O71" s="28"/>
      <c r="P71" s="100"/>
      <c r="Q71" s="100"/>
      <c r="R71" s="28"/>
      <c r="S71" s="28"/>
      <c r="T71" s="28"/>
      <c r="U71" s="28"/>
      <c r="V71" s="28"/>
      <c r="W71" s="28"/>
      <c r="X71" s="28"/>
      <c r="Y71" s="28"/>
      <c r="Z71" s="28"/>
      <c r="AA71" s="28"/>
      <c r="AB71" s="28"/>
      <c r="AC71" s="100"/>
      <c r="AD71" s="100"/>
      <c r="AE71" s="100"/>
      <c r="AF71" s="100"/>
      <c r="AG71" s="100"/>
      <c r="AH71" s="100"/>
      <c r="AI71" s="101"/>
      <c r="AJ71" s="28"/>
      <c r="AK71" s="100"/>
      <c r="AL71" s="28"/>
      <c r="AM71" s="123"/>
      <c r="AN71" s="28"/>
      <c r="AO71" s="28"/>
      <c r="AP71" s="28"/>
      <c r="AQ71" s="28">
        <v>0.33333333333333298</v>
      </c>
      <c r="AR71" s="28"/>
    </row>
    <row r="72" spans="1:54" s="27" customFormat="1" x14ac:dyDescent="0.2">
      <c r="A72" s="38"/>
      <c r="B72" s="37"/>
      <c r="C72" s="36">
        <f t="shared" si="9"/>
        <v>13.33333333333332</v>
      </c>
      <c r="D72" s="66">
        <v>1995</v>
      </c>
      <c r="E72" s="36">
        <f t="shared" si="11"/>
        <v>0.33333333333333298</v>
      </c>
      <c r="F72" s="35" t="s">
        <v>228</v>
      </c>
      <c r="H72" s="28"/>
      <c r="I72" s="28"/>
      <c r="J72" s="28"/>
      <c r="K72" s="28"/>
      <c r="L72" s="28"/>
      <c r="M72" s="28"/>
      <c r="N72" s="28"/>
      <c r="O72" s="28"/>
      <c r="P72" s="100"/>
      <c r="Q72" s="100"/>
      <c r="R72" s="28"/>
      <c r="S72" s="28"/>
      <c r="T72" s="28"/>
      <c r="U72" s="28"/>
      <c r="V72" s="28"/>
      <c r="W72" s="28"/>
      <c r="X72" s="28"/>
      <c r="Y72" s="28"/>
      <c r="Z72" s="28"/>
      <c r="AA72" s="28"/>
      <c r="AB72" s="28"/>
      <c r="AC72" s="100"/>
      <c r="AD72" s="100"/>
      <c r="AE72" s="100"/>
      <c r="AF72" s="100"/>
      <c r="AG72" s="100"/>
      <c r="AH72" s="100"/>
      <c r="AI72" s="101"/>
      <c r="AJ72" s="28"/>
      <c r="AK72" s="100"/>
      <c r="AL72" s="28"/>
      <c r="AM72" s="123"/>
      <c r="AN72" s="28"/>
      <c r="AO72" s="28"/>
      <c r="AP72" s="28"/>
      <c r="AQ72" s="28">
        <v>0.33333333333333298</v>
      </c>
      <c r="AR72" s="28"/>
    </row>
    <row r="73" spans="1:54" s="27" customFormat="1" x14ac:dyDescent="0.2">
      <c r="A73" s="38"/>
      <c r="B73" s="37"/>
      <c r="C73" s="86">
        <f t="shared" si="9"/>
        <v>-40</v>
      </c>
      <c r="D73" s="418" t="s">
        <v>1374</v>
      </c>
      <c r="E73" s="413">
        <f t="shared" si="11"/>
        <v>-1</v>
      </c>
      <c r="F73" s="35" t="s">
        <v>228</v>
      </c>
      <c r="H73" s="28"/>
      <c r="I73" s="28"/>
      <c r="J73" s="28"/>
      <c r="K73" s="28"/>
      <c r="L73" s="28"/>
      <c r="M73" s="28"/>
      <c r="N73" s="28"/>
      <c r="O73" s="28"/>
      <c r="P73" s="100"/>
      <c r="Q73" s="100"/>
      <c r="R73" s="28"/>
      <c r="S73" s="28"/>
      <c r="T73" s="28"/>
      <c r="U73" s="28"/>
      <c r="V73" s="28"/>
      <c r="W73" s="28"/>
      <c r="X73" s="28"/>
      <c r="Y73" s="28"/>
      <c r="Z73" s="28"/>
      <c r="AA73" s="28"/>
      <c r="AB73" s="28"/>
      <c r="AC73" s="100"/>
      <c r="AD73" s="100"/>
      <c r="AE73" s="100"/>
      <c r="AF73" s="100"/>
      <c r="AG73" s="100"/>
      <c r="AH73" s="100"/>
      <c r="AI73" s="100"/>
      <c r="AJ73" s="28"/>
      <c r="AK73" s="100"/>
      <c r="AL73" s="28"/>
      <c r="AM73" s="123"/>
      <c r="AN73" s="28"/>
      <c r="AO73" s="28"/>
      <c r="AP73" s="28"/>
      <c r="AQ73" s="28"/>
      <c r="AR73" s="28">
        <v>-1</v>
      </c>
    </row>
    <row r="74" spans="1:54" s="27" customFormat="1" x14ac:dyDescent="0.2">
      <c r="A74" s="38"/>
      <c r="B74" s="37"/>
      <c r="C74" s="86">
        <f t="shared" si="9"/>
        <v>40</v>
      </c>
      <c r="D74" s="66" t="s">
        <v>1375</v>
      </c>
      <c r="E74" s="86">
        <f t="shared" si="11"/>
        <v>1</v>
      </c>
      <c r="F74" s="35" t="s">
        <v>228</v>
      </c>
      <c r="H74" s="28"/>
      <c r="I74" s="28"/>
      <c r="J74" s="28"/>
      <c r="K74" s="28"/>
      <c r="L74" s="28"/>
      <c r="M74" s="28"/>
      <c r="N74" s="28"/>
      <c r="O74" s="28"/>
      <c r="P74" s="100"/>
      <c r="Q74" s="100"/>
      <c r="R74" s="28"/>
      <c r="S74" s="28"/>
      <c r="T74" s="28"/>
      <c r="U74" s="28"/>
      <c r="V74" s="28"/>
      <c r="W74" s="28"/>
      <c r="X74" s="28"/>
      <c r="Y74" s="28"/>
      <c r="Z74" s="28"/>
      <c r="AA74" s="28"/>
      <c r="AB74" s="28"/>
      <c r="AC74" s="100"/>
      <c r="AD74" s="100"/>
      <c r="AE74" s="100"/>
      <c r="AF74" s="100"/>
      <c r="AG74" s="100"/>
      <c r="AH74" s="100"/>
      <c r="AI74" s="100"/>
      <c r="AJ74" s="28"/>
      <c r="AK74" s="100"/>
      <c r="AL74" s="28"/>
      <c r="AM74" s="123"/>
      <c r="AN74" s="28"/>
      <c r="AO74" s="28"/>
      <c r="AP74" s="28"/>
      <c r="AQ74" s="28"/>
      <c r="AR74" s="28">
        <v>1</v>
      </c>
    </row>
    <row r="75" spans="1:54" s="27" customFormat="1" x14ac:dyDescent="0.2">
      <c r="A75" s="38"/>
      <c r="B75" s="37"/>
      <c r="C75" s="36">
        <f t="shared" si="9"/>
        <v>0</v>
      </c>
      <c r="D75" s="66" t="s">
        <v>1370</v>
      </c>
      <c r="E75" s="36">
        <f t="shared" ref="E75:E138" si="13">SUM(G75:HS75)</f>
        <v>0</v>
      </c>
      <c r="F75" s="35" t="s">
        <v>228</v>
      </c>
      <c r="H75" s="28"/>
      <c r="I75" s="28"/>
      <c r="J75" s="28"/>
      <c r="K75" s="28"/>
      <c r="L75" s="28"/>
      <c r="M75" s="28"/>
      <c r="N75" s="28"/>
      <c r="O75" s="28"/>
      <c r="P75" s="100"/>
      <c r="Q75" s="100"/>
      <c r="R75" s="28"/>
      <c r="S75" s="28"/>
      <c r="T75" s="28"/>
      <c r="U75" s="28"/>
      <c r="V75" s="28"/>
      <c r="W75" s="28"/>
      <c r="X75" s="28"/>
      <c r="Y75" s="28"/>
      <c r="Z75" s="28"/>
      <c r="AA75" s="28"/>
      <c r="AB75" s="28"/>
      <c r="AC75" s="100"/>
      <c r="AD75" s="100"/>
      <c r="AE75" s="100"/>
      <c r="AF75" s="100"/>
      <c r="AG75" s="100"/>
      <c r="AH75" s="100"/>
      <c r="AI75" s="100"/>
      <c r="AJ75" s="28"/>
      <c r="AK75" s="100"/>
      <c r="AL75" s="28"/>
      <c r="AM75" s="100"/>
      <c r="AN75" s="28"/>
      <c r="AO75" s="28"/>
      <c r="AP75" s="28"/>
      <c r="AQ75" s="28"/>
      <c r="AR75" s="28"/>
      <c r="AS75" s="27">
        <v>-1</v>
      </c>
      <c r="AV75" s="27">
        <v>1</v>
      </c>
    </row>
    <row r="76" spans="1:54" s="27" customFormat="1" x14ac:dyDescent="0.2">
      <c r="A76" s="38"/>
      <c r="B76" s="37"/>
      <c r="C76" s="36">
        <f t="shared" si="9"/>
        <v>-20</v>
      </c>
      <c r="D76" s="418" t="s">
        <v>2818</v>
      </c>
      <c r="E76" s="411">
        <f t="shared" si="13"/>
        <v>-0.5</v>
      </c>
      <c r="F76" s="35" t="s">
        <v>228</v>
      </c>
      <c r="H76" s="28"/>
      <c r="I76" s="28"/>
      <c r="J76" s="28"/>
      <c r="K76" s="28"/>
      <c r="L76" s="28"/>
      <c r="M76" s="28"/>
      <c r="N76" s="28"/>
      <c r="O76" s="28"/>
      <c r="P76" s="100"/>
      <c r="Q76" s="100"/>
      <c r="R76" s="28"/>
      <c r="S76" s="28"/>
      <c r="T76" s="28"/>
      <c r="U76" s="28"/>
      <c r="V76" s="28"/>
      <c r="W76" s="28"/>
      <c r="X76" s="28"/>
      <c r="Y76" s="28"/>
      <c r="Z76" s="28"/>
      <c r="AA76" s="28"/>
      <c r="AB76" s="28"/>
      <c r="AC76" s="100"/>
      <c r="AD76" s="100"/>
      <c r="AE76" s="100"/>
      <c r="AF76" s="100"/>
      <c r="AG76" s="100"/>
      <c r="AH76" s="100"/>
      <c r="AI76" s="100"/>
      <c r="AJ76" s="28"/>
      <c r="AK76" s="100"/>
      <c r="AL76" s="28"/>
      <c r="AM76" s="100"/>
      <c r="AN76" s="28"/>
      <c r="AO76" s="28"/>
      <c r="AP76" s="28"/>
      <c r="AQ76" s="28"/>
      <c r="AR76" s="28"/>
      <c r="AT76" s="27">
        <v>-0.5</v>
      </c>
    </row>
    <row r="77" spans="1:54" s="27" customFormat="1" x14ac:dyDescent="0.2">
      <c r="A77" s="38"/>
      <c r="B77" s="37"/>
      <c r="C77" s="36">
        <f t="shared" si="9"/>
        <v>-40</v>
      </c>
      <c r="D77" s="424" t="s">
        <v>1425</v>
      </c>
      <c r="E77" s="411">
        <f t="shared" si="13"/>
        <v>-1</v>
      </c>
      <c r="F77" s="35" t="s">
        <v>228</v>
      </c>
      <c r="H77" s="28"/>
      <c r="I77" s="28"/>
      <c r="J77" s="28"/>
      <c r="K77" s="28"/>
      <c r="L77" s="28"/>
      <c r="M77" s="28"/>
      <c r="N77" s="28"/>
      <c r="O77" s="28"/>
      <c r="P77" s="100"/>
      <c r="Q77" s="100"/>
      <c r="R77" s="28"/>
      <c r="S77" s="28"/>
      <c r="T77" s="28"/>
      <c r="U77" s="28"/>
      <c r="V77" s="28"/>
      <c r="W77" s="28"/>
      <c r="X77" s="28"/>
      <c r="Y77" s="28"/>
      <c r="Z77" s="28"/>
      <c r="AA77" s="28"/>
      <c r="AB77" s="28"/>
      <c r="AC77" s="100"/>
      <c r="AD77" s="100"/>
      <c r="AE77" s="100"/>
      <c r="AF77" s="100"/>
      <c r="AG77" s="100"/>
      <c r="AH77" s="100"/>
      <c r="AI77" s="100"/>
      <c r="AJ77" s="28"/>
      <c r="AK77" s="100"/>
      <c r="AL77" s="28"/>
      <c r="AM77" s="100"/>
      <c r="AN77" s="28"/>
      <c r="AO77" s="28"/>
      <c r="AP77" s="28"/>
      <c r="AQ77" s="28"/>
      <c r="AR77" s="28"/>
      <c r="AU77" s="27">
        <v>-1</v>
      </c>
    </row>
    <row r="78" spans="1:54" s="27" customFormat="1" ht="24" x14ac:dyDescent="0.2">
      <c r="A78" s="38"/>
      <c r="B78" s="37"/>
      <c r="C78" s="36">
        <f t="shared" si="9"/>
        <v>-40</v>
      </c>
      <c r="D78" s="418" t="s">
        <v>2819</v>
      </c>
      <c r="E78" s="411">
        <f t="shared" si="13"/>
        <v>-1</v>
      </c>
      <c r="F78" s="35" t="s">
        <v>228</v>
      </c>
      <c r="H78" s="28"/>
      <c r="I78" s="28"/>
      <c r="J78" s="28"/>
      <c r="K78" s="28"/>
      <c r="L78" s="28"/>
      <c r="M78" s="28"/>
      <c r="N78" s="28"/>
      <c r="O78" s="28"/>
      <c r="P78" s="100"/>
      <c r="Q78" s="100"/>
      <c r="R78" s="28"/>
      <c r="S78" s="28"/>
      <c r="T78" s="28"/>
      <c r="U78" s="28"/>
      <c r="V78" s="28"/>
      <c r="W78" s="28"/>
      <c r="X78" s="28"/>
      <c r="Y78" s="28"/>
      <c r="Z78" s="28"/>
      <c r="AA78" s="28"/>
      <c r="AB78" s="28"/>
      <c r="AC78" s="100"/>
      <c r="AD78" s="100"/>
      <c r="AE78" s="100"/>
      <c r="AF78" s="100"/>
      <c r="AG78" s="100"/>
      <c r="AH78" s="100"/>
      <c r="AI78" s="100"/>
      <c r="AJ78" s="28"/>
      <c r="AK78" s="100"/>
      <c r="AL78" s="28"/>
      <c r="AM78" s="100"/>
      <c r="AN78" s="28"/>
      <c r="AO78" s="28"/>
      <c r="AP78" s="28"/>
      <c r="AQ78" s="28"/>
      <c r="AR78" s="28"/>
      <c r="AV78" s="27">
        <v>-1</v>
      </c>
    </row>
    <row r="79" spans="1:54" s="27" customFormat="1" ht="24" x14ac:dyDescent="0.2">
      <c r="A79" s="38"/>
      <c r="B79" s="37"/>
      <c r="C79" s="86">
        <f t="shared" si="9"/>
        <v>0</v>
      </c>
      <c r="D79" s="3" t="s">
        <v>1452</v>
      </c>
      <c r="E79" s="86">
        <f t="shared" si="13"/>
        <v>0</v>
      </c>
      <c r="F79" s="35" t="s">
        <v>228</v>
      </c>
      <c r="H79" s="28"/>
      <c r="I79" s="28"/>
      <c r="J79" s="28"/>
      <c r="K79" s="28"/>
      <c r="L79" s="28"/>
      <c r="M79" s="28"/>
      <c r="N79" s="28"/>
      <c r="O79" s="28"/>
      <c r="P79" s="100"/>
      <c r="Q79" s="100"/>
      <c r="R79" s="28"/>
      <c r="S79" s="28"/>
      <c r="T79" s="28"/>
      <c r="U79" s="28"/>
      <c r="V79" s="28"/>
      <c r="W79" s="28"/>
      <c r="X79" s="28"/>
      <c r="Y79" s="28"/>
      <c r="Z79" s="28"/>
      <c r="AA79" s="28"/>
      <c r="AB79" s="28"/>
      <c r="AC79" s="100"/>
      <c r="AD79" s="100"/>
      <c r="AE79" s="100"/>
      <c r="AF79" s="100"/>
      <c r="AG79" s="100"/>
      <c r="AH79" s="100"/>
      <c r="AI79" s="100"/>
      <c r="AJ79" s="28"/>
      <c r="AK79" s="100"/>
      <c r="AL79" s="28"/>
      <c r="AM79" s="100"/>
      <c r="AN79" s="28"/>
      <c r="AO79" s="28"/>
      <c r="AP79" s="28"/>
      <c r="AQ79" s="28"/>
      <c r="AR79" s="28"/>
    </row>
    <row r="80" spans="1:54" s="27" customFormat="1" x14ac:dyDescent="0.2">
      <c r="A80" s="38"/>
      <c r="B80" s="37"/>
      <c r="C80" s="36">
        <f t="shared" si="9"/>
        <v>0</v>
      </c>
      <c r="D80" s="66" t="s">
        <v>8734</v>
      </c>
      <c r="E80" s="36">
        <f t="shared" si="13"/>
        <v>0</v>
      </c>
      <c r="F80" s="35" t="s">
        <v>228</v>
      </c>
      <c r="H80" s="28"/>
      <c r="I80" s="28"/>
      <c r="J80" s="28"/>
      <c r="K80" s="28"/>
      <c r="L80" s="28"/>
      <c r="M80" s="28"/>
      <c r="N80" s="28"/>
      <c r="O80" s="28"/>
      <c r="P80" s="100"/>
      <c r="Q80" s="100"/>
      <c r="R80" s="28"/>
      <c r="S80" s="28"/>
      <c r="T80" s="28"/>
      <c r="U80" s="28"/>
      <c r="V80" s="28"/>
      <c r="W80" s="28"/>
      <c r="X80" s="28"/>
      <c r="Y80" s="28"/>
      <c r="Z80" s="28"/>
      <c r="AA80" s="28"/>
      <c r="AB80" s="28"/>
      <c r="AC80" s="100"/>
      <c r="AD80" s="100"/>
      <c r="AE80" s="100"/>
      <c r="AF80" s="100"/>
      <c r="AG80" s="100"/>
      <c r="AH80" s="100"/>
      <c r="AI80" s="100"/>
      <c r="AJ80" s="28"/>
      <c r="AK80" s="100"/>
      <c r="AL80" s="28"/>
      <c r="AM80" s="100"/>
      <c r="AN80" s="28"/>
      <c r="AO80" s="28"/>
      <c r="AP80" s="28"/>
      <c r="AQ80" s="28"/>
      <c r="AR80" s="28"/>
    </row>
    <row r="81" spans="1:56" s="27" customFormat="1" x14ac:dyDescent="0.2">
      <c r="A81" s="38"/>
      <c r="B81" s="37"/>
      <c r="C81" s="86">
        <f t="shared" si="9"/>
        <v>20</v>
      </c>
      <c r="D81" s="3" t="s">
        <v>2821</v>
      </c>
      <c r="E81" s="86">
        <f t="shared" si="13"/>
        <v>0.5</v>
      </c>
      <c r="F81" s="35" t="s">
        <v>228</v>
      </c>
      <c r="H81" s="28"/>
      <c r="I81" s="28"/>
      <c r="J81" s="28"/>
      <c r="K81" s="28"/>
      <c r="L81" s="28"/>
      <c r="M81" s="28"/>
      <c r="N81" s="28"/>
      <c r="O81" s="28"/>
      <c r="P81" s="100"/>
      <c r="Q81" s="100"/>
      <c r="R81" s="28"/>
      <c r="S81" s="28"/>
      <c r="T81" s="28"/>
      <c r="U81" s="28"/>
      <c r="V81" s="28"/>
      <c r="W81" s="28"/>
      <c r="X81" s="28"/>
      <c r="Y81" s="28"/>
      <c r="Z81" s="28"/>
      <c r="AA81" s="28"/>
      <c r="AB81" s="28"/>
      <c r="AC81" s="100"/>
      <c r="AD81" s="100"/>
      <c r="AE81" s="100"/>
      <c r="AF81" s="100"/>
      <c r="AG81" s="100"/>
      <c r="AH81" s="100"/>
      <c r="AI81" s="100"/>
      <c r="AJ81" s="28"/>
      <c r="AK81" s="100"/>
      <c r="AL81" s="28"/>
      <c r="AM81" s="100"/>
      <c r="AN81" s="28"/>
      <c r="AO81" s="28"/>
      <c r="AP81" s="28"/>
      <c r="AQ81" s="28"/>
      <c r="AR81" s="28"/>
      <c r="AX81" s="27">
        <v>0.5</v>
      </c>
    </row>
    <row r="82" spans="1:56" s="27" customFormat="1" x14ac:dyDescent="0.2">
      <c r="A82" s="38"/>
      <c r="B82" s="37"/>
      <c r="C82" s="36">
        <f t="shared" si="9"/>
        <v>20</v>
      </c>
      <c r="D82" s="66" t="s">
        <v>2822</v>
      </c>
      <c r="E82" s="36">
        <f t="shared" si="13"/>
        <v>0.5</v>
      </c>
      <c r="F82" s="35" t="s">
        <v>228</v>
      </c>
      <c r="H82" s="28"/>
      <c r="I82" s="28"/>
      <c r="J82" s="28"/>
      <c r="K82" s="28"/>
      <c r="L82" s="28"/>
      <c r="M82" s="28"/>
      <c r="N82" s="28"/>
      <c r="O82" s="28"/>
      <c r="P82" s="100"/>
      <c r="Q82" s="100"/>
      <c r="R82" s="28"/>
      <c r="S82" s="28"/>
      <c r="T82" s="28"/>
      <c r="U82" s="28"/>
      <c r="V82" s="28"/>
      <c r="W82" s="28"/>
      <c r="X82" s="28"/>
      <c r="Y82" s="28"/>
      <c r="Z82" s="28"/>
      <c r="AA82" s="28"/>
      <c r="AB82" s="28"/>
      <c r="AC82" s="100"/>
      <c r="AD82" s="100"/>
      <c r="AE82" s="100"/>
      <c r="AF82" s="100"/>
      <c r="AG82" s="100"/>
      <c r="AH82" s="100"/>
      <c r="AI82" s="100"/>
      <c r="AJ82" s="28"/>
      <c r="AK82" s="100"/>
      <c r="AL82" s="28"/>
      <c r="AM82" s="100"/>
      <c r="AN82" s="28"/>
      <c r="AO82" s="28"/>
      <c r="AP82" s="28"/>
      <c r="AQ82" s="28"/>
      <c r="AR82" s="28"/>
      <c r="AX82" s="27">
        <v>0.5</v>
      </c>
    </row>
    <row r="83" spans="1:56" s="27" customFormat="1" ht="24" x14ac:dyDescent="0.2">
      <c r="A83" s="38"/>
      <c r="B83" s="37"/>
      <c r="C83" s="86">
        <f t="shared" si="9"/>
        <v>-40</v>
      </c>
      <c r="D83" s="422" t="s">
        <v>2823</v>
      </c>
      <c r="E83" s="413">
        <f t="shared" si="13"/>
        <v>-1</v>
      </c>
      <c r="F83" s="35" t="s">
        <v>228</v>
      </c>
      <c r="H83" s="28"/>
      <c r="I83" s="28"/>
      <c r="J83" s="28"/>
      <c r="K83" s="28"/>
      <c r="L83" s="28"/>
      <c r="M83" s="28"/>
      <c r="N83" s="28"/>
      <c r="O83" s="28"/>
      <c r="P83" s="100"/>
      <c r="Q83" s="100"/>
      <c r="R83" s="28"/>
      <c r="S83" s="28"/>
      <c r="T83" s="28"/>
      <c r="U83" s="28"/>
      <c r="V83" s="28"/>
      <c r="W83" s="28"/>
      <c r="X83" s="28"/>
      <c r="Y83" s="28"/>
      <c r="Z83" s="28"/>
      <c r="AA83" s="28"/>
      <c r="AB83" s="28"/>
      <c r="AC83" s="100"/>
      <c r="AD83" s="100"/>
      <c r="AE83" s="100"/>
      <c r="AF83" s="100"/>
      <c r="AG83" s="100"/>
      <c r="AH83" s="100"/>
      <c r="AI83" s="100"/>
      <c r="AJ83" s="28"/>
      <c r="AK83" s="100"/>
      <c r="AL83" s="28"/>
      <c r="AM83" s="100"/>
      <c r="AN83" s="28"/>
      <c r="AO83" s="28"/>
      <c r="AP83" s="28"/>
      <c r="AQ83" s="28"/>
      <c r="AR83" s="28"/>
      <c r="AY83" s="27">
        <v>-1</v>
      </c>
    </row>
    <row r="84" spans="1:56" s="27" customFormat="1" x14ac:dyDescent="0.2">
      <c r="A84" s="38"/>
      <c r="B84" s="37"/>
      <c r="C84" s="36">
        <f t="shared" si="9"/>
        <v>40</v>
      </c>
      <c r="D84" s="66" t="s">
        <v>1485</v>
      </c>
      <c r="E84" s="36">
        <f t="shared" si="13"/>
        <v>1</v>
      </c>
      <c r="F84" s="35" t="s">
        <v>228</v>
      </c>
      <c r="H84" s="28"/>
      <c r="I84" s="28"/>
      <c r="J84" s="28"/>
      <c r="K84" s="28"/>
      <c r="L84" s="28"/>
      <c r="M84" s="28"/>
      <c r="N84" s="28"/>
      <c r="O84" s="28"/>
      <c r="P84" s="100"/>
      <c r="Q84" s="100"/>
      <c r="R84" s="28"/>
      <c r="S84" s="28"/>
      <c r="T84" s="28"/>
      <c r="U84" s="28"/>
      <c r="V84" s="28"/>
      <c r="W84" s="28"/>
      <c r="X84" s="28"/>
      <c r="Y84" s="28"/>
      <c r="Z84" s="28"/>
      <c r="AA84" s="28"/>
      <c r="AB84" s="28"/>
      <c r="AC84" s="100"/>
      <c r="AD84" s="100"/>
      <c r="AE84" s="100"/>
      <c r="AF84" s="100"/>
      <c r="AG84" s="100"/>
      <c r="AH84" s="100"/>
      <c r="AI84" s="100"/>
      <c r="AJ84" s="28"/>
      <c r="AK84" s="100"/>
      <c r="AL84" s="28"/>
      <c r="AM84" s="100"/>
      <c r="AN84" s="28"/>
      <c r="AO84" s="28"/>
      <c r="AP84" s="28"/>
      <c r="AQ84" s="28"/>
      <c r="AR84" s="28"/>
      <c r="AY84" s="27">
        <v>1</v>
      </c>
    </row>
    <row r="85" spans="1:56" s="27" customFormat="1" x14ac:dyDescent="0.2">
      <c r="A85" s="38"/>
      <c r="B85" s="37"/>
      <c r="C85" s="36">
        <f t="shared" si="9"/>
        <v>-40</v>
      </c>
      <c r="D85" s="418" t="s">
        <v>1597</v>
      </c>
      <c r="E85" s="411">
        <f t="shared" si="13"/>
        <v>-1</v>
      </c>
      <c r="F85" s="35" t="s">
        <v>228</v>
      </c>
      <c r="H85" s="28"/>
      <c r="I85" s="28"/>
      <c r="J85" s="28"/>
      <c r="K85" s="28"/>
      <c r="L85" s="28"/>
      <c r="M85" s="28"/>
      <c r="N85" s="28"/>
      <c r="O85" s="28"/>
      <c r="P85" s="100"/>
      <c r="Q85" s="100"/>
      <c r="R85" s="28"/>
      <c r="S85" s="28"/>
      <c r="T85" s="28"/>
      <c r="U85" s="28"/>
      <c r="V85" s="28"/>
      <c r="W85" s="28"/>
      <c r="X85" s="28"/>
      <c r="Y85" s="28"/>
      <c r="Z85" s="28"/>
      <c r="AA85" s="28"/>
      <c r="AB85" s="28"/>
      <c r="AC85" s="100"/>
      <c r="AD85" s="100"/>
      <c r="AE85" s="100"/>
      <c r="AF85" s="100"/>
      <c r="AG85" s="100"/>
      <c r="AH85" s="100"/>
      <c r="AI85" s="100"/>
      <c r="AJ85" s="28"/>
      <c r="AK85" s="100"/>
      <c r="AL85" s="28"/>
      <c r="AM85" s="100"/>
      <c r="AN85" s="28"/>
      <c r="AO85" s="28"/>
      <c r="AP85" s="28"/>
      <c r="AQ85" s="28"/>
      <c r="AR85" s="28"/>
      <c r="AZ85" s="27">
        <v>-1</v>
      </c>
    </row>
    <row r="86" spans="1:56" s="27" customFormat="1" x14ac:dyDescent="0.2">
      <c r="A86" s="38"/>
      <c r="B86" s="37"/>
      <c r="C86" s="36">
        <f t="shared" si="9"/>
        <v>40</v>
      </c>
      <c r="D86" s="66" t="s">
        <v>1598</v>
      </c>
      <c r="E86" s="36">
        <f t="shared" si="13"/>
        <v>1</v>
      </c>
      <c r="F86" s="35" t="s">
        <v>228</v>
      </c>
      <c r="H86" s="28"/>
      <c r="I86" s="28"/>
      <c r="J86" s="28"/>
      <c r="K86" s="28"/>
      <c r="L86" s="28"/>
      <c r="M86" s="28"/>
      <c r="N86" s="28"/>
      <c r="O86" s="28"/>
      <c r="P86" s="100"/>
      <c r="Q86" s="100"/>
      <c r="R86" s="28"/>
      <c r="S86" s="28"/>
      <c r="T86" s="28"/>
      <c r="U86" s="28"/>
      <c r="V86" s="28"/>
      <c r="W86" s="28"/>
      <c r="X86" s="28"/>
      <c r="Y86" s="28"/>
      <c r="Z86" s="28"/>
      <c r="AA86" s="28"/>
      <c r="AB86" s="28"/>
      <c r="AC86" s="100"/>
      <c r="AD86" s="100"/>
      <c r="AE86" s="100"/>
      <c r="AF86" s="100"/>
      <c r="AG86" s="100"/>
      <c r="AH86" s="100"/>
      <c r="AI86" s="100"/>
      <c r="AJ86" s="28"/>
      <c r="AK86" s="100"/>
      <c r="AL86" s="28"/>
      <c r="AM86" s="100"/>
      <c r="AN86" s="28"/>
      <c r="AO86" s="28"/>
      <c r="AP86" s="28"/>
      <c r="AQ86" s="28"/>
      <c r="AR86" s="28"/>
      <c r="AZ86" s="27">
        <v>1</v>
      </c>
    </row>
    <row r="87" spans="1:56" s="27" customFormat="1" x14ac:dyDescent="0.2">
      <c r="A87" s="38"/>
      <c r="B87" s="37"/>
      <c r="C87" s="36">
        <f t="shared" si="9"/>
        <v>-40</v>
      </c>
      <c r="D87" s="418" t="s">
        <v>2824</v>
      </c>
      <c r="E87" s="411">
        <f t="shared" si="13"/>
        <v>-1</v>
      </c>
      <c r="F87" s="35" t="s">
        <v>228</v>
      </c>
      <c r="P87" s="100"/>
      <c r="Q87" s="100"/>
      <c r="AC87" s="100"/>
      <c r="AD87" s="100"/>
      <c r="AE87" s="100"/>
      <c r="AF87" s="100"/>
      <c r="AG87" s="100"/>
      <c r="AH87" s="100"/>
      <c r="AI87" s="100"/>
      <c r="AK87" s="100"/>
      <c r="AM87" s="100"/>
      <c r="BA87" s="27">
        <v>-1</v>
      </c>
    </row>
    <row r="88" spans="1:56" s="27" customFormat="1" x14ac:dyDescent="0.2">
      <c r="A88" s="38"/>
      <c r="B88" s="37"/>
      <c r="C88" s="86">
        <f t="shared" si="9"/>
        <v>80</v>
      </c>
      <c r="D88" s="3" t="s">
        <v>1615</v>
      </c>
      <c r="E88" s="86">
        <f t="shared" si="13"/>
        <v>2</v>
      </c>
      <c r="F88" s="35" t="s">
        <v>228</v>
      </c>
      <c r="P88" s="100"/>
      <c r="Q88" s="100"/>
      <c r="AC88" s="100"/>
      <c r="AD88" s="100"/>
      <c r="AE88" s="100"/>
      <c r="AF88" s="100"/>
      <c r="AG88" s="100"/>
      <c r="AH88" s="100"/>
      <c r="AI88" s="100"/>
      <c r="AK88" s="100"/>
      <c r="AM88" s="100"/>
      <c r="BA88" s="27">
        <v>1</v>
      </c>
      <c r="BB88" s="27">
        <v>1</v>
      </c>
    </row>
    <row r="89" spans="1:56" s="27" customFormat="1" ht="24" x14ac:dyDescent="0.2">
      <c r="A89" s="38"/>
      <c r="B89" s="37"/>
      <c r="C89" s="36">
        <f t="shared" si="9"/>
        <v>-36.666666666666679</v>
      </c>
      <c r="D89" s="418" t="s">
        <v>2825</v>
      </c>
      <c r="E89" s="411">
        <f t="shared" si="13"/>
        <v>-0.91666666666666696</v>
      </c>
      <c r="F89" s="35" t="s">
        <v>228</v>
      </c>
      <c r="P89" s="100"/>
      <c r="Q89" s="100"/>
      <c r="AC89" s="100"/>
      <c r="AD89" s="100"/>
      <c r="AE89" s="100"/>
      <c r="AF89" s="100"/>
      <c r="AG89" s="100"/>
      <c r="AH89" s="100"/>
      <c r="AI89" s="100"/>
      <c r="AK89" s="100"/>
      <c r="AM89" s="100"/>
      <c r="BC89" s="27">
        <v>-0.91666666666666696</v>
      </c>
    </row>
    <row r="90" spans="1:56" s="27" customFormat="1" x14ac:dyDescent="0.2">
      <c r="A90" s="38"/>
      <c r="B90" s="37"/>
      <c r="C90" s="36">
        <f t="shared" si="9"/>
        <v>36.666666666666679</v>
      </c>
      <c r="D90" s="66" t="s">
        <v>102</v>
      </c>
      <c r="E90" s="86">
        <f t="shared" si="13"/>
        <v>0.91666666666666696</v>
      </c>
      <c r="F90" s="35" t="s">
        <v>228</v>
      </c>
      <c r="P90" s="100"/>
      <c r="Q90" s="100"/>
      <c r="AC90" s="100"/>
      <c r="AD90" s="100"/>
      <c r="AE90" s="100"/>
      <c r="AF90" s="100"/>
      <c r="AG90" s="100"/>
      <c r="AH90" s="100"/>
      <c r="AI90" s="100"/>
      <c r="AK90" s="100"/>
      <c r="AM90" s="100"/>
      <c r="BC90" s="27">
        <v>0.91666666666666696</v>
      </c>
    </row>
    <row r="91" spans="1:56" s="27" customFormat="1" ht="36" x14ac:dyDescent="0.2">
      <c r="A91" s="38"/>
      <c r="B91" s="37"/>
      <c r="C91" s="86">
        <f t="shared" si="9"/>
        <v>-40</v>
      </c>
      <c r="D91" s="418" t="s">
        <v>2833</v>
      </c>
      <c r="E91" s="413">
        <f t="shared" si="13"/>
        <v>-1</v>
      </c>
      <c r="F91" s="35" t="s">
        <v>228</v>
      </c>
      <c r="P91" s="100"/>
      <c r="Q91" s="100"/>
      <c r="AC91" s="100"/>
      <c r="AD91" s="100"/>
      <c r="AE91" s="100"/>
      <c r="AF91" s="100"/>
      <c r="AG91" s="100"/>
      <c r="AH91" s="100"/>
      <c r="AI91" s="100"/>
      <c r="AK91" s="100"/>
      <c r="AM91" s="100"/>
      <c r="BD91" s="27">
        <v>-1</v>
      </c>
    </row>
    <row r="92" spans="1:56" s="27" customFormat="1" ht="25.5" x14ac:dyDescent="0.2">
      <c r="A92" s="38"/>
      <c r="B92" s="37" t="s">
        <v>156</v>
      </c>
      <c r="C92" s="36">
        <f t="shared" si="9"/>
        <v>40</v>
      </c>
      <c r="D92" s="66" t="s">
        <v>186</v>
      </c>
      <c r="E92" s="86">
        <f t="shared" si="13"/>
        <v>1</v>
      </c>
      <c r="F92" s="35" t="s">
        <v>228</v>
      </c>
      <c r="P92" s="100"/>
      <c r="Q92" s="100"/>
      <c r="AC92" s="100"/>
      <c r="AD92" s="100"/>
      <c r="AE92" s="100"/>
      <c r="AF92" s="100"/>
      <c r="AG92" s="100"/>
      <c r="AH92" s="100"/>
      <c r="AI92" s="100"/>
      <c r="AK92" s="100"/>
      <c r="AM92" s="100"/>
      <c r="BD92" s="27">
        <v>1</v>
      </c>
    </row>
    <row r="93" spans="1:56" s="27" customFormat="1" x14ac:dyDescent="0.2">
      <c r="A93" s="38"/>
      <c r="B93" s="37"/>
      <c r="C93" s="86">
        <f t="shared" si="9"/>
        <v>0</v>
      </c>
      <c r="D93" s="66" t="s">
        <v>2225</v>
      </c>
      <c r="E93" s="86">
        <f t="shared" si="13"/>
        <v>0</v>
      </c>
      <c r="F93" s="35" t="s">
        <v>228</v>
      </c>
      <c r="P93" s="100"/>
      <c r="Q93" s="100"/>
      <c r="AC93" s="100"/>
      <c r="AD93" s="100"/>
      <c r="AE93" s="100"/>
      <c r="AF93" s="100"/>
      <c r="AG93" s="100"/>
      <c r="AH93" s="100"/>
      <c r="AI93" s="100"/>
      <c r="AK93" s="100"/>
      <c r="AM93" s="100"/>
    </row>
    <row r="94" spans="1:56" s="27" customFormat="1" x14ac:dyDescent="0.2">
      <c r="A94" s="38"/>
      <c r="B94" s="37"/>
      <c r="C94" s="36">
        <f t="shared" si="9"/>
        <v>0</v>
      </c>
      <c r="D94" s="66" t="s">
        <v>2891</v>
      </c>
      <c r="E94" s="86">
        <f t="shared" si="13"/>
        <v>0</v>
      </c>
      <c r="F94" s="35" t="s">
        <v>228</v>
      </c>
      <c r="P94" s="100"/>
      <c r="Q94" s="100"/>
      <c r="AC94" s="100"/>
      <c r="AD94" s="100"/>
      <c r="AE94" s="100"/>
      <c r="AF94" s="100"/>
      <c r="AG94" s="100"/>
      <c r="AH94" s="100"/>
      <c r="AI94" s="100"/>
      <c r="AK94" s="100"/>
      <c r="AM94" s="100"/>
    </row>
    <row r="95" spans="1:56" s="27" customFormat="1" x14ac:dyDescent="0.2">
      <c r="A95" s="38"/>
      <c r="B95" s="37"/>
      <c r="C95" s="86">
        <f t="shared" si="9"/>
        <v>0</v>
      </c>
      <c r="D95" s="66" t="s">
        <v>2892</v>
      </c>
      <c r="E95" s="86">
        <f t="shared" si="13"/>
        <v>0</v>
      </c>
      <c r="F95" s="35" t="s">
        <v>228</v>
      </c>
      <c r="P95" s="100"/>
      <c r="Q95" s="100"/>
      <c r="AC95" s="100"/>
      <c r="AD95" s="100"/>
      <c r="AE95" s="100"/>
      <c r="AF95" s="100"/>
      <c r="AG95" s="100"/>
      <c r="AH95" s="100"/>
      <c r="AI95" s="100"/>
      <c r="AK95" s="100"/>
      <c r="AM95" s="100"/>
    </row>
    <row r="96" spans="1:56" s="27" customFormat="1" x14ac:dyDescent="0.2">
      <c r="A96" s="38"/>
      <c r="B96" s="37"/>
      <c r="C96" s="36">
        <f t="shared" si="9"/>
        <v>0</v>
      </c>
      <c r="D96" s="66" t="s">
        <v>8747</v>
      </c>
      <c r="E96" s="36">
        <f t="shared" si="13"/>
        <v>0</v>
      </c>
      <c r="F96" s="35" t="s">
        <v>228</v>
      </c>
      <c r="P96" s="100"/>
      <c r="Q96" s="100"/>
      <c r="AC96" s="100"/>
      <c r="AD96" s="100"/>
      <c r="AE96" s="100"/>
      <c r="AF96" s="100"/>
      <c r="AG96" s="100"/>
      <c r="AH96" s="100"/>
      <c r="AI96" s="100"/>
      <c r="AK96" s="100"/>
      <c r="AM96" s="100"/>
    </row>
    <row r="97" spans="1:66" s="27" customFormat="1" x14ac:dyDescent="0.2">
      <c r="A97" s="38"/>
      <c r="B97" s="37"/>
      <c r="C97" s="36">
        <f t="shared" si="9"/>
        <v>-16.92307692307692</v>
      </c>
      <c r="D97" s="418" t="s">
        <v>2271</v>
      </c>
      <c r="E97" s="411">
        <f t="shared" si="13"/>
        <v>-0.42307692307692302</v>
      </c>
      <c r="F97" s="35" t="s">
        <v>228</v>
      </c>
      <c r="P97" s="100"/>
      <c r="Q97" s="100"/>
      <c r="AC97" s="100"/>
      <c r="AD97" s="100"/>
      <c r="AE97" s="100"/>
      <c r="AF97" s="100"/>
      <c r="AG97" s="100"/>
      <c r="AH97" s="100"/>
      <c r="AI97" s="100"/>
      <c r="AK97" s="100"/>
      <c r="AM97" s="100"/>
      <c r="BF97" s="27">
        <v>-0.42307692307692302</v>
      </c>
    </row>
    <row r="98" spans="1:66" s="27" customFormat="1" ht="48" x14ac:dyDescent="0.2">
      <c r="A98" s="38"/>
      <c r="B98" s="37"/>
      <c r="C98" s="36">
        <f t="shared" si="9"/>
        <v>16.92307692307692</v>
      </c>
      <c r="D98" s="66" t="s">
        <v>2834</v>
      </c>
      <c r="E98" s="36">
        <f t="shared" si="13"/>
        <v>0.42307692307692302</v>
      </c>
      <c r="F98" s="35" t="s">
        <v>228</v>
      </c>
      <c r="P98" s="100"/>
      <c r="Q98" s="100"/>
      <c r="AC98" s="100"/>
      <c r="AD98" s="100"/>
      <c r="AE98" s="100"/>
      <c r="AF98" s="100"/>
      <c r="AG98" s="100"/>
      <c r="AH98" s="100"/>
      <c r="AI98" s="100"/>
      <c r="AK98" s="100"/>
      <c r="AM98" s="100"/>
      <c r="BF98" s="27">
        <v>0.42307692307692302</v>
      </c>
    </row>
    <row r="99" spans="1:66" s="27" customFormat="1" ht="24" x14ac:dyDescent="0.2">
      <c r="A99" s="38"/>
      <c r="B99" s="37"/>
      <c r="C99" s="36">
        <f t="shared" si="9"/>
        <v>-40</v>
      </c>
      <c r="D99" s="422" t="s">
        <v>2419</v>
      </c>
      <c r="E99" s="411">
        <f t="shared" si="13"/>
        <v>-1</v>
      </c>
      <c r="F99" s="35" t="s">
        <v>228</v>
      </c>
      <c r="P99" s="100"/>
      <c r="Q99" s="100"/>
      <c r="AC99" s="100"/>
      <c r="AD99" s="100"/>
      <c r="AE99" s="100"/>
      <c r="AF99" s="100"/>
      <c r="AG99" s="100"/>
      <c r="AH99" s="100"/>
      <c r="AI99" s="100"/>
      <c r="AK99" s="100"/>
      <c r="AM99" s="100"/>
      <c r="BG99" s="27">
        <v>-1</v>
      </c>
    </row>
    <row r="100" spans="1:66" s="27" customFormat="1" ht="60" x14ac:dyDescent="0.2">
      <c r="A100" s="38"/>
      <c r="B100" s="37"/>
      <c r="C100" s="36">
        <f t="shared" si="9"/>
        <v>40</v>
      </c>
      <c r="D100" s="3" t="s">
        <v>2835</v>
      </c>
      <c r="E100" s="36">
        <f t="shared" si="13"/>
        <v>1</v>
      </c>
      <c r="F100" s="35" t="s">
        <v>228</v>
      </c>
      <c r="P100" s="100"/>
      <c r="Q100" s="100"/>
      <c r="AC100" s="100"/>
      <c r="AD100" s="100"/>
      <c r="AE100" s="100"/>
      <c r="AF100" s="100"/>
      <c r="AG100" s="100"/>
      <c r="AH100" s="100"/>
      <c r="AI100" s="100"/>
      <c r="AK100" s="100"/>
      <c r="AM100" s="100"/>
      <c r="BG100" s="27">
        <v>1</v>
      </c>
    </row>
    <row r="101" spans="1:66" s="27" customFormat="1" ht="25.5" x14ac:dyDescent="0.2">
      <c r="A101" s="38"/>
      <c r="B101" s="37"/>
      <c r="C101" s="36">
        <f t="shared" si="9"/>
        <v>-40</v>
      </c>
      <c r="D101" s="420" t="s">
        <v>2836</v>
      </c>
      <c r="E101" s="411">
        <f t="shared" si="13"/>
        <v>-1</v>
      </c>
      <c r="F101" s="35" t="s">
        <v>228</v>
      </c>
      <c r="P101" s="100"/>
      <c r="Q101" s="100"/>
      <c r="AC101" s="100"/>
      <c r="AD101" s="100"/>
      <c r="AE101" s="100"/>
      <c r="AF101" s="100"/>
      <c r="AG101" s="100"/>
      <c r="AH101" s="100"/>
      <c r="AI101" s="100"/>
      <c r="AK101" s="100"/>
      <c r="AM101" s="100"/>
      <c r="BH101" s="27">
        <v>-1</v>
      </c>
    </row>
    <row r="102" spans="1:66" s="27" customFormat="1" x14ac:dyDescent="0.2">
      <c r="A102" s="38"/>
      <c r="B102" s="37"/>
      <c r="C102" s="36">
        <f t="shared" si="9"/>
        <v>40</v>
      </c>
      <c r="D102" s="20" t="s">
        <v>2430</v>
      </c>
      <c r="E102" s="36">
        <f t="shared" si="13"/>
        <v>1</v>
      </c>
      <c r="F102" s="35" t="s">
        <v>228</v>
      </c>
      <c r="P102" s="100"/>
      <c r="Q102" s="100"/>
      <c r="AC102" s="100"/>
      <c r="AD102" s="100"/>
      <c r="AE102" s="100"/>
      <c r="AF102" s="100"/>
      <c r="AG102" s="100"/>
      <c r="AH102" s="100"/>
      <c r="AI102" s="100"/>
      <c r="AK102" s="100"/>
      <c r="AM102" s="100"/>
      <c r="BH102" s="27">
        <v>1</v>
      </c>
    </row>
    <row r="103" spans="1:66" s="27" customFormat="1" x14ac:dyDescent="0.2">
      <c r="A103" s="38"/>
      <c r="B103" s="37"/>
      <c r="C103" s="36">
        <f t="shared" si="9"/>
        <v>-40</v>
      </c>
      <c r="D103" s="420" t="s">
        <v>2456</v>
      </c>
      <c r="E103" s="411">
        <f t="shared" si="13"/>
        <v>-1</v>
      </c>
      <c r="F103" s="35" t="s">
        <v>228</v>
      </c>
      <c r="P103" s="100"/>
      <c r="Q103" s="100"/>
      <c r="AC103" s="100"/>
      <c r="AD103" s="100"/>
      <c r="AE103" s="100"/>
      <c r="AF103" s="100"/>
      <c r="AG103" s="100"/>
      <c r="AH103" s="100"/>
      <c r="AI103" s="100"/>
      <c r="AK103" s="100"/>
      <c r="AM103" s="100"/>
      <c r="BI103" s="27">
        <v>-1</v>
      </c>
    </row>
    <row r="104" spans="1:66" s="27" customFormat="1" x14ac:dyDescent="0.2">
      <c r="A104" s="38"/>
      <c r="B104" s="37"/>
      <c r="C104" s="36">
        <f t="shared" si="9"/>
        <v>40</v>
      </c>
      <c r="D104" s="20" t="s">
        <v>2457</v>
      </c>
      <c r="E104" s="36">
        <f t="shared" si="13"/>
        <v>1</v>
      </c>
      <c r="F104" s="35" t="s">
        <v>228</v>
      </c>
      <c r="P104" s="100"/>
      <c r="Q104" s="100"/>
      <c r="AC104" s="100"/>
      <c r="AD104" s="100"/>
      <c r="AE104" s="100"/>
      <c r="AF104" s="100"/>
      <c r="AG104" s="100"/>
      <c r="AH104" s="100"/>
      <c r="AI104" s="100"/>
      <c r="AK104" s="100"/>
      <c r="AM104" s="100"/>
      <c r="BI104" s="27">
        <v>1</v>
      </c>
    </row>
    <row r="105" spans="1:66" s="27" customFormat="1" x14ac:dyDescent="0.2">
      <c r="A105" s="38"/>
      <c r="B105" s="37"/>
      <c r="C105" s="36">
        <f t="shared" si="9"/>
        <v>-40</v>
      </c>
      <c r="D105" s="420" t="s">
        <v>2837</v>
      </c>
      <c r="E105" s="411">
        <f t="shared" si="13"/>
        <v>-1</v>
      </c>
      <c r="F105" s="35" t="s">
        <v>228</v>
      </c>
      <c r="P105" s="100"/>
      <c r="Q105" s="100"/>
      <c r="AC105" s="100"/>
      <c r="AD105" s="100"/>
      <c r="AE105" s="100"/>
      <c r="AF105" s="100"/>
      <c r="AG105" s="100"/>
      <c r="AH105" s="100"/>
      <c r="AI105" s="100"/>
      <c r="AK105" s="100"/>
      <c r="AM105" s="100"/>
      <c r="BJ105" s="27">
        <v>-1</v>
      </c>
    </row>
    <row r="106" spans="1:66" s="27" customFormat="1" x14ac:dyDescent="0.2">
      <c r="A106" s="38"/>
      <c r="B106" s="37"/>
      <c r="C106" s="36">
        <f t="shared" si="9"/>
        <v>40</v>
      </c>
      <c r="D106" s="20" t="s">
        <v>2494</v>
      </c>
      <c r="E106" s="36">
        <f t="shared" si="13"/>
        <v>1</v>
      </c>
      <c r="F106" s="35" t="s">
        <v>228</v>
      </c>
      <c r="P106" s="100"/>
      <c r="Q106" s="100"/>
      <c r="AC106" s="100"/>
      <c r="AD106" s="100"/>
      <c r="AE106" s="100"/>
      <c r="AF106" s="100"/>
      <c r="AG106" s="100"/>
      <c r="AH106" s="100"/>
      <c r="AI106" s="100"/>
      <c r="AK106" s="100"/>
      <c r="AM106" s="100"/>
      <c r="BJ106" s="27">
        <v>1</v>
      </c>
    </row>
    <row r="107" spans="1:66" s="27" customFormat="1" x14ac:dyDescent="0.2">
      <c r="A107" s="38"/>
      <c r="B107" s="37"/>
      <c r="C107" s="36">
        <f t="shared" si="9"/>
        <v>-40</v>
      </c>
      <c r="D107" s="420" t="s">
        <v>2560</v>
      </c>
      <c r="E107" s="411">
        <f t="shared" si="13"/>
        <v>-1</v>
      </c>
      <c r="F107" s="35" t="s">
        <v>228</v>
      </c>
      <c r="P107" s="100"/>
      <c r="Q107" s="100"/>
      <c r="AC107" s="100"/>
      <c r="AD107" s="100"/>
      <c r="AE107" s="100"/>
      <c r="AF107" s="100"/>
      <c r="AG107" s="100"/>
      <c r="AH107" s="100"/>
      <c r="AI107" s="100"/>
      <c r="AK107" s="100"/>
      <c r="AM107" s="100"/>
      <c r="BK107" s="27">
        <v>-1</v>
      </c>
    </row>
    <row r="108" spans="1:66" s="27" customFormat="1" ht="25.5" x14ac:dyDescent="0.2">
      <c r="A108" s="38"/>
      <c r="B108" s="37"/>
      <c r="C108" s="36">
        <f t="shared" si="9"/>
        <v>40</v>
      </c>
      <c r="D108" s="20" t="s">
        <v>2561</v>
      </c>
      <c r="E108" s="36">
        <f t="shared" si="13"/>
        <v>1</v>
      </c>
      <c r="F108" s="35" t="s">
        <v>228</v>
      </c>
      <c r="P108" s="100"/>
      <c r="Q108" s="100"/>
      <c r="AC108" s="100"/>
      <c r="AD108" s="100"/>
      <c r="AE108" s="100"/>
      <c r="AF108" s="100"/>
      <c r="AG108" s="100"/>
      <c r="AH108" s="100"/>
      <c r="AI108" s="100"/>
      <c r="AK108" s="100"/>
      <c r="AM108" s="100"/>
      <c r="BK108" s="27">
        <v>1</v>
      </c>
    </row>
    <row r="109" spans="1:66" s="27" customFormat="1" x14ac:dyDescent="0.2">
      <c r="A109" s="38"/>
      <c r="B109" s="37"/>
      <c r="C109" s="36">
        <f t="shared" si="9"/>
        <v>-40</v>
      </c>
      <c r="D109" s="420" t="s">
        <v>2597</v>
      </c>
      <c r="E109" s="411">
        <f t="shared" si="13"/>
        <v>-1</v>
      </c>
      <c r="F109" s="35" t="s">
        <v>228</v>
      </c>
      <c r="P109" s="100"/>
      <c r="Q109" s="100"/>
      <c r="AC109" s="100"/>
      <c r="AD109" s="100"/>
      <c r="AE109" s="100"/>
      <c r="AF109" s="100"/>
      <c r="AG109" s="100"/>
      <c r="AH109" s="100"/>
      <c r="AI109" s="100"/>
      <c r="AK109" s="100"/>
      <c r="AM109" s="100"/>
      <c r="BL109" s="27">
        <v>-1</v>
      </c>
    </row>
    <row r="110" spans="1:66" s="27" customFormat="1" x14ac:dyDescent="0.2">
      <c r="A110" s="38"/>
      <c r="B110" s="37"/>
      <c r="C110" s="36">
        <f t="shared" si="9"/>
        <v>0</v>
      </c>
      <c r="D110" s="20" t="s">
        <v>2598</v>
      </c>
      <c r="E110" s="36">
        <f t="shared" si="13"/>
        <v>0</v>
      </c>
      <c r="F110" s="35" t="s">
        <v>228</v>
      </c>
      <c r="P110" s="100"/>
      <c r="Q110" s="100"/>
      <c r="AC110" s="100"/>
      <c r="AD110" s="100"/>
      <c r="AE110" s="100"/>
      <c r="AF110" s="100"/>
      <c r="AG110" s="100"/>
      <c r="AH110" s="100"/>
      <c r="AI110" s="100"/>
      <c r="AK110" s="100"/>
      <c r="AM110" s="100"/>
      <c r="BL110" s="27">
        <v>1</v>
      </c>
      <c r="BM110" s="27">
        <v>-1</v>
      </c>
    </row>
    <row r="111" spans="1:66" s="27" customFormat="1" x14ac:dyDescent="0.2">
      <c r="A111" s="38"/>
      <c r="B111" s="37" t="s">
        <v>167</v>
      </c>
      <c r="C111" s="36">
        <f t="shared" si="9"/>
        <v>40</v>
      </c>
      <c r="D111" s="20" t="s">
        <v>185</v>
      </c>
      <c r="E111" s="36">
        <f t="shared" si="13"/>
        <v>1</v>
      </c>
      <c r="F111" s="35" t="s">
        <v>228</v>
      </c>
      <c r="P111" s="100"/>
      <c r="Q111" s="100"/>
      <c r="AC111" s="100"/>
      <c r="AD111" s="100"/>
      <c r="AE111" s="100"/>
      <c r="AF111" s="100"/>
      <c r="AG111" s="100"/>
      <c r="AH111" s="100"/>
      <c r="AI111" s="100"/>
      <c r="AK111" s="100"/>
      <c r="AM111" s="100"/>
      <c r="BM111" s="27">
        <v>1</v>
      </c>
    </row>
    <row r="112" spans="1:66" s="27" customFormat="1" x14ac:dyDescent="0.2">
      <c r="A112" s="38"/>
      <c r="B112" s="37"/>
      <c r="C112" s="36">
        <f t="shared" si="9"/>
        <v>-40</v>
      </c>
      <c r="D112" s="420" t="s">
        <v>441</v>
      </c>
      <c r="E112" s="411">
        <f t="shared" si="13"/>
        <v>-1</v>
      </c>
      <c r="F112" s="35" t="s">
        <v>228</v>
      </c>
      <c r="P112" s="100"/>
      <c r="Q112" s="100"/>
      <c r="AC112" s="100"/>
      <c r="AD112" s="100"/>
      <c r="AE112" s="100"/>
      <c r="AF112" s="100"/>
      <c r="AG112" s="100"/>
      <c r="AH112" s="100"/>
      <c r="AI112" s="100"/>
      <c r="AK112" s="100"/>
      <c r="AM112" s="100"/>
      <c r="BN112" s="27">
        <v>-1</v>
      </c>
    </row>
    <row r="113" spans="1:70" s="27" customFormat="1" x14ac:dyDescent="0.2">
      <c r="A113" s="38"/>
      <c r="B113" s="37"/>
      <c r="C113" s="36">
        <f t="shared" si="9"/>
        <v>40</v>
      </c>
      <c r="D113" s="20" t="s">
        <v>479</v>
      </c>
      <c r="E113" s="36">
        <f t="shared" si="13"/>
        <v>1</v>
      </c>
      <c r="F113" s="35" t="s">
        <v>228</v>
      </c>
      <c r="P113" s="100"/>
      <c r="Q113" s="100"/>
      <c r="AC113" s="100"/>
      <c r="AD113" s="100"/>
      <c r="AE113" s="100"/>
      <c r="AF113" s="100"/>
      <c r="AG113" s="100"/>
      <c r="AH113" s="100"/>
      <c r="AI113" s="100"/>
      <c r="AK113" s="100"/>
      <c r="AM113" s="100"/>
      <c r="BN113" s="27">
        <v>1</v>
      </c>
    </row>
    <row r="114" spans="1:70" s="27" customFormat="1" x14ac:dyDescent="0.2">
      <c r="A114" s="38"/>
      <c r="B114" s="37"/>
      <c r="C114" s="36">
        <f t="shared" si="9"/>
        <v>-40</v>
      </c>
      <c r="D114" s="420" t="s">
        <v>611</v>
      </c>
      <c r="E114" s="411">
        <f t="shared" si="13"/>
        <v>-1</v>
      </c>
      <c r="F114" s="35" t="s">
        <v>228</v>
      </c>
      <c r="P114" s="100"/>
      <c r="Q114" s="100"/>
      <c r="AC114" s="100"/>
      <c r="AD114" s="100"/>
      <c r="AE114" s="100"/>
      <c r="AF114" s="100"/>
      <c r="AG114" s="100"/>
      <c r="AH114" s="100"/>
      <c r="AI114" s="100"/>
      <c r="AK114" s="100"/>
      <c r="AM114" s="100"/>
      <c r="BO114" s="27">
        <v>-1</v>
      </c>
    </row>
    <row r="115" spans="1:70" s="27" customFormat="1" x14ac:dyDescent="0.2">
      <c r="A115" s="38"/>
      <c r="B115" s="37"/>
      <c r="C115" s="36">
        <f t="shared" si="9"/>
        <v>-20</v>
      </c>
      <c r="D115" s="420" t="s">
        <v>598</v>
      </c>
      <c r="E115" s="411">
        <f t="shared" si="13"/>
        <v>-0.5</v>
      </c>
      <c r="F115" s="35" t="s">
        <v>228</v>
      </c>
      <c r="P115" s="100"/>
      <c r="Q115" s="100"/>
      <c r="AC115" s="100"/>
      <c r="AD115" s="100"/>
      <c r="AE115" s="100"/>
      <c r="AF115" s="100"/>
      <c r="AG115" s="100"/>
      <c r="AH115" s="100"/>
      <c r="AI115" s="100"/>
      <c r="AK115" s="100"/>
      <c r="AM115" s="100"/>
      <c r="BP115" s="27">
        <v>-0.5</v>
      </c>
    </row>
    <row r="116" spans="1:70" s="27" customFormat="1" ht="25.5" x14ac:dyDescent="0.2">
      <c r="A116" s="38"/>
      <c r="B116" s="37"/>
      <c r="C116" s="36">
        <f t="shared" si="9"/>
        <v>-40</v>
      </c>
      <c r="D116" s="420" t="s">
        <v>2900</v>
      </c>
      <c r="E116" s="411">
        <f t="shared" si="13"/>
        <v>-1</v>
      </c>
      <c r="F116" s="35" t="s">
        <v>228</v>
      </c>
      <c r="P116" s="100"/>
      <c r="Q116" s="100"/>
      <c r="AC116" s="100"/>
      <c r="AD116" s="100"/>
      <c r="AE116" s="100"/>
      <c r="AF116" s="100"/>
      <c r="AG116" s="100"/>
      <c r="AH116" s="100"/>
      <c r="AI116" s="100"/>
      <c r="AK116" s="100"/>
      <c r="AM116" s="100"/>
      <c r="BQ116" s="27">
        <v>-1</v>
      </c>
    </row>
    <row r="117" spans="1:70" s="27" customFormat="1" x14ac:dyDescent="0.2">
      <c r="A117" s="38"/>
      <c r="B117" s="37"/>
      <c r="C117" s="36">
        <f t="shared" si="9"/>
        <v>10</v>
      </c>
      <c r="D117" s="20" t="s">
        <v>2707</v>
      </c>
      <c r="E117" s="36">
        <f t="shared" si="13"/>
        <v>0.25</v>
      </c>
      <c r="F117" s="35" t="s">
        <v>228</v>
      </c>
      <c r="P117" s="100"/>
      <c r="Q117" s="100"/>
      <c r="AC117" s="100"/>
      <c r="AD117" s="100"/>
      <c r="AE117" s="100"/>
      <c r="AF117" s="100"/>
      <c r="AG117" s="100"/>
      <c r="AH117" s="100"/>
      <c r="AI117" s="100"/>
      <c r="AK117" s="100"/>
      <c r="AM117" s="100"/>
      <c r="BQ117" s="27">
        <v>0.25</v>
      </c>
    </row>
    <row r="118" spans="1:70" s="27" customFormat="1" x14ac:dyDescent="0.2">
      <c r="A118" s="38"/>
      <c r="B118" s="37"/>
      <c r="C118" s="36">
        <f t="shared" si="9"/>
        <v>10</v>
      </c>
      <c r="D118" s="20" t="s">
        <v>2708</v>
      </c>
      <c r="E118" s="36">
        <f t="shared" si="13"/>
        <v>0.25</v>
      </c>
      <c r="F118" s="35" t="s">
        <v>228</v>
      </c>
      <c r="P118" s="100"/>
      <c r="Q118" s="100"/>
      <c r="AC118" s="100"/>
      <c r="AD118" s="100"/>
      <c r="AE118" s="100"/>
      <c r="AF118" s="100"/>
      <c r="AG118" s="100"/>
      <c r="AH118" s="100"/>
      <c r="AI118" s="100"/>
      <c r="AK118" s="100"/>
      <c r="AM118" s="100"/>
      <c r="BQ118" s="27">
        <v>0.25</v>
      </c>
    </row>
    <row r="119" spans="1:70" s="27" customFormat="1" x14ac:dyDescent="0.2">
      <c r="A119" s="38"/>
      <c r="B119" s="37"/>
      <c r="C119" s="36">
        <f t="shared" ref="C119:C182" si="14">E119*D$5</f>
        <v>10</v>
      </c>
      <c r="D119" s="20" t="s">
        <v>209</v>
      </c>
      <c r="E119" s="36">
        <f t="shared" si="13"/>
        <v>0.25</v>
      </c>
      <c r="F119" s="35" t="s">
        <v>228</v>
      </c>
      <c r="P119" s="100"/>
      <c r="Q119" s="100"/>
      <c r="AC119" s="100"/>
      <c r="AD119" s="100"/>
      <c r="AE119" s="100"/>
      <c r="AF119" s="100"/>
      <c r="AG119" s="100"/>
      <c r="AH119" s="100"/>
      <c r="AI119" s="100"/>
      <c r="AK119" s="100"/>
      <c r="AM119" s="100"/>
      <c r="BQ119" s="27">
        <v>0.25</v>
      </c>
    </row>
    <row r="120" spans="1:70" s="27" customFormat="1" x14ac:dyDescent="0.2">
      <c r="A120" s="38"/>
      <c r="B120" s="37"/>
      <c r="C120" s="36">
        <f t="shared" si="14"/>
        <v>-40</v>
      </c>
      <c r="D120" s="420" t="s">
        <v>106</v>
      </c>
      <c r="E120" s="411">
        <f t="shared" si="13"/>
        <v>-1</v>
      </c>
      <c r="F120" s="35" t="s">
        <v>228</v>
      </c>
      <c r="P120" s="100"/>
      <c r="Q120" s="100"/>
      <c r="AC120" s="100"/>
      <c r="AD120" s="100"/>
      <c r="AE120" s="100"/>
      <c r="AF120" s="100"/>
      <c r="AG120" s="100"/>
      <c r="AH120" s="100"/>
      <c r="AI120" s="100"/>
      <c r="AK120" s="100"/>
      <c r="AM120" s="100"/>
      <c r="BR120" s="27">
        <v>-1</v>
      </c>
    </row>
    <row r="121" spans="1:70" s="27" customFormat="1" x14ac:dyDescent="0.2">
      <c r="A121" s="38"/>
      <c r="B121" s="37"/>
      <c r="C121" s="36">
        <f t="shared" si="14"/>
        <v>40</v>
      </c>
      <c r="D121" s="20" t="s">
        <v>436</v>
      </c>
      <c r="E121" s="36">
        <f t="shared" si="13"/>
        <v>1</v>
      </c>
      <c r="F121" s="35" t="s">
        <v>228</v>
      </c>
      <c r="P121" s="100"/>
      <c r="Q121" s="100"/>
      <c r="AC121" s="100"/>
      <c r="AD121" s="100"/>
      <c r="AE121" s="100"/>
      <c r="AF121" s="100"/>
      <c r="AG121" s="100"/>
      <c r="AH121" s="100"/>
      <c r="AI121" s="100"/>
      <c r="AK121" s="100"/>
      <c r="AM121" s="100"/>
      <c r="BR121" s="27">
        <v>1</v>
      </c>
    </row>
    <row r="122" spans="1:70" s="27" customFormat="1" x14ac:dyDescent="0.2">
      <c r="A122" s="38"/>
      <c r="B122" s="37"/>
      <c r="C122" s="36">
        <f t="shared" si="14"/>
        <v>0</v>
      </c>
      <c r="D122" s="20"/>
      <c r="E122" s="36">
        <f t="shared" si="13"/>
        <v>0</v>
      </c>
      <c r="P122" s="100"/>
      <c r="Q122" s="100"/>
      <c r="AC122" s="100"/>
      <c r="AD122" s="100"/>
      <c r="AE122" s="100"/>
      <c r="AF122" s="100"/>
      <c r="AG122" s="100"/>
      <c r="AH122" s="100"/>
      <c r="AI122" s="100"/>
      <c r="AK122" s="100"/>
      <c r="AM122" s="100"/>
    </row>
    <row r="123" spans="1:70" s="27" customFormat="1" x14ac:dyDescent="0.2">
      <c r="A123" s="38"/>
      <c r="B123" s="37"/>
      <c r="C123" s="36">
        <f t="shared" si="14"/>
        <v>0</v>
      </c>
      <c r="D123" s="20"/>
      <c r="E123" s="36">
        <f t="shared" si="13"/>
        <v>0</v>
      </c>
      <c r="P123" s="100"/>
      <c r="Q123" s="100"/>
      <c r="AC123" s="100"/>
      <c r="AD123" s="100"/>
      <c r="AE123" s="100"/>
      <c r="AF123" s="100"/>
      <c r="AG123" s="100"/>
      <c r="AH123" s="100"/>
      <c r="AI123" s="100"/>
      <c r="AK123" s="100"/>
      <c r="AM123" s="100"/>
    </row>
    <row r="124" spans="1:70" s="27" customFormat="1" x14ac:dyDescent="0.2">
      <c r="A124" s="38"/>
      <c r="B124" s="37"/>
      <c r="C124" s="36">
        <f t="shared" si="14"/>
        <v>0</v>
      </c>
      <c r="D124" s="20"/>
      <c r="E124" s="36">
        <f t="shared" si="13"/>
        <v>0</v>
      </c>
      <c r="P124" s="100"/>
      <c r="Q124" s="100"/>
      <c r="AC124" s="100"/>
      <c r="AD124" s="100"/>
      <c r="AE124" s="100"/>
      <c r="AF124" s="100"/>
      <c r="AG124" s="100"/>
      <c r="AH124" s="100"/>
      <c r="AI124" s="100"/>
      <c r="AK124" s="100"/>
      <c r="AM124" s="100"/>
    </row>
    <row r="125" spans="1:70" s="27" customFormat="1" x14ac:dyDescent="0.2">
      <c r="A125" s="38"/>
      <c r="B125" s="37"/>
      <c r="C125" s="36">
        <f t="shared" si="14"/>
        <v>0</v>
      </c>
      <c r="D125" s="20"/>
      <c r="E125" s="36">
        <f t="shared" si="13"/>
        <v>0</v>
      </c>
      <c r="P125" s="100"/>
      <c r="Q125" s="100"/>
      <c r="AC125" s="100"/>
      <c r="AD125" s="100"/>
      <c r="AE125" s="100"/>
      <c r="AF125" s="100"/>
      <c r="AG125" s="100"/>
      <c r="AH125" s="100"/>
      <c r="AI125" s="100"/>
      <c r="AK125" s="100"/>
      <c r="AM125" s="100"/>
    </row>
    <row r="126" spans="1:70" s="27" customFormat="1" x14ac:dyDescent="0.2">
      <c r="A126" s="38"/>
      <c r="B126" s="37"/>
      <c r="C126" s="36">
        <f t="shared" si="14"/>
        <v>0</v>
      </c>
      <c r="D126" s="20"/>
      <c r="E126" s="36">
        <f t="shared" si="13"/>
        <v>0</v>
      </c>
      <c r="P126" s="100"/>
      <c r="Q126" s="100"/>
      <c r="AC126" s="100"/>
      <c r="AD126" s="100"/>
      <c r="AE126" s="100"/>
      <c r="AF126" s="100"/>
      <c r="AG126" s="100"/>
      <c r="AH126" s="100"/>
      <c r="AI126" s="100"/>
      <c r="AK126" s="100"/>
      <c r="AM126" s="100"/>
    </row>
    <row r="127" spans="1:70" s="27" customFormat="1" x14ac:dyDescent="0.2">
      <c r="A127" s="38"/>
      <c r="B127" s="37"/>
      <c r="C127" s="36">
        <f t="shared" si="14"/>
        <v>0</v>
      </c>
      <c r="D127" s="20"/>
      <c r="E127" s="36">
        <f t="shared" si="13"/>
        <v>0</v>
      </c>
      <c r="P127" s="100"/>
      <c r="Q127" s="100"/>
      <c r="AC127" s="100"/>
      <c r="AD127" s="100"/>
      <c r="AE127" s="100"/>
      <c r="AF127" s="100"/>
      <c r="AG127" s="100"/>
      <c r="AH127" s="100"/>
      <c r="AI127" s="100"/>
      <c r="AK127" s="100"/>
      <c r="AM127" s="100"/>
    </row>
    <row r="128" spans="1:70" s="27" customFormat="1" x14ac:dyDescent="0.2">
      <c r="A128" s="38"/>
      <c r="B128" s="37"/>
      <c r="C128" s="36">
        <f t="shared" si="14"/>
        <v>0</v>
      </c>
      <c r="D128" s="20"/>
      <c r="E128" s="36">
        <f t="shared" si="13"/>
        <v>0</v>
      </c>
      <c r="P128" s="100"/>
      <c r="Q128" s="100"/>
      <c r="AC128" s="100"/>
      <c r="AD128" s="100"/>
      <c r="AE128" s="100"/>
      <c r="AF128" s="100"/>
      <c r="AG128" s="100"/>
      <c r="AH128" s="100"/>
      <c r="AI128" s="100"/>
      <c r="AK128" s="100"/>
      <c r="AM128" s="100"/>
    </row>
    <row r="129" spans="1:39" s="27" customFormat="1" x14ac:dyDescent="0.2">
      <c r="A129" s="38"/>
      <c r="B129" s="37"/>
      <c r="C129" s="36">
        <f t="shared" si="14"/>
        <v>0</v>
      </c>
      <c r="D129" s="20"/>
      <c r="E129" s="36">
        <f t="shared" si="13"/>
        <v>0</v>
      </c>
      <c r="P129" s="100"/>
      <c r="Q129" s="100"/>
      <c r="AC129" s="100"/>
      <c r="AD129" s="100"/>
      <c r="AE129" s="100"/>
      <c r="AF129" s="100"/>
      <c r="AG129" s="100"/>
      <c r="AH129" s="100"/>
      <c r="AI129" s="100"/>
      <c r="AK129" s="100"/>
      <c r="AM129" s="100"/>
    </row>
    <row r="130" spans="1:39" s="27" customFormat="1" x14ac:dyDescent="0.2">
      <c r="A130" s="38"/>
      <c r="B130" s="37"/>
      <c r="C130" s="36">
        <f t="shared" si="14"/>
        <v>0</v>
      </c>
      <c r="D130" s="20"/>
      <c r="E130" s="36">
        <f t="shared" si="13"/>
        <v>0</v>
      </c>
      <c r="P130" s="100"/>
      <c r="Q130" s="100"/>
      <c r="AC130" s="100"/>
      <c r="AD130" s="100"/>
      <c r="AE130" s="100"/>
      <c r="AF130" s="100"/>
      <c r="AG130" s="100"/>
      <c r="AH130" s="100"/>
      <c r="AI130" s="100"/>
      <c r="AK130" s="100"/>
      <c r="AM130" s="100"/>
    </row>
    <row r="131" spans="1:39" s="27" customFormat="1" x14ac:dyDescent="0.2">
      <c r="A131" s="38"/>
      <c r="B131" s="37"/>
      <c r="C131" s="36">
        <f t="shared" si="14"/>
        <v>0</v>
      </c>
      <c r="D131" s="20"/>
      <c r="E131" s="36">
        <f t="shared" si="13"/>
        <v>0</v>
      </c>
      <c r="P131" s="100"/>
      <c r="Q131" s="100"/>
      <c r="AC131" s="100"/>
      <c r="AD131" s="100"/>
      <c r="AE131" s="100"/>
      <c r="AF131" s="100"/>
      <c r="AG131" s="100"/>
      <c r="AH131" s="100"/>
      <c r="AI131" s="100"/>
      <c r="AK131" s="100"/>
      <c r="AM131" s="100"/>
    </row>
    <row r="132" spans="1:39" s="27" customFormat="1" x14ac:dyDescent="0.2">
      <c r="A132" s="38"/>
      <c r="B132" s="37"/>
      <c r="C132" s="36">
        <f t="shared" si="14"/>
        <v>0</v>
      </c>
      <c r="D132" s="20"/>
      <c r="E132" s="36">
        <f t="shared" si="13"/>
        <v>0</v>
      </c>
      <c r="P132" s="100"/>
      <c r="Q132" s="100"/>
      <c r="AC132" s="100"/>
      <c r="AD132" s="100"/>
      <c r="AE132" s="100"/>
      <c r="AF132" s="100"/>
      <c r="AG132" s="100"/>
      <c r="AH132" s="100"/>
      <c r="AI132" s="100"/>
      <c r="AK132" s="100"/>
      <c r="AM132" s="100"/>
    </row>
    <row r="133" spans="1:39" s="27" customFormat="1" x14ac:dyDescent="0.2">
      <c r="A133" s="38"/>
      <c r="B133" s="37"/>
      <c r="C133" s="36">
        <f t="shared" si="14"/>
        <v>0</v>
      </c>
      <c r="D133" s="20"/>
      <c r="E133" s="36">
        <f t="shared" si="13"/>
        <v>0</v>
      </c>
      <c r="P133" s="100"/>
      <c r="Q133" s="100"/>
      <c r="AC133" s="100"/>
      <c r="AD133" s="100"/>
      <c r="AE133" s="100"/>
      <c r="AF133" s="100"/>
      <c r="AG133" s="100"/>
      <c r="AH133" s="100"/>
      <c r="AI133" s="100"/>
      <c r="AK133" s="100"/>
      <c r="AM133" s="100"/>
    </row>
    <row r="134" spans="1:39" s="27" customFormat="1" x14ac:dyDescent="0.2">
      <c r="A134" s="38"/>
      <c r="B134" s="37"/>
      <c r="C134" s="36">
        <f t="shared" si="14"/>
        <v>0</v>
      </c>
      <c r="D134" s="20"/>
      <c r="E134" s="36">
        <f t="shared" si="13"/>
        <v>0</v>
      </c>
      <c r="P134" s="100"/>
      <c r="Q134" s="100"/>
      <c r="AC134" s="100"/>
      <c r="AD134" s="100"/>
      <c r="AE134" s="100"/>
      <c r="AF134" s="100"/>
      <c r="AG134" s="100"/>
      <c r="AH134" s="100"/>
      <c r="AI134" s="100"/>
      <c r="AK134" s="100"/>
      <c r="AM134" s="100"/>
    </row>
    <row r="135" spans="1:39" s="27" customFormat="1" x14ac:dyDescent="0.2">
      <c r="A135" s="38"/>
      <c r="B135" s="37"/>
      <c r="C135" s="36">
        <f t="shared" si="14"/>
        <v>0</v>
      </c>
      <c r="D135" s="20"/>
      <c r="E135" s="36">
        <f t="shared" si="13"/>
        <v>0</v>
      </c>
      <c r="P135" s="100"/>
      <c r="Q135" s="100"/>
      <c r="AC135" s="100"/>
      <c r="AD135" s="100"/>
      <c r="AE135" s="100"/>
      <c r="AF135" s="100"/>
      <c r="AG135" s="100"/>
      <c r="AH135" s="100"/>
      <c r="AI135" s="100"/>
      <c r="AK135" s="100"/>
      <c r="AM135" s="100"/>
    </row>
    <row r="136" spans="1:39" s="27" customFormat="1" x14ac:dyDescent="0.2">
      <c r="A136" s="38"/>
      <c r="B136" s="37"/>
      <c r="C136" s="36">
        <f t="shared" si="14"/>
        <v>0</v>
      </c>
      <c r="D136" s="20"/>
      <c r="E136" s="36">
        <f t="shared" si="13"/>
        <v>0</v>
      </c>
      <c r="P136" s="100"/>
      <c r="Q136" s="100"/>
      <c r="AC136" s="100"/>
      <c r="AD136" s="100"/>
      <c r="AE136" s="100"/>
      <c r="AF136" s="100"/>
      <c r="AG136" s="100"/>
      <c r="AH136" s="100"/>
      <c r="AI136" s="100"/>
      <c r="AK136" s="100"/>
      <c r="AM136" s="100"/>
    </row>
    <row r="137" spans="1:39" s="27" customFormat="1" x14ac:dyDescent="0.2">
      <c r="A137" s="38"/>
      <c r="B137" s="37"/>
      <c r="C137" s="36">
        <f t="shared" si="14"/>
        <v>0</v>
      </c>
      <c r="D137" s="20"/>
      <c r="E137" s="36">
        <f t="shared" si="13"/>
        <v>0</v>
      </c>
      <c r="P137" s="100"/>
      <c r="Q137" s="100"/>
      <c r="AC137" s="100"/>
      <c r="AD137" s="100"/>
      <c r="AE137" s="100"/>
      <c r="AF137" s="100"/>
      <c r="AG137" s="100"/>
      <c r="AH137" s="100"/>
      <c r="AI137" s="100"/>
      <c r="AK137" s="100"/>
      <c r="AM137" s="100"/>
    </row>
    <row r="138" spans="1:39" s="27" customFormat="1" x14ac:dyDescent="0.2">
      <c r="A138" s="38"/>
      <c r="B138" s="37"/>
      <c r="C138" s="36">
        <f t="shared" si="14"/>
        <v>0</v>
      </c>
      <c r="D138" s="20"/>
      <c r="E138" s="36">
        <f t="shared" si="13"/>
        <v>0</v>
      </c>
      <c r="P138" s="100"/>
      <c r="Q138" s="100"/>
      <c r="AC138" s="100"/>
      <c r="AD138" s="100"/>
      <c r="AE138" s="100"/>
      <c r="AF138" s="100"/>
      <c r="AG138" s="100"/>
      <c r="AH138" s="100"/>
      <c r="AI138" s="100"/>
      <c r="AK138" s="100"/>
      <c r="AM138" s="100"/>
    </row>
    <row r="139" spans="1:39" s="27" customFormat="1" x14ac:dyDescent="0.2">
      <c r="A139" s="38"/>
      <c r="B139" s="37"/>
      <c r="C139" s="36">
        <f t="shared" si="14"/>
        <v>0</v>
      </c>
      <c r="D139" s="20"/>
      <c r="E139" s="36">
        <f t="shared" ref="E139:E195" si="15">SUM(G139:HS139)</f>
        <v>0</v>
      </c>
      <c r="P139" s="100"/>
      <c r="Q139" s="100"/>
      <c r="AC139" s="100"/>
      <c r="AD139" s="100"/>
      <c r="AE139" s="100"/>
      <c r="AF139" s="100"/>
      <c r="AG139" s="100"/>
      <c r="AH139" s="100"/>
      <c r="AI139" s="100"/>
      <c r="AK139" s="100"/>
      <c r="AM139" s="100"/>
    </row>
    <row r="140" spans="1:39" s="27" customFormat="1" x14ac:dyDescent="0.2">
      <c r="A140" s="38"/>
      <c r="B140" s="37"/>
      <c r="C140" s="36">
        <f t="shared" si="14"/>
        <v>0</v>
      </c>
      <c r="D140" s="20"/>
      <c r="E140" s="36">
        <f t="shared" si="15"/>
        <v>0</v>
      </c>
      <c r="P140" s="100"/>
      <c r="Q140" s="100"/>
      <c r="AC140" s="100"/>
      <c r="AD140" s="100"/>
      <c r="AE140" s="100"/>
      <c r="AF140" s="100"/>
      <c r="AG140" s="100"/>
      <c r="AH140" s="100"/>
      <c r="AI140" s="100"/>
      <c r="AK140" s="100"/>
      <c r="AM140" s="100"/>
    </row>
    <row r="141" spans="1:39" s="27" customFormat="1" x14ac:dyDescent="0.2">
      <c r="A141" s="38"/>
      <c r="B141" s="37"/>
      <c r="C141" s="36">
        <f t="shared" si="14"/>
        <v>0</v>
      </c>
      <c r="D141" s="20"/>
      <c r="E141" s="36">
        <f t="shared" si="15"/>
        <v>0</v>
      </c>
      <c r="P141" s="100"/>
      <c r="Q141" s="100"/>
      <c r="AC141" s="100"/>
      <c r="AD141" s="100"/>
      <c r="AE141" s="100"/>
      <c r="AF141" s="100"/>
      <c r="AG141" s="100"/>
      <c r="AH141" s="100"/>
      <c r="AI141" s="100"/>
      <c r="AK141" s="100"/>
      <c r="AM141" s="100"/>
    </row>
    <row r="142" spans="1:39" s="27" customFormat="1" x14ac:dyDescent="0.2">
      <c r="A142" s="38"/>
      <c r="B142" s="37"/>
      <c r="C142" s="36">
        <f t="shared" si="14"/>
        <v>0</v>
      </c>
      <c r="D142" s="20"/>
      <c r="E142" s="36">
        <f t="shared" si="15"/>
        <v>0</v>
      </c>
      <c r="P142" s="100"/>
      <c r="Q142" s="100"/>
      <c r="AC142" s="100"/>
      <c r="AD142" s="100"/>
      <c r="AE142" s="100"/>
      <c r="AF142" s="100"/>
      <c r="AG142" s="100"/>
      <c r="AH142" s="100"/>
      <c r="AI142" s="100"/>
      <c r="AK142" s="100"/>
      <c r="AM142" s="100"/>
    </row>
    <row r="143" spans="1:39" s="27" customFormat="1" x14ac:dyDescent="0.2">
      <c r="A143" s="38"/>
      <c r="B143" s="37"/>
      <c r="C143" s="36">
        <f t="shared" si="14"/>
        <v>0</v>
      </c>
      <c r="D143" s="20"/>
      <c r="E143" s="36">
        <f t="shared" si="15"/>
        <v>0</v>
      </c>
      <c r="P143" s="100"/>
      <c r="Q143" s="100"/>
      <c r="AC143" s="100"/>
      <c r="AD143" s="100"/>
      <c r="AE143" s="100"/>
      <c r="AF143" s="100"/>
      <c r="AG143" s="100"/>
      <c r="AH143" s="100"/>
      <c r="AI143" s="100"/>
      <c r="AK143" s="100"/>
      <c r="AM143" s="100"/>
    </row>
    <row r="144" spans="1:39" s="27" customFormat="1" x14ac:dyDescent="0.2">
      <c r="A144" s="38"/>
      <c r="B144" s="37"/>
      <c r="C144" s="36">
        <f t="shared" si="14"/>
        <v>0</v>
      </c>
      <c r="D144" s="20"/>
      <c r="E144" s="36">
        <f t="shared" si="15"/>
        <v>0</v>
      </c>
      <c r="P144" s="100"/>
      <c r="Q144" s="100"/>
      <c r="AC144" s="100"/>
      <c r="AD144" s="100"/>
      <c r="AE144" s="100"/>
      <c r="AF144" s="100"/>
      <c r="AG144" s="100"/>
      <c r="AH144" s="100"/>
      <c r="AI144" s="100"/>
      <c r="AK144" s="100"/>
      <c r="AM144" s="100"/>
    </row>
    <row r="145" spans="1:39" s="27" customFormat="1" x14ac:dyDescent="0.2">
      <c r="A145" s="38"/>
      <c r="B145" s="37"/>
      <c r="C145" s="36">
        <f t="shared" si="14"/>
        <v>0</v>
      </c>
      <c r="D145" s="20"/>
      <c r="E145" s="36">
        <f t="shared" si="15"/>
        <v>0</v>
      </c>
      <c r="P145" s="100"/>
      <c r="Q145" s="100"/>
      <c r="AC145" s="100"/>
      <c r="AD145" s="100"/>
      <c r="AE145" s="100"/>
      <c r="AF145" s="100"/>
      <c r="AG145" s="100"/>
      <c r="AH145" s="100"/>
      <c r="AI145" s="100"/>
      <c r="AK145" s="100"/>
      <c r="AM145" s="100"/>
    </row>
    <row r="146" spans="1:39" s="27" customFormat="1" x14ac:dyDescent="0.2">
      <c r="A146" s="38"/>
      <c r="B146" s="37"/>
      <c r="C146" s="36">
        <f t="shared" si="14"/>
        <v>0</v>
      </c>
      <c r="D146" s="20"/>
      <c r="E146" s="36">
        <f t="shared" si="15"/>
        <v>0</v>
      </c>
      <c r="P146" s="100"/>
      <c r="Q146" s="100"/>
      <c r="AC146" s="100"/>
      <c r="AD146" s="100"/>
      <c r="AE146" s="100"/>
      <c r="AF146" s="100"/>
      <c r="AG146" s="100"/>
      <c r="AH146" s="100"/>
      <c r="AI146" s="100"/>
      <c r="AK146" s="100"/>
      <c r="AM146" s="100"/>
    </row>
    <row r="147" spans="1:39" s="27" customFormat="1" x14ac:dyDescent="0.2">
      <c r="A147" s="38"/>
      <c r="B147" s="37"/>
      <c r="C147" s="36">
        <f t="shared" si="14"/>
        <v>0</v>
      </c>
      <c r="D147" s="20"/>
      <c r="E147" s="36">
        <f t="shared" si="15"/>
        <v>0</v>
      </c>
      <c r="P147" s="100"/>
      <c r="Q147" s="100"/>
      <c r="AC147" s="100"/>
      <c r="AD147" s="100"/>
      <c r="AE147" s="100"/>
      <c r="AF147" s="100"/>
      <c r="AG147" s="100"/>
      <c r="AH147" s="100"/>
      <c r="AI147" s="100"/>
      <c r="AK147" s="100"/>
      <c r="AM147" s="100"/>
    </row>
    <row r="148" spans="1:39" s="27" customFormat="1" x14ac:dyDescent="0.2">
      <c r="A148" s="38"/>
      <c r="B148" s="37"/>
      <c r="C148" s="36">
        <f t="shared" si="14"/>
        <v>0</v>
      </c>
      <c r="D148" s="20"/>
      <c r="E148" s="36">
        <f t="shared" si="15"/>
        <v>0</v>
      </c>
      <c r="P148" s="100"/>
      <c r="Q148" s="100"/>
      <c r="AC148" s="100"/>
      <c r="AD148" s="100"/>
      <c r="AE148" s="100"/>
      <c r="AF148" s="100"/>
      <c r="AG148" s="100"/>
      <c r="AH148" s="100"/>
      <c r="AI148" s="100"/>
      <c r="AK148" s="100"/>
      <c r="AM148" s="100"/>
    </row>
    <row r="149" spans="1:39" s="27" customFormat="1" x14ac:dyDescent="0.2">
      <c r="A149" s="38"/>
      <c r="B149" s="37"/>
      <c r="C149" s="36">
        <f t="shared" si="14"/>
        <v>0</v>
      </c>
      <c r="D149" s="20"/>
      <c r="E149" s="36">
        <f t="shared" si="15"/>
        <v>0</v>
      </c>
      <c r="P149" s="100"/>
      <c r="Q149" s="100"/>
      <c r="AC149" s="100"/>
      <c r="AD149" s="100"/>
      <c r="AE149" s="100"/>
      <c r="AF149" s="100"/>
      <c r="AG149" s="100"/>
      <c r="AH149" s="100"/>
      <c r="AI149" s="100"/>
      <c r="AK149" s="100"/>
      <c r="AM149" s="100"/>
    </row>
    <row r="150" spans="1:39" s="27" customFormat="1" x14ac:dyDescent="0.2">
      <c r="A150" s="38"/>
      <c r="B150" s="37"/>
      <c r="C150" s="36">
        <f t="shared" si="14"/>
        <v>0</v>
      </c>
      <c r="D150" s="20"/>
      <c r="E150" s="36">
        <f t="shared" si="15"/>
        <v>0</v>
      </c>
      <c r="P150" s="100"/>
      <c r="Q150" s="100"/>
      <c r="AC150" s="100"/>
      <c r="AD150" s="100"/>
      <c r="AE150" s="100"/>
      <c r="AF150" s="100"/>
      <c r="AG150" s="100"/>
      <c r="AH150" s="100"/>
      <c r="AI150" s="100"/>
      <c r="AK150" s="100"/>
      <c r="AM150" s="100"/>
    </row>
    <row r="151" spans="1:39" s="27" customFormat="1" x14ac:dyDescent="0.2">
      <c r="A151" s="38"/>
      <c r="B151" s="37"/>
      <c r="C151" s="36">
        <f t="shared" si="14"/>
        <v>0</v>
      </c>
      <c r="D151" s="20"/>
      <c r="E151" s="36">
        <f t="shared" si="15"/>
        <v>0</v>
      </c>
      <c r="P151" s="100"/>
      <c r="Q151" s="100"/>
      <c r="AC151" s="100"/>
      <c r="AD151" s="100"/>
      <c r="AE151" s="100"/>
      <c r="AF151" s="100"/>
      <c r="AG151" s="100"/>
      <c r="AH151" s="100"/>
      <c r="AI151" s="100"/>
      <c r="AK151" s="100"/>
      <c r="AM151" s="100"/>
    </row>
    <row r="152" spans="1:39" s="27" customFormat="1" x14ac:dyDescent="0.2">
      <c r="A152" s="38"/>
      <c r="B152" s="37"/>
      <c r="C152" s="36">
        <f t="shared" si="14"/>
        <v>0</v>
      </c>
      <c r="D152" s="20"/>
      <c r="E152" s="36">
        <f t="shared" si="15"/>
        <v>0</v>
      </c>
      <c r="P152" s="100"/>
      <c r="Q152" s="100"/>
      <c r="AC152" s="100"/>
      <c r="AD152" s="100"/>
      <c r="AE152" s="100"/>
      <c r="AF152" s="100"/>
      <c r="AG152" s="100"/>
      <c r="AH152" s="100"/>
      <c r="AI152" s="100"/>
      <c r="AK152" s="100"/>
      <c r="AM152" s="100"/>
    </row>
    <row r="153" spans="1:39" s="27" customFormat="1" x14ac:dyDescent="0.2">
      <c r="A153" s="38"/>
      <c r="B153" s="37"/>
      <c r="C153" s="36">
        <f t="shared" si="14"/>
        <v>0</v>
      </c>
      <c r="D153" s="20"/>
      <c r="E153" s="36">
        <f t="shared" si="15"/>
        <v>0</v>
      </c>
      <c r="P153" s="100"/>
      <c r="Q153" s="100"/>
      <c r="AC153" s="100"/>
      <c r="AD153" s="100"/>
      <c r="AE153" s="100"/>
      <c r="AF153" s="100"/>
      <c r="AG153" s="100"/>
      <c r="AH153" s="100"/>
      <c r="AI153" s="100"/>
      <c r="AK153" s="100"/>
      <c r="AM153" s="100"/>
    </row>
    <row r="154" spans="1:39" s="27" customFormat="1" x14ac:dyDescent="0.2">
      <c r="A154" s="38"/>
      <c r="B154" s="37"/>
      <c r="C154" s="36">
        <f t="shared" si="14"/>
        <v>0</v>
      </c>
      <c r="D154" s="20"/>
      <c r="E154" s="36">
        <f t="shared" si="15"/>
        <v>0</v>
      </c>
      <c r="P154" s="100"/>
      <c r="Q154" s="100"/>
      <c r="AC154" s="100"/>
      <c r="AD154" s="100"/>
      <c r="AE154" s="100"/>
      <c r="AF154" s="100"/>
      <c r="AG154" s="100"/>
      <c r="AH154" s="100"/>
      <c r="AI154" s="100"/>
      <c r="AK154" s="100"/>
      <c r="AM154" s="100"/>
    </row>
    <row r="155" spans="1:39" s="27" customFormat="1" x14ac:dyDescent="0.2">
      <c r="A155" s="38"/>
      <c r="B155" s="37"/>
      <c r="C155" s="36">
        <f t="shared" si="14"/>
        <v>0</v>
      </c>
      <c r="D155" s="20"/>
      <c r="E155" s="36">
        <f t="shared" si="15"/>
        <v>0</v>
      </c>
      <c r="P155" s="100"/>
      <c r="Q155" s="100"/>
      <c r="AC155" s="100"/>
      <c r="AD155" s="100"/>
      <c r="AE155" s="100"/>
      <c r="AF155" s="100"/>
      <c r="AG155" s="100"/>
      <c r="AH155" s="100"/>
      <c r="AI155" s="100"/>
      <c r="AK155" s="100"/>
      <c r="AM155" s="100"/>
    </row>
    <row r="156" spans="1:39" s="27" customFormat="1" x14ac:dyDescent="0.2">
      <c r="A156" s="38"/>
      <c r="B156" s="37"/>
      <c r="C156" s="36">
        <f t="shared" si="14"/>
        <v>0</v>
      </c>
      <c r="D156" s="20"/>
      <c r="E156" s="36">
        <f t="shared" si="15"/>
        <v>0</v>
      </c>
      <c r="P156" s="100"/>
      <c r="Q156" s="100"/>
      <c r="AC156" s="100"/>
      <c r="AD156" s="100"/>
      <c r="AE156" s="100"/>
      <c r="AF156" s="100"/>
      <c r="AG156" s="100"/>
      <c r="AH156" s="100"/>
      <c r="AI156" s="100"/>
      <c r="AK156" s="100"/>
      <c r="AM156" s="100"/>
    </row>
    <row r="157" spans="1:39" s="27" customFormat="1" x14ac:dyDescent="0.2">
      <c r="A157" s="38"/>
      <c r="B157" s="37"/>
      <c r="C157" s="36">
        <f t="shared" si="14"/>
        <v>0</v>
      </c>
      <c r="D157" s="20"/>
      <c r="E157" s="36">
        <f t="shared" si="15"/>
        <v>0</v>
      </c>
      <c r="P157" s="100"/>
      <c r="Q157" s="100"/>
      <c r="AC157" s="100"/>
      <c r="AD157" s="100"/>
      <c r="AE157" s="100"/>
      <c r="AF157" s="100"/>
      <c r="AG157" s="100"/>
      <c r="AH157" s="100"/>
      <c r="AI157" s="100"/>
      <c r="AK157" s="100"/>
      <c r="AM157" s="100"/>
    </row>
    <row r="158" spans="1:39" s="27" customFormat="1" x14ac:dyDescent="0.2">
      <c r="A158" s="38"/>
      <c r="B158" s="37"/>
      <c r="C158" s="36">
        <f t="shared" si="14"/>
        <v>0</v>
      </c>
      <c r="D158" s="20"/>
      <c r="E158" s="36">
        <f t="shared" si="15"/>
        <v>0</v>
      </c>
      <c r="P158" s="100"/>
      <c r="Q158" s="100"/>
      <c r="AC158" s="100"/>
      <c r="AD158" s="100"/>
      <c r="AE158" s="100"/>
      <c r="AF158" s="100"/>
      <c r="AG158" s="100"/>
      <c r="AH158" s="100"/>
      <c r="AI158" s="100"/>
      <c r="AK158" s="100"/>
      <c r="AM158" s="100"/>
    </row>
    <row r="159" spans="1:39" s="27" customFormat="1" x14ac:dyDescent="0.2">
      <c r="A159" s="38"/>
      <c r="B159" s="37"/>
      <c r="C159" s="36">
        <f t="shared" si="14"/>
        <v>0</v>
      </c>
      <c r="D159" s="20"/>
      <c r="E159" s="36">
        <f t="shared" si="15"/>
        <v>0</v>
      </c>
      <c r="P159" s="100"/>
      <c r="Q159" s="100"/>
      <c r="AC159" s="100"/>
      <c r="AD159" s="100"/>
      <c r="AE159" s="100"/>
      <c r="AF159" s="100"/>
      <c r="AG159" s="100"/>
      <c r="AH159" s="100"/>
      <c r="AI159" s="100"/>
      <c r="AK159" s="100"/>
      <c r="AM159" s="100"/>
    </row>
    <row r="160" spans="1:39" s="27" customFormat="1" x14ac:dyDescent="0.2">
      <c r="A160" s="38"/>
      <c r="B160" s="37"/>
      <c r="C160" s="36">
        <f t="shared" si="14"/>
        <v>0</v>
      </c>
      <c r="D160" s="20"/>
      <c r="E160" s="36">
        <f t="shared" si="15"/>
        <v>0</v>
      </c>
      <c r="P160" s="100"/>
      <c r="Q160" s="100"/>
      <c r="AC160" s="100"/>
      <c r="AD160" s="100"/>
      <c r="AE160" s="100"/>
      <c r="AF160" s="100"/>
      <c r="AG160" s="100"/>
      <c r="AH160" s="100"/>
      <c r="AI160" s="100"/>
      <c r="AK160" s="100"/>
      <c r="AM160" s="100"/>
    </row>
    <row r="161" spans="1:40" s="27" customFormat="1" x14ac:dyDescent="0.2">
      <c r="A161" s="38"/>
      <c r="B161" s="37"/>
      <c r="C161" s="36">
        <f t="shared" si="14"/>
        <v>0</v>
      </c>
      <c r="D161" s="20"/>
      <c r="E161" s="36">
        <f t="shared" si="15"/>
        <v>0</v>
      </c>
      <c r="P161" s="100"/>
      <c r="Q161" s="100"/>
      <c r="AC161" s="100"/>
      <c r="AD161" s="100"/>
      <c r="AE161" s="100"/>
      <c r="AF161" s="100"/>
      <c r="AG161" s="100"/>
      <c r="AH161" s="100"/>
      <c r="AI161" s="100"/>
      <c r="AK161" s="100"/>
      <c r="AM161" s="100"/>
    </row>
    <row r="162" spans="1:40" s="27" customFormat="1" x14ac:dyDescent="0.2">
      <c r="A162" s="38"/>
      <c r="B162" s="37"/>
      <c r="C162" s="36">
        <f t="shared" si="14"/>
        <v>0</v>
      </c>
      <c r="D162" s="20"/>
      <c r="E162" s="36">
        <f t="shared" si="15"/>
        <v>0</v>
      </c>
      <c r="P162" s="100"/>
      <c r="Q162" s="100"/>
      <c r="AC162" s="100"/>
      <c r="AD162" s="100"/>
      <c r="AE162" s="100"/>
      <c r="AF162" s="100"/>
      <c r="AG162" s="100"/>
      <c r="AH162" s="100"/>
      <c r="AI162" s="100"/>
      <c r="AK162" s="100"/>
      <c r="AM162" s="100"/>
    </row>
    <row r="163" spans="1:40" s="27" customFormat="1" x14ac:dyDescent="0.2">
      <c r="A163" s="38"/>
      <c r="B163" s="37"/>
      <c r="C163" s="36">
        <f t="shared" si="14"/>
        <v>0</v>
      </c>
      <c r="D163" s="20"/>
      <c r="E163" s="36">
        <f t="shared" si="15"/>
        <v>0</v>
      </c>
      <c r="P163" s="100"/>
      <c r="Q163" s="100"/>
      <c r="AC163" s="100"/>
      <c r="AD163" s="100"/>
      <c r="AE163" s="100"/>
      <c r="AF163" s="100"/>
      <c r="AG163" s="100"/>
      <c r="AH163" s="100"/>
      <c r="AI163" s="100"/>
      <c r="AK163" s="100"/>
      <c r="AM163" s="100"/>
    </row>
    <row r="164" spans="1:40" s="27" customFormat="1" x14ac:dyDescent="0.2">
      <c r="A164" s="38"/>
      <c r="B164" s="37"/>
      <c r="C164" s="36">
        <f t="shared" si="14"/>
        <v>0</v>
      </c>
      <c r="D164" s="20"/>
      <c r="E164" s="36">
        <f t="shared" si="15"/>
        <v>0</v>
      </c>
      <c r="P164" s="100"/>
      <c r="Q164" s="100"/>
      <c r="AC164" s="100"/>
      <c r="AD164" s="100"/>
      <c r="AE164" s="100"/>
      <c r="AF164" s="100"/>
      <c r="AG164" s="100"/>
      <c r="AH164" s="100"/>
      <c r="AI164" s="100"/>
      <c r="AK164" s="100"/>
      <c r="AM164" s="100"/>
    </row>
    <row r="165" spans="1:40" s="27" customFormat="1" x14ac:dyDescent="0.2">
      <c r="A165" s="38"/>
      <c r="B165" s="37"/>
      <c r="C165" s="36">
        <f t="shared" si="14"/>
        <v>0</v>
      </c>
      <c r="D165" s="20"/>
      <c r="E165" s="36">
        <f t="shared" si="15"/>
        <v>0</v>
      </c>
      <c r="P165" s="100"/>
      <c r="Q165" s="100"/>
      <c r="AC165" s="100"/>
      <c r="AD165" s="100"/>
      <c r="AE165" s="100"/>
      <c r="AF165" s="100"/>
      <c r="AG165" s="100"/>
      <c r="AH165" s="100"/>
      <c r="AI165" s="100"/>
      <c r="AK165" s="100"/>
      <c r="AM165" s="100"/>
    </row>
    <row r="166" spans="1:40" s="27" customFormat="1" x14ac:dyDescent="0.2">
      <c r="A166" s="38"/>
      <c r="B166" s="37"/>
      <c r="C166" s="36">
        <f t="shared" si="14"/>
        <v>0</v>
      </c>
      <c r="D166" s="20"/>
      <c r="E166" s="36">
        <f t="shared" si="15"/>
        <v>0</v>
      </c>
      <c r="P166" s="100"/>
      <c r="Q166" s="100"/>
      <c r="AC166" s="100"/>
      <c r="AD166" s="100"/>
      <c r="AE166" s="100"/>
      <c r="AF166" s="100"/>
      <c r="AG166" s="100"/>
      <c r="AH166" s="100"/>
      <c r="AI166" s="100"/>
      <c r="AK166" s="100"/>
      <c r="AM166" s="100"/>
    </row>
    <row r="167" spans="1:40" s="27" customFormat="1" x14ac:dyDescent="0.2">
      <c r="A167" s="38"/>
      <c r="B167" s="37"/>
      <c r="C167" s="36">
        <f t="shared" si="14"/>
        <v>0</v>
      </c>
      <c r="D167" s="20"/>
      <c r="E167" s="36">
        <f t="shared" si="15"/>
        <v>0</v>
      </c>
      <c r="P167" s="100"/>
      <c r="Q167" s="100"/>
      <c r="AC167" s="100"/>
      <c r="AD167" s="100"/>
      <c r="AE167" s="100"/>
      <c r="AF167" s="100"/>
      <c r="AG167" s="100"/>
      <c r="AH167" s="100"/>
      <c r="AI167" s="100"/>
      <c r="AK167" s="100"/>
      <c r="AM167" s="100"/>
    </row>
    <row r="168" spans="1:40" s="27" customFormat="1" x14ac:dyDescent="0.2">
      <c r="A168" s="38"/>
      <c r="B168" s="37"/>
      <c r="C168" s="36">
        <f t="shared" si="14"/>
        <v>0</v>
      </c>
      <c r="D168" s="20"/>
      <c r="E168" s="36">
        <f t="shared" si="15"/>
        <v>0</v>
      </c>
      <c r="P168" s="100"/>
      <c r="Q168" s="100"/>
      <c r="AC168" s="100"/>
      <c r="AD168" s="100"/>
      <c r="AE168" s="100"/>
      <c r="AF168" s="100"/>
      <c r="AG168" s="100"/>
      <c r="AH168" s="100"/>
      <c r="AI168" s="100"/>
      <c r="AK168" s="100"/>
      <c r="AM168" s="100"/>
    </row>
    <row r="169" spans="1:40" s="27" customFormat="1" x14ac:dyDescent="0.2">
      <c r="A169" s="38"/>
      <c r="B169" s="37"/>
      <c r="C169" s="36">
        <f t="shared" si="14"/>
        <v>0</v>
      </c>
      <c r="D169" s="20"/>
      <c r="E169" s="36">
        <f t="shared" si="15"/>
        <v>0</v>
      </c>
      <c r="P169" s="100"/>
      <c r="Q169" s="100"/>
      <c r="AC169" s="100"/>
      <c r="AD169" s="100"/>
      <c r="AE169" s="100"/>
      <c r="AF169" s="100"/>
      <c r="AG169" s="100"/>
      <c r="AH169" s="100"/>
      <c r="AI169" s="100"/>
      <c r="AK169" s="100"/>
      <c r="AM169" s="100"/>
    </row>
    <row r="170" spans="1:40" s="27" customFormat="1" x14ac:dyDescent="0.2">
      <c r="A170" s="38"/>
      <c r="B170" s="37"/>
      <c r="C170" s="36">
        <f t="shared" si="14"/>
        <v>0</v>
      </c>
      <c r="D170" s="20"/>
      <c r="E170" s="36">
        <f t="shared" si="15"/>
        <v>0</v>
      </c>
      <c r="P170" s="100"/>
      <c r="Q170" s="100"/>
      <c r="AC170" s="100"/>
      <c r="AD170" s="100"/>
      <c r="AE170" s="100"/>
      <c r="AF170" s="100"/>
      <c r="AG170" s="100"/>
      <c r="AH170" s="100"/>
      <c r="AI170" s="100"/>
      <c r="AK170" s="100"/>
      <c r="AM170" s="100"/>
    </row>
    <row r="171" spans="1:40" s="27" customFormat="1" x14ac:dyDescent="0.2">
      <c r="A171" s="38"/>
      <c r="B171" s="37"/>
      <c r="C171" s="36">
        <f t="shared" si="14"/>
        <v>0</v>
      </c>
      <c r="D171" s="20"/>
      <c r="E171" s="36">
        <f t="shared" si="15"/>
        <v>0</v>
      </c>
      <c r="Q171" s="100"/>
      <c r="R171" s="100"/>
      <c r="AD171" s="100"/>
      <c r="AE171" s="100"/>
      <c r="AF171" s="100"/>
      <c r="AG171" s="100"/>
      <c r="AH171" s="100"/>
      <c r="AI171" s="100"/>
      <c r="AJ171" s="100"/>
      <c r="AL171" s="100"/>
      <c r="AN171" s="100"/>
    </row>
    <row r="172" spans="1:40" s="27" customFormat="1" x14ac:dyDescent="0.2">
      <c r="A172" s="38"/>
      <c r="B172" s="37"/>
      <c r="C172" s="36">
        <f t="shared" si="14"/>
        <v>0</v>
      </c>
      <c r="D172" s="20"/>
      <c r="E172" s="36">
        <f t="shared" si="15"/>
        <v>0</v>
      </c>
      <c r="Q172" s="100"/>
      <c r="R172" s="100"/>
      <c r="AD172" s="100"/>
      <c r="AE172" s="100"/>
      <c r="AF172" s="100"/>
      <c r="AG172" s="100"/>
      <c r="AH172" s="100"/>
      <c r="AI172" s="100"/>
      <c r="AJ172" s="100"/>
      <c r="AL172" s="100"/>
      <c r="AN172" s="100"/>
    </row>
    <row r="173" spans="1:40" s="27" customFormat="1" x14ac:dyDescent="0.2">
      <c r="A173" s="38"/>
      <c r="B173" s="37"/>
      <c r="C173" s="36">
        <f t="shared" si="14"/>
        <v>0</v>
      </c>
      <c r="D173" s="20"/>
      <c r="E173" s="36">
        <f t="shared" si="15"/>
        <v>0</v>
      </c>
      <c r="Q173" s="100"/>
      <c r="R173" s="100"/>
      <c r="AD173" s="100"/>
      <c r="AE173" s="100"/>
      <c r="AF173" s="100"/>
      <c r="AG173" s="100"/>
      <c r="AH173" s="100"/>
      <c r="AI173" s="100"/>
      <c r="AJ173" s="100"/>
      <c r="AL173" s="100"/>
      <c r="AN173" s="100"/>
    </row>
    <row r="174" spans="1:40" s="27" customFormat="1" x14ac:dyDescent="0.2">
      <c r="A174" s="38"/>
      <c r="B174" s="37"/>
      <c r="C174" s="36">
        <f t="shared" si="14"/>
        <v>0</v>
      </c>
      <c r="D174" s="20"/>
      <c r="E174" s="36">
        <f t="shared" si="15"/>
        <v>0</v>
      </c>
      <c r="Q174" s="100"/>
      <c r="R174" s="100"/>
      <c r="AD174" s="100"/>
      <c r="AE174" s="100"/>
      <c r="AF174" s="100"/>
      <c r="AG174" s="100"/>
      <c r="AH174" s="100"/>
      <c r="AI174" s="100"/>
      <c r="AJ174" s="100"/>
      <c r="AL174" s="100"/>
      <c r="AN174" s="100"/>
    </row>
    <row r="175" spans="1:40" s="27" customFormat="1" x14ac:dyDescent="0.2">
      <c r="A175" s="38"/>
      <c r="B175" s="37"/>
      <c r="C175" s="36">
        <f t="shared" si="14"/>
        <v>0</v>
      </c>
      <c r="D175" s="20"/>
      <c r="E175" s="36">
        <f t="shared" si="15"/>
        <v>0</v>
      </c>
      <c r="Q175" s="100"/>
      <c r="R175" s="100"/>
      <c r="AD175" s="100"/>
      <c r="AE175" s="100"/>
      <c r="AF175" s="100"/>
      <c r="AG175" s="100"/>
      <c r="AH175" s="100"/>
      <c r="AI175" s="100"/>
      <c r="AJ175" s="100"/>
      <c r="AL175" s="100"/>
      <c r="AN175" s="100"/>
    </row>
    <row r="176" spans="1:40" s="27" customFormat="1" x14ac:dyDescent="0.2">
      <c r="A176" s="38"/>
      <c r="B176" s="37"/>
      <c r="C176" s="36">
        <f t="shared" si="14"/>
        <v>0</v>
      </c>
      <c r="D176" s="20"/>
      <c r="E176" s="36">
        <f t="shared" si="15"/>
        <v>0</v>
      </c>
      <c r="Q176" s="100"/>
      <c r="R176" s="100"/>
      <c r="AD176" s="100"/>
      <c r="AE176" s="100"/>
      <c r="AF176" s="100"/>
      <c r="AG176" s="100"/>
      <c r="AH176" s="100"/>
      <c r="AI176" s="100"/>
      <c r="AJ176" s="100"/>
      <c r="AL176" s="100"/>
      <c r="AN176" s="100"/>
    </row>
    <row r="177" spans="1:40" s="27" customFormat="1" x14ac:dyDescent="0.2">
      <c r="A177" s="38"/>
      <c r="B177" s="37"/>
      <c r="C177" s="36">
        <f t="shared" si="14"/>
        <v>0</v>
      </c>
      <c r="D177" s="20"/>
      <c r="E177" s="36">
        <f t="shared" si="15"/>
        <v>0</v>
      </c>
      <c r="Q177" s="100"/>
      <c r="R177" s="100"/>
      <c r="AD177" s="100"/>
      <c r="AE177" s="100"/>
      <c r="AF177" s="100"/>
      <c r="AG177" s="100"/>
      <c r="AH177" s="100"/>
      <c r="AI177" s="100"/>
      <c r="AJ177" s="100"/>
      <c r="AL177" s="100"/>
      <c r="AN177" s="100"/>
    </row>
    <row r="178" spans="1:40" s="27" customFormat="1" x14ac:dyDescent="0.2">
      <c r="A178" s="38"/>
      <c r="B178" s="37"/>
      <c r="C178" s="36">
        <f t="shared" si="14"/>
        <v>0</v>
      </c>
      <c r="D178" s="20"/>
      <c r="E178" s="36">
        <f t="shared" si="15"/>
        <v>0</v>
      </c>
      <c r="Q178" s="100"/>
      <c r="R178" s="100"/>
      <c r="AD178" s="100"/>
      <c r="AE178" s="100"/>
      <c r="AF178" s="100"/>
      <c r="AG178" s="100"/>
      <c r="AH178" s="100"/>
      <c r="AI178" s="100"/>
      <c r="AJ178" s="100"/>
      <c r="AL178" s="100"/>
      <c r="AN178" s="100"/>
    </row>
    <row r="179" spans="1:40" s="27" customFormat="1" x14ac:dyDescent="0.2">
      <c r="A179" s="38"/>
      <c r="B179" s="37"/>
      <c r="C179" s="36">
        <f t="shared" si="14"/>
        <v>0</v>
      </c>
      <c r="D179" s="20"/>
      <c r="E179" s="36">
        <f t="shared" si="15"/>
        <v>0</v>
      </c>
      <c r="Q179" s="100"/>
      <c r="R179" s="100"/>
      <c r="AD179" s="100"/>
      <c r="AE179" s="100"/>
      <c r="AF179" s="100"/>
      <c r="AG179" s="100"/>
      <c r="AH179" s="100"/>
      <c r="AI179" s="100"/>
      <c r="AJ179" s="100"/>
      <c r="AL179" s="100"/>
      <c r="AN179" s="100"/>
    </row>
    <row r="180" spans="1:40" s="27" customFormat="1" x14ac:dyDescent="0.2">
      <c r="A180" s="38"/>
      <c r="B180" s="37"/>
      <c r="C180" s="36">
        <f t="shared" si="14"/>
        <v>0</v>
      </c>
      <c r="D180" s="20"/>
      <c r="E180" s="36">
        <f t="shared" si="15"/>
        <v>0</v>
      </c>
      <c r="Q180" s="100"/>
      <c r="R180" s="100"/>
      <c r="AD180" s="100"/>
      <c r="AE180" s="100"/>
      <c r="AF180" s="100"/>
      <c r="AG180" s="100"/>
      <c r="AH180" s="100"/>
      <c r="AI180" s="100"/>
      <c r="AJ180" s="100"/>
      <c r="AL180" s="100"/>
      <c r="AN180" s="100"/>
    </row>
    <row r="181" spans="1:40" s="27" customFormat="1" x14ac:dyDescent="0.2">
      <c r="A181" s="38"/>
      <c r="B181" s="37"/>
      <c r="C181" s="36">
        <f t="shared" si="14"/>
        <v>0</v>
      </c>
      <c r="D181" s="20"/>
      <c r="E181" s="36">
        <f t="shared" si="15"/>
        <v>0</v>
      </c>
      <c r="Q181" s="100"/>
      <c r="R181" s="100"/>
      <c r="AD181" s="100"/>
      <c r="AE181" s="100"/>
      <c r="AF181" s="100"/>
      <c r="AG181" s="100"/>
      <c r="AH181" s="100"/>
      <c r="AI181" s="100"/>
      <c r="AJ181" s="100"/>
      <c r="AL181" s="100"/>
      <c r="AN181" s="100"/>
    </row>
    <row r="182" spans="1:40" s="27" customFormat="1" x14ac:dyDescent="0.2">
      <c r="A182" s="38"/>
      <c r="B182" s="37"/>
      <c r="C182" s="36">
        <f t="shared" si="14"/>
        <v>0</v>
      </c>
      <c r="D182" s="20"/>
      <c r="E182" s="36">
        <f t="shared" si="15"/>
        <v>0</v>
      </c>
      <c r="Q182" s="100"/>
      <c r="R182" s="100"/>
      <c r="AD182" s="100"/>
      <c r="AE182" s="100"/>
      <c r="AF182" s="100"/>
      <c r="AG182" s="100"/>
      <c r="AH182" s="100"/>
      <c r="AI182" s="100"/>
      <c r="AJ182" s="100"/>
      <c r="AL182" s="100"/>
      <c r="AN182" s="100"/>
    </row>
    <row r="183" spans="1:40" s="27" customFormat="1" x14ac:dyDescent="0.2">
      <c r="A183" s="38"/>
      <c r="B183" s="37"/>
      <c r="C183" s="36">
        <f t="shared" ref="C183:C203" si="16">E183*D$5</f>
        <v>0</v>
      </c>
      <c r="D183" s="20"/>
      <c r="E183" s="36">
        <f t="shared" si="15"/>
        <v>0</v>
      </c>
      <c r="Q183" s="100"/>
      <c r="R183" s="100"/>
      <c r="AD183" s="100"/>
      <c r="AE183" s="100"/>
      <c r="AF183" s="100"/>
      <c r="AG183" s="100"/>
      <c r="AH183" s="100"/>
      <c r="AI183" s="100"/>
      <c r="AJ183" s="100"/>
      <c r="AL183" s="100"/>
      <c r="AN183" s="100"/>
    </row>
    <row r="184" spans="1:40" s="27" customFormat="1" x14ac:dyDescent="0.2">
      <c r="A184" s="38"/>
      <c r="B184" s="37"/>
      <c r="C184" s="36">
        <f t="shared" si="16"/>
        <v>0</v>
      </c>
      <c r="D184" s="20"/>
      <c r="E184" s="36">
        <f t="shared" si="15"/>
        <v>0</v>
      </c>
      <c r="Q184" s="100"/>
      <c r="R184" s="100"/>
      <c r="AD184" s="100"/>
      <c r="AE184" s="100"/>
      <c r="AF184" s="100"/>
      <c r="AG184" s="100"/>
      <c r="AH184" s="100"/>
      <c r="AI184" s="100"/>
      <c r="AJ184" s="100"/>
      <c r="AL184" s="100"/>
      <c r="AN184" s="100"/>
    </row>
    <row r="185" spans="1:40" s="27" customFormat="1" x14ac:dyDescent="0.2">
      <c r="A185" s="38"/>
      <c r="B185" s="37"/>
      <c r="C185" s="36">
        <f t="shared" si="16"/>
        <v>0</v>
      </c>
      <c r="D185" s="20"/>
      <c r="E185" s="36">
        <f t="shared" si="15"/>
        <v>0</v>
      </c>
      <c r="Q185" s="100"/>
      <c r="R185" s="100"/>
      <c r="AD185" s="100"/>
      <c r="AE185" s="100"/>
      <c r="AF185" s="100"/>
      <c r="AG185" s="100"/>
      <c r="AH185" s="100"/>
      <c r="AI185" s="100"/>
      <c r="AJ185" s="100"/>
      <c r="AL185" s="100"/>
      <c r="AN185" s="100"/>
    </row>
    <row r="186" spans="1:40" s="27" customFormat="1" x14ac:dyDescent="0.2">
      <c r="A186" s="38"/>
      <c r="B186" s="37"/>
      <c r="C186" s="36">
        <f t="shared" si="16"/>
        <v>0</v>
      </c>
      <c r="D186" s="20"/>
      <c r="E186" s="36">
        <f t="shared" si="15"/>
        <v>0</v>
      </c>
      <c r="Q186" s="100"/>
      <c r="R186" s="100"/>
      <c r="AD186" s="100"/>
      <c r="AE186" s="100"/>
      <c r="AF186" s="100"/>
      <c r="AG186" s="100"/>
      <c r="AH186" s="100"/>
      <c r="AI186" s="100"/>
      <c r="AJ186" s="100"/>
      <c r="AL186" s="100"/>
      <c r="AN186" s="100"/>
    </row>
    <row r="187" spans="1:40" s="27" customFormat="1" x14ac:dyDescent="0.2">
      <c r="A187" s="38"/>
      <c r="B187" s="37"/>
      <c r="C187" s="36">
        <f t="shared" si="16"/>
        <v>0</v>
      </c>
      <c r="D187" s="20"/>
      <c r="E187" s="36">
        <f t="shared" si="15"/>
        <v>0</v>
      </c>
      <c r="Q187" s="100"/>
      <c r="R187" s="100"/>
      <c r="AD187" s="100"/>
      <c r="AE187" s="100"/>
      <c r="AF187" s="100"/>
      <c r="AG187" s="100"/>
      <c r="AH187" s="100"/>
      <c r="AI187" s="100"/>
      <c r="AJ187" s="100"/>
      <c r="AL187" s="100"/>
      <c r="AN187" s="100"/>
    </row>
    <row r="188" spans="1:40" s="27" customFormat="1" x14ac:dyDescent="0.2">
      <c r="A188" s="38"/>
      <c r="B188" s="37"/>
      <c r="C188" s="36">
        <f t="shared" si="16"/>
        <v>0</v>
      </c>
      <c r="D188" s="20"/>
      <c r="E188" s="36">
        <f t="shared" si="15"/>
        <v>0</v>
      </c>
      <c r="Q188" s="100"/>
      <c r="R188" s="100"/>
      <c r="AD188" s="100"/>
      <c r="AE188" s="100"/>
      <c r="AF188" s="100"/>
      <c r="AG188" s="100"/>
      <c r="AH188" s="100"/>
      <c r="AI188" s="100"/>
      <c r="AJ188" s="100"/>
      <c r="AL188" s="100"/>
      <c r="AN188" s="100"/>
    </row>
    <row r="189" spans="1:40" s="27" customFormat="1" x14ac:dyDescent="0.2">
      <c r="A189" s="38"/>
      <c r="B189" s="37"/>
      <c r="C189" s="36">
        <f t="shared" si="16"/>
        <v>0</v>
      </c>
      <c r="D189" s="20"/>
      <c r="E189" s="36">
        <f t="shared" si="15"/>
        <v>0</v>
      </c>
      <c r="Q189" s="100"/>
      <c r="R189" s="100"/>
      <c r="AD189" s="100"/>
      <c r="AE189" s="100"/>
      <c r="AF189" s="100"/>
      <c r="AG189" s="100"/>
      <c r="AH189" s="100"/>
      <c r="AI189" s="100"/>
      <c r="AJ189" s="100"/>
      <c r="AL189" s="100"/>
      <c r="AN189" s="100"/>
    </row>
    <row r="190" spans="1:40" s="27" customFormat="1" x14ac:dyDescent="0.2">
      <c r="A190" s="38"/>
      <c r="B190" s="37"/>
      <c r="C190" s="36">
        <f t="shared" si="16"/>
        <v>0</v>
      </c>
      <c r="D190" s="20"/>
      <c r="E190" s="36">
        <f t="shared" si="15"/>
        <v>0</v>
      </c>
      <c r="Q190" s="100"/>
      <c r="R190" s="100"/>
      <c r="AD190" s="100"/>
      <c r="AE190" s="100"/>
      <c r="AF190" s="100"/>
      <c r="AG190" s="100"/>
      <c r="AH190" s="100"/>
      <c r="AI190" s="100"/>
      <c r="AJ190" s="100"/>
      <c r="AL190" s="100"/>
      <c r="AN190" s="100"/>
    </row>
    <row r="191" spans="1:40" s="27" customFormat="1" x14ac:dyDescent="0.2">
      <c r="A191" s="38"/>
      <c r="B191" s="37"/>
      <c r="C191" s="36">
        <f t="shared" si="16"/>
        <v>0</v>
      </c>
      <c r="D191" s="20"/>
      <c r="E191" s="36">
        <f t="shared" si="15"/>
        <v>0</v>
      </c>
      <c r="Q191" s="100"/>
      <c r="R191" s="100"/>
      <c r="AD191" s="100"/>
      <c r="AE191" s="100"/>
      <c r="AF191" s="100"/>
      <c r="AG191" s="100"/>
      <c r="AH191" s="100"/>
      <c r="AI191" s="100"/>
      <c r="AJ191" s="100"/>
      <c r="AL191" s="100"/>
      <c r="AN191" s="100"/>
    </row>
    <row r="192" spans="1:40" s="27" customFormat="1" x14ac:dyDescent="0.2">
      <c r="A192" s="38"/>
      <c r="B192" s="37"/>
      <c r="C192" s="36">
        <f t="shared" si="16"/>
        <v>0</v>
      </c>
      <c r="D192" s="20"/>
      <c r="E192" s="36">
        <f t="shared" si="15"/>
        <v>0</v>
      </c>
      <c r="Q192" s="100"/>
      <c r="R192" s="100"/>
      <c r="AD192" s="100"/>
      <c r="AE192" s="100"/>
      <c r="AF192" s="100"/>
      <c r="AG192" s="100"/>
      <c r="AH192" s="100"/>
      <c r="AI192" s="100"/>
      <c r="AJ192" s="100"/>
      <c r="AL192" s="100"/>
      <c r="AN192" s="100"/>
    </row>
    <row r="193" spans="1:41" s="27" customFormat="1" x14ac:dyDescent="0.2">
      <c r="A193" s="38"/>
      <c r="B193" s="37"/>
      <c r="C193" s="36">
        <f t="shared" si="16"/>
        <v>0</v>
      </c>
      <c r="D193" s="20"/>
      <c r="E193" s="36">
        <f t="shared" si="15"/>
        <v>0</v>
      </c>
      <c r="Q193" s="100"/>
      <c r="R193" s="100"/>
      <c r="AD193" s="100"/>
      <c r="AE193" s="100"/>
      <c r="AF193" s="100"/>
      <c r="AG193" s="100"/>
      <c r="AH193" s="100"/>
      <c r="AI193" s="100"/>
      <c r="AJ193" s="100"/>
      <c r="AL193" s="100"/>
      <c r="AN193" s="100"/>
    </row>
    <row r="194" spans="1:41" s="27" customFormat="1" x14ac:dyDescent="0.2">
      <c r="A194" s="38"/>
      <c r="B194" s="37"/>
      <c r="C194" s="36">
        <f t="shared" si="16"/>
        <v>0</v>
      </c>
      <c r="D194" s="20"/>
      <c r="E194" s="36">
        <f t="shared" si="15"/>
        <v>0</v>
      </c>
      <c r="Q194" s="100"/>
      <c r="R194" s="100"/>
      <c r="AD194" s="100"/>
      <c r="AE194" s="100"/>
      <c r="AF194" s="100"/>
      <c r="AG194" s="100"/>
      <c r="AH194" s="100"/>
      <c r="AI194" s="100"/>
      <c r="AJ194" s="100"/>
      <c r="AL194" s="100"/>
      <c r="AN194" s="100"/>
    </row>
    <row r="195" spans="1:41" s="27" customFormat="1" x14ac:dyDescent="0.2">
      <c r="A195" s="38"/>
      <c r="B195" s="37"/>
      <c r="C195" s="36">
        <f t="shared" si="16"/>
        <v>0</v>
      </c>
      <c r="D195" s="20"/>
      <c r="E195" s="36">
        <f t="shared" si="15"/>
        <v>0</v>
      </c>
      <c r="Q195" s="100"/>
      <c r="R195" s="100"/>
      <c r="AD195" s="100"/>
      <c r="AE195" s="100"/>
      <c r="AF195" s="100"/>
      <c r="AG195" s="100"/>
      <c r="AH195" s="100"/>
      <c r="AI195" s="100"/>
      <c r="AJ195" s="100"/>
      <c r="AL195" s="100"/>
      <c r="AN195" s="100"/>
    </row>
    <row r="196" spans="1:41" s="27" customFormat="1" x14ac:dyDescent="0.2">
      <c r="A196" s="38"/>
      <c r="B196" s="37"/>
      <c r="C196" s="36">
        <f t="shared" si="16"/>
        <v>0</v>
      </c>
      <c r="D196" s="20"/>
      <c r="E196" s="36">
        <f t="shared" ref="E196:E203" si="17">SUM(G196:HT196)</f>
        <v>0</v>
      </c>
      <c r="R196" s="100"/>
      <c r="S196" s="100"/>
      <c r="AE196" s="100"/>
      <c r="AF196" s="100"/>
      <c r="AG196" s="100"/>
      <c r="AH196" s="100"/>
      <c r="AI196" s="100"/>
      <c r="AJ196" s="100"/>
      <c r="AK196" s="100"/>
      <c r="AM196" s="100"/>
      <c r="AO196" s="100"/>
    </row>
    <row r="197" spans="1:41" s="27" customFormat="1" x14ac:dyDescent="0.2">
      <c r="A197" s="38"/>
      <c r="B197" s="37"/>
      <c r="C197" s="36">
        <f t="shared" si="16"/>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6"/>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6"/>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6"/>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6"/>
        <v>0</v>
      </c>
      <c r="D201" s="20"/>
      <c r="E201" s="36">
        <f t="shared" si="17"/>
        <v>0</v>
      </c>
      <c r="R201" s="100"/>
      <c r="S201" s="100"/>
      <c r="AE201" s="100"/>
      <c r="AF201" s="100"/>
      <c r="AG201" s="100"/>
      <c r="AH201" s="100"/>
      <c r="AI201" s="100"/>
      <c r="AJ201" s="100"/>
      <c r="AK201" s="100"/>
      <c r="AM201" s="100"/>
      <c r="AO201" s="100"/>
    </row>
    <row r="202" spans="1:41" s="27" customFormat="1" x14ac:dyDescent="0.2">
      <c r="A202" s="38"/>
      <c r="B202" s="37"/>
      <c r="C202" s="36">
        <f t="shared" si="16"/>
        <v>0</v>
      </c>
      <c r="D202" s="20"/>
      <c r="E202" s="36">
        <f t="shared" si="17"/>
        <v>0</v>
      </c>
      <c r="R202" s="100"/>
      <c r="S202" s="100"/>
      <c r="AE202" s="100"/>
      <c r="AF202" s="100"/>
      <c r="AG202" s="100"/>
      <c r="AH202" s="100"/>
      <c r="AI202" s="100"/>
      <c r="AJ202" s="100"/>
      <c r="AK202" s="100"/>
      <c r="AM202" s="100"/>
      <c r="AO202" s="100"/>
    </row>
    <row r="203" spans="1:41" s="27" customFormat="1" x14ac:dyDescent="0.2">
      <c r="A203" s="38"/>
      <c r="B203" s="37"/>
      <c r="C203" s="36">
        <f t="shared" si="16"/>
        <v>0</v>
      </c>
      <c r="D203" s="20"/>
      <c r="E203" s="36">
        <f t="shared" si="17"/>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04FE-6B06-4EEF-9B19-D6F457368A6C}">
  <dimension ref="A1:GF212"/>
  <sheetViews>
    <sheetView zoomScaleNormal="120" workbookViewId="0">
      <pane xSplit="6" topLeftCell="G1" activePane="topRight" state="frozen"/>
      <selection pane="topRight" activeCell="D11" sqref="D11"/>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112</v>
      </c>
      <c r="AM1" s="116" t="s">
        <v>64</v>
      </c>
      <c r="AN1" s="116" t="s">
        <v>8623</v>
      </c>
      <c r="AO1" s="116" t="s">
        <v>112</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86</v>
      </c>
      <c r="B2" s="555" t="s">
        <v>21</v>
      </c>
      <c r="C2" s="556"/>
      <c r="D2" s="557" t="s">
        <v>2974</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1964</v>
      </c>
      <c r="AM2" s="118" t="s">
        <v>2115</v>
      </c>
      <c r="AN2" s="118" t="s">
        <v>2195</v>
      </c>
      <c r="AO2" s="118" t="s">
        <v>2206</v>
      </c>
      <c r="AP2" s="96" t="s">
        <v>2223</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1965</v>
      </c>
      <c r="AM3" s="5" t="s">
        <v>2116</v>
      </c>
      <c r="AN3" s="118" t="s">
        <v>2197</v>
      </c>
      <c r="AO3" s="118" t="s">
        <v>2207</v>
      </c>
      <c r="AP3" s="107" t="s">
        <v>2224</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39162</v>
      </c>
      <c r="AM4" s="5">
        <v>40855</v>
      </c>
      <c r="AN4" s="120">
        <v>41290</v>
      </c>
      <c r="AO4" s="120">
        <v>41368</v>
      </c>
      <c r="AP4" s="108">
        <v>41486</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32.799999999999997</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63</v>
      </c>
      <c r="AM5" s="118" t="s">
        <v>2910</v>
      </c>
      <c r="AN5" s="118" t="s">
        <v>63</v>
      </c>
      <c r="AO5" s="118" t="s">
        <v>8732</v>
      </c>
      <c r="AP5" s="96" t="s">
        <v>8732</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32.799999999999997</v>
      </c>
      <c r="D6" s="546" t="s">
        <v>139</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3" t="s">
        <v>2913</v>
      </c>
      <c r="E10" s="36">
        <f t="shared" ref="E10:E73" si="10">SUM(G10:HT10)</f>
        <v>0</v>
      </c>
      <c r="F10" s="306"/>
      <c r="G10" s="305">
        <v>1</v>
      </c>
      <c r="H10" s="304"/>
      <c r="I10" s="304"/>
      <c r="J10" s="304"/>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307" t="s">
        <v>710</v>
      </c>
      <c r="E11" s="86">
        <f t="shared" si="10"/>
        <v>0</v>
      </c>
      <c r="F11" s="306"/>
      <c r="G11" s="305"/>
      <c r="H11" s="304"/>
      <c r="I11" s="304"/>
      <c r="J11" s="304"/>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307" t="s">
        <v>716</v>
      </c>
      <c r="E12" s="86">
        <f t="shared" si="10"/>
        <v>0</v>
      </c>
      <c r="F12" s="306"/>
      <c r="G12" s="305"/>
      <c r="H12" s="304"/>
      <c r="I12" s="304"/>
      <c r="J12" s="304"/>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08"/>
      <c r="B13" s="382">
        <v>62</v>
      </c>
      <c r="C13" s="86">
        <f t="shared" si="9"/>
        <v>32.799999999999997</v>
      </c>
      <c r="D13" s="307" t="s">
        <v>374</v>
      </c>
      <c r="E13" s="86">
        <f t="shared" si="10"/>
        <v>1</v>
      </c>
      <c r="F13" s="306"/>
      <c r="G13" s="305"/>
      <c r="H13" s="304"/>
      <c r="I13" s="304"/>
      <c r="J13" s="304"/>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9"/>
        <v>0</v>
      </c>
      <c r="D14" s="103" t="s">
        <v>436</v>
      </c>
      <c r="E14" s="36">
        <f t="shared" si="10"/>
        <v>0</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106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479</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509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517</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518</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599</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616</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632</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662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2806</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658</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225</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671</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1220</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ht="24" x14ac:dyDescent="0.2">
      <c r="A29" s="125"/>
      <c r="B29" s="39"/>
      <c r="C29" s="86">
        <f t="shared" si="9"/>
        <v>0</v>
      </c>
      <c r="D29" s="4" t="s">
        <v>2900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x14ac:dyDescent="0.2">
      <c r="A30" s="125"/>
      <c r="B30" s="39"/>
      <c r="C30" s="36">
        <f t="shared" si="9"/>
        <v>0</v>
      </c>
      <c r="D30" s="103" t="s">
        <v>2707</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2708</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209</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ht="24" x14ac:dyDescent="0.2">
      <c r="A33" s="125"/>
      <c r="B33" s="39"/>
      <c r="C33" s="36">
        <f t="shared" si="9"/>
        <v>0</v>
      </c>
      <c r="D33" s="103" t="s">
        <v>2860</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x14ac:dyDescent="0.2">
      <c r="A34" s="125"/>
      <c r="B34" s="39"/>
      <c r="C34" s="36">
        <f t="shared" si="9"/>
        <v>0</v>
      </c>
      <c r="D34" s="103" t="s">
        <v>2861</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2862</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1151</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ht="24" x14ac:dyDescent="0.2">
      <c r="A37" s="125"/>
      <c r="B37" s="39"/>
      <c r="C37" s="86">
        <f>E37*D$5</f>
        <v>0</v>
      </c>
      <c r="D37" s="103" t="s">
        <v>1152</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2">E38*D$5</f>
        <v>0</v>
      </c>
      <c r="D38" s="4" t="s">
        <v>1272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ht="24" x14ac:dyDescent="0.2">
      <c r="A39" s="125"/>
      <c r="B39" s="39"/>
      <c r="C39" s="36">
        <f t="shared" si="12"/>
        <v>0</v>
      </c>
      <c r="D39" s="103" t="s">
        <v>1273</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2863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x14ac:dyDescent="0.2">
      <c r="A41" s="125"/>
      <c r="B41" s="39"/>
      <c r="C41" s="36">
        <f t="shared" si="12"/>
        <v>0</v>
      </c>
      <c r="D41" s="4" t="s">
        <v>230</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114</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ht="24" x14ac:dyDescent="0.2">
      <c r="A43" s="125"/>
      <c r="B43" s="39"/>
      <c r="C43" s="86">
        <f>E43*D$5</f>
        <v>0</v>
      </c>
      <c r="D43" s="3" t="s">
        <v>1604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2888</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2889</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x14ac:dyDescent="0.2">
      <c r="A46" s="125"/>
      <c r="B46" s="39"/>
      <c r="C46" s="86">
        <f t="shared" si="9"/>
        <v>0</v>
      </c>
      <c r="D46" s="4" t="s">
        <v>1697</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1698</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1966</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ht="24" x14ac:dyDescent="0.2">
      <c r="A49" s="125"/>
      <c r="B49" s="39"/>
      <c r="C49" s="86">
        <f t="shared" si="9"/>
        <v>0</v>
      </c>
      <c r="D49" s="3" t="s">
        <v>2826</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2117</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x14ac:dyDescent="0.2">
      <c r="A51" s="38"/>
      <c r="B51" s="37"/>
      <c r="C51" s="36">
        <f t="shared" si="9"/>
        <v>0</v>
      </c>
      <c r="D51" s="4" t="s">
        <v>2118</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ht="36" x14ac:dyDescent="0.2">
      <c r="A52" s="38"/>
      <c r="B52" s="37"/>
      <c r="C52" s="86">
        <f t="shared" si="9"/>
        <v>0</v>
      </c>
      <c r="D52" s="4" t="s">
        <v>2833</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x14ac:dyDescent="0.2">
      <c r="A53" s="38"/>
      <c r="B53" s="37"/>
      <c r="C53" s="86">
        <f t="shared" si="9"/>
        <v>0</v>
      </c>
      <c r="D53" s="4" t="s">
        <v>186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2836</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2430</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2457</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2560</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2561</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2597</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2598</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t="s">
        <v>185</v>
      </c>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x14ac:dyDescent="0.2">
      <c r="A62" s="38"/>
      <c r="B62" s="37"/>
      <c r="C62" s="86">
        <f t="shared" si="9"/>
        <v>0</v>
      </c>
      <c r="D62" s="3"/>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ht="48" x14ac:dyDescent="0.2">
      <c r="A63" s="38"/>
      <c r="B63" s="37"/>
      <c r="C63" s="86">
        <f t="shared" si="9"/>
        <v>0</v>
      </c>
      <c r="D63" s="3" t="s">
        <v>8634</v>
      </c>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8EE0-1ADC-4B3E-AEC3-F81890711B3D}">
  <dimension ref="A1:GE212"/>
  <sheetViews>
    <sheetView zoomScaleNormal="120" workbookViewId="0">
      <pane xSplit="6" topLeftCell="G1" activePane="topRight" state="frozen"/>
      <selection pane="topRight" activeCell="J29" sqref="J29"/>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2992</v>
      </c>
      <c r="I1" s="116" t="s">
        <v>8622</v>
      </c>
      <c r="J1" s="116" t="s">
        <v>116</v>
      </c>
      <c r="K1" s="116" t="s">
        <v>8622</v>
      </c>
      <c r="L1" s="116" t="s">
        <v>8622</v>
      </c>
      <c r="M1" s="116" t="s">
        <v>107</v>
      </c>
      <c r="N1" s="116" t="s">
        <v>8622</v>
      </c>
      <c r="O1" s="116" t="s">
        <v>107</v>
      </c>
      <c r="P1" s="116" t="s">
        <v>107</v>
      </c>
      <c r="Q1" s="116" t="s">
        <v>64</v>
      </c>
      <c r="R1" s="116" t="s">
        <v>64</v>
      </c>
      <c r="S1" s="116" t="s">
        <v>64</v>
      </c>
      <c r="T1" s="116" t="s">
        <v>64</v>
      </c>
      <c r="U1" s="116" t="s">
        <v>115</v>
      </c>
      <c r="V1" s="116" t="s">
        <v>2866</v>
      </c>
      <c r="W1" s="116" t="s">
        <v>8622</v>
      </c>
      <c r="X1" s="116" t="s">
        <v>64</v>
      </c>
      <c r="Y1" s="116" t="s">
        <v>115</v>
      </c>
      <c r="Z1" s="116" t="s">
        <v>64</v>
      </c>
      <c r="AA1" s="116" t="s">
        <v>64</v>
      </c>
      <c r="AB1" s="116" t="s">
        <v>64</v>
      </c>
      <c r="AC1" s="116" t="s">
        <v>64</v>
      </c>
      <c r="AD1" s="116" t="s">
        <v>2993</v>
      </c>
      <c r="AE1" s="116" t="s">
        <v>64</v>
      </c>
      <c r="AF1" s="116" t="s">
        <v>64</v>
      </c>
      <c r="AG1" s="116" t="s">
        <v>64</v>
      </c>
      <c r="AH1" s="116" t="s">
        <v>64</v>
      </c>
      <c r="AI1" s="116" t="s">
        <v>64</v>
      </c>
      <c r="AJ1" s="116" t="s">
        <v>64</v>
      </c>
      <c r="AK1" s="116" t="s">
        <v>2710</v>
      </c>
      <c r="AL1" s="116" t="s">
        <v>64</v>
      </c>
      <c r="AM1" s="116" t="s">
        <v>64</v>
      </c>
      <c r="AN1" s="116" t="s">
        <v>107</v>
      </c>
      <c r="AO1" s="116" t="s">
        <v>64</v>
      </c>
      <c r="AP1" s="95" t="s">
        <v>64</v>
      </c>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v>9</v>
      </c>
      <c r="B2" s="555" t="s">
        <v>21</v>
      </c>
      <c r="C2" s="556"/>
      <c r="D2" s="557" t="s">
        <v>2975</v>
      </c>
      <c r="E2" s="560" t="s">
        <v>22</v>
      </c>
      <c r="F2" s="561"/>
      <c r="G2" s="63"/>
      <c r="H2" s="118" t="s">
        <v>434</v>
      </c>
      <c r="I2" s="118" t="s">
        <v>439</v>
      </c>
      <c r="J2" s="118" t="s">
        <v>445</v>
      </c>
      <c r="K2" s="118" t="s">
        <v>477</v>
      </c>
      <c r="L2" s="118" t="s">
        <v>506</v>
      </c>
      <c r="M2" s="118" t="s">
        <v>609</v>
      </c>
      <c r="N2" s="118" t="s">
        <v>614</v>
      </c>
      <c r="O2" s="118" t="s">
        <v>630</v>
      </c>
      <c r="P2" s="118" t="s">
        <v>636</v>
      </c>
      <c r="Q2" s="118" t="s">
        <v>660</v>
      </c>
      <c r="R2" s="118" t="s">
        <v>655</v>
      </c>
      <c r="S2" s="118" t="s">
        <v>665</v>
      </c>
      <c r="T2" s="118" t="s">
        <v>669</v>
      </c>
      <c r="U2" s="118" t="s">
        <v>672</v>
      </c>
      <c r="V2" s="118" t="s">
        <v>2994</v>
      </c>
      <c r="W2" s="118" t="s">
        <v>1149</v>
      </c>
      <c r="X2" s="118" t="s">
        <v>1218</v>
      </c>
      <c r="Y2" s="118" t="s">
        <v>1232</v>
      </c>
      <c r="Z2" s="118" t="s">
        <v>1582</v>
      </c>
      <c r="AA2" s="118" t="s">
        <v>1592</v>
      </c>
      <c r="AB2" s="118" t="s">
        <v>1599</v>
      </c>
      <c r="AC2" s="118" t="s">
        <v>1602</v>
      </c>
      <c r="AD2" s="118" t="s">
        <v>1659</v>
      </c>
      <c r="AE2" s="118" t="s">
        <v>1675</v>
      </c>
      <c r="AF2" s="118" t="s">
        <v>1695</v>
      </c>
      <c r="AG2" s="118" t="s">
        <v>2115</v>
      </c>
      <c r="AH2" s="118" t="s">
        <v>2206</v>
      </c>
      <c r="AI2" s="118" t="s">
        <v>2223</v>
      </c>
      <c r="AJ2" s="118" t="s">
        <v>2354</v>
      </c>
      <c r="AK2" s="118" t="s">
        <v>2426</v>
      </c>
      <c r="AL2" s="118" t="s">
        <v>2454</v>
      </c>
      <c r="AM2" s="118" t="s">
        <v>2557</v>
      </c>
      <c r="AN2" s="118" t="s">
        <v>2562</v>
      </c>
      <c r="AO2" s="118" t="s">
        <v>2595</v>
      </c>
      <c r="AP2" s="96" t="s">
        <v>2626</v>
      </c>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435</v>
      </c>
      <c r="I3" s="6" t="s">
        <v>440</v>
      </c>
      <c r="J3" s="6" t="s">
        <v>446</v>
      </c>
      <c r="K3" s="6" t="s">
        <v>478</v>
      </c>
      <c r="L3" s="6" t="s">
        <v>507</v>
      </c>
      <c r="M3" s="6" t="s">
        <v>610</v>
      </c>
      <c r="N3" s="6" t="s">
        <v>615</v>
      </c>
      <c r="O3" s="6" t="s">
        <v>631</v>
      </c>
      <c r="P3" s="6" t="s">
        <v>637</v>
      </c>
      <c r="Q3" s="6" t="s">
        <v>661</v>
      </c>
      <c r="R3" s="6" t="s">
        <v>656</v>
      </c>
      <c r="S3" s="6" t="s">
        <v>666</v>
      </c>
      <c r="T3" s="6" t="s">
        <v>670</v>
      </c>
      <c r="U3" s="6" t="s">
        <v>674</v>
      </c>
      <c r="V3" s="6" t="s">
        <v>2995</v>
      </c>
      <c r="W3" s="6" t="s">
        <v>1150</v>
      </c>
      <c r="X3" s="6" t="s">
        <v>1219</v>
      </c>
      <c r="Y3" s="6" t="s">
        <v>1233</v>
      </c>
      <c r="Z3" s="6" t="s">
        <v>1583</v>
      </c>
      <c r="AA3" s="6" t="s">
        <v>1593</v>
      </c>
      <c r="AB3" s="118" t="s">
        <v>1600</v>
      </c>
      <c r="AC3" s="118" t="s">
        <v>1603</v>
      </c>
      <c r="AD3" s="6" t="s">
        <v>1660</v>
      </c>
      <c r="AE3" s="6" t="s">
        <v>1676</v>
      </c>
      <c r="AF3" s="6" t="s">
        <v>1696</v>
      </c>
      <c r="AG3" s="6" t="s">
        <v>2116</v>
      </c>
      <c r="AH3" s="6" t="s">
        <v>2207</v>
      </c>
      <c r="AI3" s="6" t="s">
        <v>2224</v>
      </c>
      <c r="AJ3" s="6" t="s">
        <v>2355</v>
      </c>
      <c r="AK3" s="6" t="s">
        <v>2428</v>
      </c>
      <c r="AL3" s="118" t="s">
        <v>2455</v>
      </c>
      <c r="AM3" s="5" t="s">
        <v>2559</v>
      </c>
      <c r="AN3" s="118" t="s">
        <v>2563</v>
      </c>
      <c r="AO3" s="118" t="s">
        <v>2596</v>
      </c>
      <c r="AP3" s="107" t="s">
        <v>2627</v>
      </c>
      <c r="AQ3" s="107"/>
      <c r="AR3" s="108"/>
      <c r="AS3" s="107"/>
      <c r="AT3" s="107"/>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20">
        <v>38286</v>
      </c>
      <c r="AC4" s="120">
        <v>38292</v>
      </c>
      <c r="AD4" s="5">
        <v>38455</v>
      </c>
      <c r="AE4" s="5">
        <v>38473</v>
      </c>
      <c r="AF4" s="5">
        <v>38516</v>
      </c>
      <c r="AG4" s="5">
        <v>40855</v>
      </c>
      <c r="AH4" s="5">
        <v>41368</v>
      </c>
      <c r="AI4" s="5">
        <v>41486</v>
      </c>
      <c r="AJ4" s="5">
        <v>42242</v>
      </c>
      <c r="AK4" s="5">
        <v>43500</v>
      </c>
      <c r="AL4" s="120">
        <v>44071</v>
      </c>
      <c r="AM4" s="5">
        <v>45726</v>
      </c>
      <c r="AN4" s="120">
        <v>45726</v>
      </c>
      <c r="AO4" s="120">
        <v>45971</v>
      </c>
      <c r="AP4" s="108">
        <v>46084</v>
      </c>
      <c r="AQ4" s="108"/>
      <c r="AR4" s="108"/>
      <c r="AS4" s="108"/>
      <c r="AT4" s="108"/>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75.34</v>
      </c>
      <c r="E5" s="539" t="s">
        <v>27</v>
      </c>
      <c r="F5" s="540"/>
      <c r="G5" s="60"/>
      <c r="H5" s="118" t="s">
        <v>2996</v>
      </c>
      <c r="I5" s="118" t="s">
        <v>63</v>
      </c>
      <c r="J5" s="118" t="s">
        <v>63</v>
      </c>
      <c r="K5" s="118" t="s">
        <v>63</v>
      </c>
      <c r="L5" s="118" t="s">
        <v>63</v>
      </c>
      <c r="M5" s="118" t="s">
        <v>63</v>
      </c>
      <c r="N5" s="118" t="s">
        <v>63</v>
      </c>
      <c r="O5" s="118" t="s">
        <v>63</v>
      </c>
      <c r="P5" s="118" t="s">
        <v>63</v>
      </c>
      <c r="Q5" s="118" t="s">
        <v>63</v>
      </c>
      <c r="R5" s="118" t="s">
        <v>63</v>
      </c>
      <c r="S5" s="118" t="s">
        <v>63</v>
      </c>
      <c r="T5" s="118" t="s">
        <v>63</v>
      </c>
      <c r="U5" s="118" t="s">
        <v>63</v>
      </c>
      <c r="V5" s="118" t="s">
        <v>63</v>
      </c>
      <c r="W5" s="118" t="s">
        <v>63</v>
      </c>
      <c r="X5" s="118" t="s">
        <v>63</v>
      </c>
      <c r="Y5" s="118" t="s">
        <v>63</v>
      </c>
      <c r="Z5" s="118" t="s">
        <v>63</v>
      </c>
      <c r="AA5" s="118" t="s">
        <v>63</v>
      </c>
      <c r="AB5" s="118" t="s">
        <v>63</v>
      </c>
      <c r="AC5" s="118" t="s">
        <v>63</v>
      </c>
      <c r="AD5" s="118" t="s">
        <v>63</v>
      </c>
      <c r="AE5" s="118" t="s">
        <v>63</v>
      </c>
      <c r="AF5" s="118" t="s">
        <v>63</v>
      </c>
      <c r="AG5" s="118" t="s">
        <v>63</v>
      </c>
      <c r="AH5" s="118" t="s">
        <v>63</v>
      </c>
      <c r="AI5" s="118" t="s">
        <v>63</v>
      </c>
      <c r="AJ5" s="118" t="s">
        <v>63</v>
      </c>
      <c r="AK5" s="118" t="s">
        <v>63</v>
      </c>
      <c r="AL5" s="118" t="s">
        <v>63</v>
      </c>
      <c r="AM5" s="118" t="s">
        <v>63</v>
      </c>
      <c r="AN5" s="118" t="s">
        <v>63</v>
      </c>
      <c r="AO5" s="118" t="s">
        <v>63</v>
      </c>
      <c r="AP5" s="96" t="s">
        <v>63</v>
      </c>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75.34</v>
      </c>
      <c r="D6" s="546" t="s">
        <v>8596</v>
      </c>
      <c r="E6" s="544">
        <f>SUBTOTAL(9,E9:E203)</f>
        <v>1</v>
      </c>
      <c r="F6" s="548" t="s">
        <v>29</v>
      </c>
      <c r="G6" s="64"/>
      <c r="H6" s="64" t="s">
        <v>228</v>
      </c>
      <c r="I6" s="64" t="s">
        <v>228</v>
      </c>
      <c r="J6" s="64" t="s">
        <v>228</v>
      </c>
      <c r="K6" s="64" t="s">
        <v>228</v>
      </c>
      <c r="L6" s="64" t="s">
        <v>228</v>
      </c>
      <c r="M6" s="64" t="s">
        <v>228</v>
      </c>
      <c r="N6" s="64" t="s">
        <v>228</v>
      </c>
      <c r="O6" s="64" t="s">
        <v>228</v>
      </c>
      <c r="P6" s="64" t="s">
        <v>228</v>
      </c>
      <c r="Q6" s="64" t="s">
        <v>228</v>
      </c>
      <c r="R6" s="98" t="s">
        <v>228</v>
      </c>
      <c r="S6" s="98" t="s">
        <v>228</v>
      </c>
      <c r="T6" s="64" t="s">
        <v>228</v>
      </c>
      <c r="U6" s="64" t="s">
        <v>228</v>
      </c>
      <c r="V6" s="64" t="s">
        <v>228</v>
      </c>
      <c r="W6" s="64" t="s">
        <v>228</v>
      </c>
      <c r="X6" s="64" t="s">
        <v>228</v>
      </c>
      <c r="Y6" s="64" t="s">
        <v>228</v>
      </c>
      <c r="Z6" s="64" t="s">
        <v>228</v>
      </c>
      <c r="AA6" s="64" t="s">
        <v>228</v>
      </c>
      <c r="AB6" s="64" t="s">
        <v>228</v>
      </c>
      <c r="AC6" s="64" t="s">
        <v>228</v>
      </c>
      <c r="AD6" s="64" t="s">
        <v>228</v>
      </c>
      <c r="AE6" s="98" t="s">
        <v>228</v>
      </c>
      <c r="AF6" s="98" t="s">
        <v>228</v>
      </c>
      <c r="AG6" s="98" t="s">
        <v>228</v>
      </c>
      <c r="AH6" s="98" t="s">
        <v>228</v>
      </c>
      <c r="AI6" s="98" t="s">
        <v>228</v>
      </c>
      <c r="AJ6" s="98" t="s">
        <v>228</v>
      </c>
      <c r="AK6" s="98" t="s">
        <v>228</v>
      </c>
      <c r="AL6" s="64" t="s">
        <v>228</v>
      </c>
      <c r="AM6" s="98" t="s">
        <v>228</v>
      </c>
      <c r="AN6" s="64" t="s">
        <v>228</v>
      </c>
      <c r="AO6" s="98" t="s">
        <v>228</v>
      </c>
      <c r="AP6" s="64" t="s">
        <v>228</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0">SUBTOTAL(9,L10:L204)</f>
        <v>0</v>
      </c>
      <c r="M7" s="537">
        <f t="shared" si="0"/>
        <v>0</v>
      </c>
      <c r="N7" s="537">
        <f t="shared" si="0"/>
        <v>0</v>
      </c>
      <c r="O7" s="537">
        <f t="shared" si="0"/>
        <v>0</v>
      </c>
      <c r="P7" s="537">
        <f t="shared" si="0"/>
        <v>0</v>
      </c>
      <c r="Q7" s="537">
        <f t="shared" si="0"/>
        <v>0</v>
      </c>
      <c r="R7" s="533">
        <f>SUBTOTAL(9,R10:R204)</f>
        <v>0</v>
      </c>
      <c r="S7" s="533">
        <f>SUBTOTAL(9,S10:S204)</f>
        <v>0</v>
      </c>
      <c r="T7" s="537">
        <f t="shared" ref="T7:CE7" si="1">SUBTOTAL(9,T10:T204)</f>
        <v>0</v>
      </c>
      <c r="U7" s="537">
        <f t="shared" si="1"/>
        <v>0</v>
      </c>
      <c r="V7" s="537">
        <f t="shared" si="1"/>
        <v>0</v>
      </c>
      <c r="W7" s="537">
        <f t="shared" si="1"/>
        <v>0</v>
      </c>
      <c r="X7" s="537">
        <f t="shared" si="1"/>
        <v>0</v>
      </c>
      <c r="Y7" s="537">
        <f t="shared" si="1"/>
        <v>0</v>
      </c>
      <c r="Z7" s="537">
        <f t="shared" si="1"/>
        <v>0</v>
      </c>
      <c r="AA7" s="537">
        <f t="shared" si="1"/>
        <v>0</v>
      </c>
      <c r="AB7" s="537">
        <f t="shared" si="1"/>
        <v>0</v>
      </c>
      <c r="AC7" s="537">
        <f t="shared" si="1"/>
        <v>0</v>
      </c>
      <c r="AD7" s="537">
        <f t="shared" si="1"/>
        <v>0</v>
      </c>
      <c r="AE7" s="533">
        <f t="shared" si="1"/>
        <v>0</v>
      </c>
      <c r="AF7" s="533">
        <f t="shared" si="1"/>
        <v>0</v>
      </c>
      <c r="AG7" s="533">
        <f t="shared" si="1"/>
        <v>0</v>
      </c>
      <c r="AH7" s="533">
        <f t="shared" si="1"/>
        <v>0</v>
      </c>
      <c r="AI7" s="533">
        <f t="shared" si="1"/>
        <v>0</v>
      </c>
      <c r="AJ7" s="533">
        <f t="shared" si="1"/>
        <v>0</v>
      </c>
      <c r="AK7" s="533">
        <f t="shared" si="1"/>
        <v>0</v>
      </c>
      <c r="AL7" s="537">
        <f t="shared" si="1"/>
        <v>0</v>
      </c>
      <c r="AM7" s="533">
        <f>SUBTOTAL(9,AM10:AM204)</f>
        <v>0</v>
      </c>
      <c r="AN7" s="537">
        <f t="shared" si="1"/>
        <v>0</v>
      </c>
      <c r="AO7" s="533">
        <f>SUBTOTAL(9,AO10:AO204)</f>
        <v>0</v>
      </c>
      <c r="AP7" s="537">
        <f t="shared" si="1"/>
        <v>0</v>
      </c>
      <c r="AQ7" s="537">
        <f t="shared" si="1"/>
        <v>0</v>
      </c>
      <c r="AR7" s="537">
        <f t="shared" si="1"/>
        <v>0</v>
      </c>
      <c r="AS7" s="537">
        <f t="shared" si="1"/>
        <v>0</v>
      </c>
      <c r="AT7" s="537">
        <f t="shared" si="1"/>
        <v>0</v>
      </c>
      <c r="AU7" s="537">
        <f t="shared" si="1"/>
        <v>0</v>
      </c>
      <c r="AV7" s="537">
        <f t="shared" si="1"/>
        <v>0</v>
      </c>
      <c r="AW7" s="537">
        <f t="shared" si="1"/>
        <v>0</v>
      </c>
      <c r="AX7" s="537">
        <f t="shared" si="1"/>
        <v>0</v>
      </c>
      <c r="AY7" s="537">
        <f t="shared" si="1"/>
        <v>0</v>
      </c>
      <c r="AZ7" s="537">
        <f t="shared" si="1"/>
        <v>0</v>
      </c>
      <c r="BA7" s="537">
        <f t="shared" si="1"/>
        <v>0</v>
      </c>
      <c r="BB7" s="537">
        <f t="shared" si="1"/>
        <v>0</v>
      </c>
      <c r="BC7" s="537">
        <f t="shared" si="1"/>
        <v>0</v>
      </c>
      <c r="BD7" s="537">
        <f t="shared" si="1"/>
        <v>0</v>
      </c>
      <c r="BE7" s="537">
        <f t="shared" si="1"/>
        <v>0</v>
      </c>
      <c r="BF7" s="537">
        <f t="shared" si="1"/>
        <v>0</v>
      </c>
      <c r="BG7" s="537">
        <f t="shared" si="1"/>
        <v>0</v>
      </c>
      <c r="BH7" s="537">
        <f t="shared" si="1"/>
        <v>0</v>
      </c>
      <c r="BI7" s="537">
        <f t="shared" si="1"/>
        <v>0</v>
      </c>
      <c r="BJ7" s="537">
        <f t="shared" si="1"/>
        <v>0</v>
      </c>
      <c r="BK7" s="537">
        <f t="shared" si="1"/>
        <v>0</v>
      </c>
      <c r="BL7" s="537">
        <f t="shared" si="1"/>
        <v>0</v>
      </c>
      <c r="BM7" s="537">
        <f t="shared" si="1"/>
        <v>0</v>
      </c>
      <c r="BN7" s="537">
        <f t="shared" si="1"/>
        <v>0</v>
      </c>
      <c r="BO7" s="537">
        <f t="shared" si="1"/>
        <v>0</v>
      </c>
      <c r="BP7" s="537">
        <f t="shared" si="1"/>
        <v>0</v>
      </c>
      <c r="BQ7" s="537">
        <f t="shared" si="1"/>
        <v>0</v>
      </c>
      <c r="BR7" s="537">
        <f t="shared" si="1"/>
        <v>0</v>
      </c>
      <c r="BS7" s="537">
        <f t="shared" si="1"/>
        <v>0</v>
      </c>
      <c r="BT7" s="537">
        <f t="shared" si="1"/>
        <v>0</v>
      </c>
      <c r="BU7" s="537">
        <f t="shared" si="1"/>
        <v>0</v>
      </c>
      <c r="BV7" s="537">
        <f t="shared" si="1"/>
        <v>0</v>
      </c>
      <c r="BW7" s="537">
        <f t="shared" si="1"/>
        <v>0</v>
      </c>
      <c r="BX7" s="537">
        <f t="shared" si="1"/>
        <v>0</v>
      </c>
      <c r="BY7" s="537">
        <f t="shared" si="1"/>
        <v>0</v>
      </c>
      <c r="BZ7" s="537">
        <f t="shared" si="1"/>
        <v>0</v>
      </c>
      <c r="CA7" s="537">
        <f t="shared" si="1"/>
        <v>0</v>
      </c>
      <c r="CB7" s="537">
        <f t="shared" si="1"/>
        <v>0</v>
      </c>
      <c r="CC7" s="537">
        <f t="shared" si="1"/>
        <v>0</v>
      </c>
      <c r="CD7" s="537">
        <f t="shared" si="1"/>
        <v>0</v>
      </c>
      <c r="CE7" s="537">
        <f t="shared" si="1"/>
        <v>0</v>
      </c>
      <c r="CF7" s="537">
        <f t="shared" ref="CF7:EQ7" si="2">SUBTOTAL(9,CF10:CF204)</f>
        <v>0</v>
      </c>
      <c r="CG7" s="537">
        <f t="shared" si="2"/>
        <v>0</v>
      </c>
      <c r="CH7" s="537">
        <f t="shared" si="2"/>
        <v>0</v>
      </c>
      <c r="CI7" s="537">
        <f t="shared" si="2"/>
        <v>0</v>
      </c>
      <c r="CJ7" s="537">
        <f t="shared" si="2"/>
        <v>0</v>
      </c>
      <c r="CK7" s="537">
        <f t="shared" si="2"/>
        <v>0</v>
      </c>
      <c r="CL7" s="537">
        <f t="shared" si="2"/>
        <v>0</v>
      </c>
      <c r="CM7" s="537">
        <f t="shared" si="2"/>
        <v>0</v>
      </c>
      <c r="CN7" s="537">
        <f t="shared" si="2"/>
        <v>0</v>
      </c>
      <c r="CO7" s="537">
        <f t="shared" si="2"/>
        <v>0</v>
      </c>
      <c r="CP7" s="537">
        <f t="shared" si="2"/>
        <v>0</v>
      </c>
      <c r="CQ7" s="537">
        <f t="shared" si="2"/>
        <v>0</v>
      </c>
      <c r="CR7" s="537">
        <f t="shared" si="2"/>
        <v>0</v>
      </c>
      <c r="CS7" s="537">
        <f t="shared" si="2"/>
        <v>0</v>
      </c>
      <c r="CT7" s="537">
        <f t="shared" si="2"/>
        <v>0</v>
      </c>
      <c r="CU7" s="537">
        <f t="shared" si="2"/>
        <v>0</v>
      </c>
      <c r="CV7" s="537">
        <f t="shared" si="2"/>
        <v>0</v>
      </c>
      <c r="CW7" s="537">
        <f t="shared" si="2"/>
        <v>0</v>
      </c>
      <c r="CX7" s="537">
        <f t="shared" si="2"/>
        <v>0</v>
      </c>
      <c r="CY7" s="537">
        <f t="shared" si="2"/>
        <v>0</v>
      </c>
      <c r="CZ7" s="537">
        <f t="shared" si="2"/>
        <v>0</v>
      </c>
      <c r="DA7" s="537">
        <f t="shared" si="2"/>
        <v>0</v>
      </c>
      <c r="DB7" s="537">
        <f t="shared" si="2"/>
        <v>0</v>
      </c>
      <c r="DC7" s="537">
        <f t="shared" si="2"/>
        <v>0</v>
      </c>
      <c r="DD7" s="537">
        <f t="shared" si="2"/>
        <v>0</v>
      </c>
      <c r="DE7" s="537">
        <f t="shared" si="2"/>
        <v>0</v>
      </c>
      <c r="DF7" s="537">
        <f t="shared" si="2"/>
        <v>0</v>
      </c>
      <c r="DG7" s="537">
        <f t="shared" si="2"/>
        <v>0</v>
      </c>
      <c r="DH7" s="537">
        <f t="shared" si="2"/>
        <v>0</v>
      </c>
      <c r="DI7" s="537">
        <f t="shared" si="2"/>
        <v>0</v>
      </c>
      <c r="DJ7" s="537">
        <f t="shared" si="2"/>
        <v>0</v>
      </c>
      <c r="DK7" s="537">
        <f t="shared" si="2"/>
        <v>0</v>
      </c>
      <c r="DL7" s="537">
        <f t="shared" si="2"/>
        <v>0</v>
      </c>
      <c r="DM7" s="537">
        <f t="shared" si="2"/>
        <v>0</v>
      </c>
      <c r="DN7" s="537">
        <f t="shared" si="2"/>
        <v>0</v>
      </c>
      <c r="DO7" s="537">
        <f t="shared" si="2"/>
        <v>0</v>
      </c>
      <c r="DP7" s="537">
        <f t="shared" si="2"/>
        <v>0</v>
      </c>
      <c r="DQ7" s="537">
        <f t="shared" si="2"/>
        <v>0</v>
      </c>
      <c r="DR7" s="537">
        <f t="shared" si="2"/>
        <v>0</v>
      </c>
      <c r="DS7" s="537">
        <f t="shared" si="2"/>
        <v>0</v>
      </c>
      <c r="DT7" s="537">
        <f t="shared" si="2"/>
        <v>0</v>
      </c>
      <c r="DU7" s="537">
        <f t="shared" si="2"/>
        <v>0</v>
      </c>
      <c r="DV7" s="537">
        <f t="shared" si="2"/>
        <v>0</v>
      </c>
      <c r="DW7" s="537">
        <f t="shared" si="2"/>
        <v>0</v>
      </c>
      <c r="DX7" s="537">
        <f t="shared" si="2"/>
        <v>0</v>
      </c>
      <c r="DY7" s="537">
        <f t="shared" si="2"/>
        <v>0</v>
      </c>
      <c r="DZ7" s="537">
        <f t="shared" si="2"/>
        <v>0</v>
      </c>
      <c r="EA7" s="537">
        <f t="shared" si="2"/>
        <v>0</v>
      </c>
      <c r="EB7" s="537">
        <f t="shared" si="2"/>
        <v>0</v>
      </c>
      <c r="EC7" s="537">
        <f t="shared" si="2"/>
        <v>0</v>
      </c>
      <c r="ED7" s="537">
        <f t="shared" si="2"/>
        <v>0</v>
      </c>
      <c r="EE7" s="537">
        <f t="shared" si="2"/>
        <v>0</v>
      </c>
      <c r="EF7" s="537">
        <f t="shared" si="2"/>
        <v>0</v>
      </c>
      <c r="EG7" s="537">
        <f t="shared" si="2"/>
        <v>0</v>
      </c>
      <c r="EH7" s="537">
        <f t="shared" si="2"/>
        <v>0</v>
      </c>
      <c r="EI7" s="537">
        <f t="shared" si="2"/>
        <v>0</v>
      </c>
      <c r="EJ7" s="537">
        <f t="shared" si="2"/>
        <v>0</v>
      </c>
      <c r="EK7" s="537">
        <f t="shared" si="2"/>
        <v>0</v>
      </c>
      <c r="EL7" s="537">
        <f t="shared" si="2"/>
        <v>0</v>
      </c>
      <c r="EM7" s="537">
        <f t="shared" si="2"/>
        <v>0</v>
      </c>
      <c r="EN7" s="537">
        <f t="shared" si="2"/>
        <v>0</v>
      </c>
      <c r="EO7" s="537">
        <f t="shared" si="2"/>
        <v>0</v>
      </c>
      <c r="EP7" s="537">
        <f t="shared" si="2"/>
        <v>0</v>
      </c>
      <c r="EQ7" s="537">
        <f t="shared" si="2"/>
        <v>0</v>
      </c>
      <c r="ER7" s="537">
        <f t="shared" ref="ER7:GA7" si="3">SUBTOTAL(9,ER10:ER204)</f>
        <v>0</v>
      </c>
      <c r="ES7" s="537">
        <f t="shared" si="3"/>
        <v>0</v>
      </c>
      <c r="ET7" s="537">
        <f t="shared" si="3"/>
        <v>0</v>
      </c>
      <c r="EU7" s="537">
        <f t="shared" si="3"/>
        <v>0</v>
      </c>
      <c r="EV7" s="537">
        <f t="shared" si="3"/>
        <v>0</v>
      </c>
      <c r="EW7" s="537">
        <f t="shared" si="3"/>
        <v>0</v>
      </c>
      <c r="EX7" s="537">
        <f t="shared" si="3"/>
        <v>0</v>
      </c>
      <c r="EY7" s="537">
        <f t="shared" si="3"/>
        <v>0</v>
      </c>
      <c r="EZ7" s="537">
        <f t="shared" si="3"/>
        <v>0</v>
      </c>
      <c r="FA7" s="537">
        <f t="shared" si="3"/>
        <v>0</v>
      </c>
      <c r="FB7" s="537">
        <f t="shared" si="3"/>
        <v>0</v>
      </c>
      <c r="FC7" s="537">
        <f t="shared" si="3"/>
        <v>0</v>
      </c>
      <c r="FD7" s="537">
        <f t="shared" si="3"/>
        <v>0</v>
      </c>
      <c r="FE7" s="537">
        <f t="shared" si="3"/>
        <v>0</v>
      </c>
      <c r="FF7" s="537">
        <f t="shared" si="3"/>
        <v>0</v>
      </c>
      <c r="FG7" s="537">
        <f t="shared" si="3"/>
        <v>0</v>
      </c>
      <c r="FH7" s="537">
        <f t="shared" si="3"/>
        <v>0</v>
      </c>
      <c r="FI7" s="537">
        <f t="shared" si="3"/>
        <v>0</v>
      </c>
      <c r="FJ7" s="537">
        <f t="shared" si="3"/>
        <v>0</v>
      </c>
      <c r="FK7" s="537">
        <f t="shared" si="3"/>
        <v>0</v>
      </c>
      <c r="FL7" s="537">
        <f t="shared" si="3"/>
        <v>0</v>
      </c>
      <c r="FM7" s="537">
        <f t="shared" si="3"/>
        <v>0</v>
      </c>
      <c r="FN7" s="537">
        <f t="shared" si="3"/>
        <v>0</v>
      </c>
      <c r="FO7" s="537">
        <f t="shared" si="3"/>
        <v>0</v>
      </c>
      <c r="FP7" s="537">
        <f t="shared" si="3"/>
        <v>0</v>
      </c>
      <c r="FQ7" s="537">
        <f t="shared" si="3"/>
        <v>0</v>
      </c>
      <c r="FR7" s="537">
        <f t="shared" si="3"/>
        <v>0</v>
      </c>
      <c r="FS7" s="537">
        <f t="shared" si="3"/>
        <v>0</v>
      </c>
      <c r="FT7" s="537">
        <f t="shared" si="3"/>
        <v>0</v>
      </c>
      <c r="FU7" s="537">
        <f t="shared" si="3"/>
        <v>0</v>
      </c>
      <c r="FV7" s="537">
        <f t="shared" si="3"/>
        <v>0</v>
      </c>
      <c r="FW7" s="537">
        <f t="shared" si="3"/>
        <v>0</v>
      </c>
      <c r="FX7" s="537">
        <f t="shared" si="3"/>
        <v>0</v>
      </c>
      <c r="FY7" s="537">
        <f t="shared" si="3"/>
        <v>0</v>
      </c>
      <c r="FZ7" s="537">
        <f t="shared" si="3"/>
        <v>0</v>
      </c>
      <c r="GA7" s="537">
        <f t="shared" si="3"/>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4">E10*D$5</f>
        <v>0</v>
      </c>
      <c r="D10" s="103" t="s">
        <v>106</v>
      </c>
      <c r="E10" s="36">
        <f t="shared" ref="E10:E73" si="5">SUM(G10:HT10)</f>
        <v>0</v>
      </c>
      <c r="F10" s="35" t="s">
        <v>228</v>
      </c>
      <c r="G10" s="121">
        <v>1</v>
      </c>
      <c r="H10" s="122"/>
      <c r="I10" s="121"/>
      <c r="J10" s="122">
        <v>-1</v>
      </c>
      <c r="K10" s="121"/>
      <c r="L10" s="121"/>
      <c r="M10" s="121"/>
      <c r="N10" s="121"/>
      <c r="O10" s="121"/>
      <c r="P10" s="121"/>
      <c r="Q10" s="123"/>
      <c r="R10" s="123"/>
      <c r="S10" s="121"/>
      <c r="T10" s="121"/>
      <c r="U10" s="121"/>
      <c r="V10" s="121"/>
      <c r="W10" s="121"/>
      <c r="X10" s="121"/>
      <c r="Y10" s="121"/>
      <c r="Z10" s="121"/>
      <c r="AA10" s="121"/>
      <c r="AB10" s="121"/>
      <c r="AC10" s="121"/>
      <c r="AD10" s="123"/>
      <c r="AE10" s="123"/>
      <c r="AF10" s="123"/>
      <c r="AG10" s="123"/>
      <c r="AH10" s="123"/>
      <c r="AI10" s="123"/>
      <c r="AJ10" s="123"/>
      <c r="AK10" s="121"/>
      <c r="AL10" s="123"/>
      <c r="AM10" s="121"/>
      <c r="AN10" s="123"/>
      <c r="AO10" s="121"/>
      <c r="AP10" s="121"/>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4"/>
        <v>-75.34</v>
      </c>
      <c r="D11" s="410" t="s">
        <v>436</v>
      </c>
      <c r="E11" s="413">
        <f t="shared" si="5"/>
        <v>-1</v>
      </c>
      <c r="F11" s="35" t="s">
        <v>228</v>
      </c>
      <c r="G11" s="121"/>
      <c r="H11" s="121"/>
      <c r="I11" s="121">
        <v>-1</v>
      </c>
      <c r="J11" s="122">
        <v>1</v>
      </c>
      <c r="K11" s="121">
        <v>-1</v>
      </c>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4"/>
        <v>-75.34</v>
      </c>
      <c r="D12" s="410" t="s">
        <v>2976</v>
      </c>
      <c r="E12" s="413">
        <f t="shared" si="5"/>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v>-1</v>
      </c>
      <c r="AD12" s="124">
        <v>-1</v>
      </c>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4"/>
        <v>0</v>
      </c>
      <c r="D13" s="103" t="s">
        <v>479</v>
      </c>
      <c r="E13" s="86">
        <f t="shared" si="5"/>
        <v>0</v>
      </c>
      <c r="F13" s="35" t="s">
        <v>228</v>
      </c>
      <c r="G13" s="121"/>
      <c r="H13" s="121"/>
      <c r="I13" s="121"/>
      <c r="J13" s="121"/>
      <c r="K13" s="121">
        <v>1</v>
      </c>
      <c r="L13" s="121">
        <v>-1</v>
      </c>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4"/>
        <v>0</v>
      </c>
      <c r="D14" s="103" t="s">
        <v>2977</v>
      </c>
      <c r="E14" s="36">
        <f t="shared" si="5"/>
        <v>0</v>
      </c>
      <c r="F14" s="35" t="s">
        <v>228</v>
      </c>
      <c r="G14" s="121"/>
      <c r="H14" s="121"/>
      <c r="I14" s="121"/>
      <c r="J14" s="121"/>
      <c r="K14" s="121"/>
      <c r="L14" s="121">
        <v>1</v>
      </c>
      <c r="M14" s="121">
        <v>-1</v>
      </c>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4"/>
        <v>111.26595433999999</v>
      </c>
      <c r="D15" s="103" t="s">
        <v>2978</v>
      </c>
      <c r="E15" s="36">
        <f t="shared" si="5"/>
        <v>1.4768509999999999</v>
      </c>
      <c r="F15" s="35" t="s">
        <v>228</v>
      </c>
      <c r="G15" s="121"/>
      <c r="H15" s="121"/>
      <c r="I15" s="121"/>
      <c r="J15" s="121"/>
      <c r="K15" s="121"/>
      <c r="L15" s="121"/>
      <c r="M15" s="121">
        <v>1</v>
      </c>
      <c r="N15" s="121">
        <v>1</v>
      </c>
      <c r="O15" s="121">
        <v>1</v>
      </c>
      <c r="P15" s="121">
        <v>-1</v>
      </c>
      <c r="Q15" s="123"/>
      <c r="R15" s="123">
        <v>0.47685100000000002</v>
      </c>
      <c r="S15" s="121"/>
      <c r="T15" s="121"/>
      <c r="U15" s="121">
        <v>-1</v>
      </c>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4"/>
        <v>-75.34</v>
      </c>
      <c r="D16" s="410" t="s">
        <v>616</v>
      </c>
      <c r="E16" s="411">
        <f t="shared" si="5"/>
        <v>-1</v>
      </c>
      <c r="F16" s="35" t="s">
        <v>228</v>
      </c>
      <c r="G16" s="121"/>
      <c r="H16" s="121"/>
      <c r="I16" s="121"/>
      <c r="J16" s="121"/>
      <c r="K16" s="121"/>
      <c r="L16" s="121"/>
      <c r="M16" s="121"/>
      <c r="N16" s="121">
        <v>-1</v>
      </c>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4"/>
        <v>-75.34</v>
      </c>
      <c r="D17" s="410" t="s">
        <v>2979</v>
      </c>
      <c r="E17" s="411">
        <f t="shared" si="5"/>
        <v>-1</v>
      </c>
      <c r="F17" s="35" t="s">
        <v>228</v>
      </c>
      <c r="G17" s="121"/>
      <c r="H17" s="121"/>
      <c r="I17" s="121"/>
      <c r="J17" s="121"/>
      <c r="K17" s="121"/>
      <c r="L17" s="121"/>
      <c r="M17" s="121"/>
      <c r="N17" s="121"/>
      <c r="O17" s="121">
        <v>-1</v>
      </c>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4"/>
        <v>26.350089659999998</v>
      </c>
      <c r="D18" s="103" t="s">
        <v>2980</v>
      </c>
      <c r="E18" s="36">
        <f t="shared" si="5"/>
        <v>0.34974899999999998</v>
      </c>
      <c r="F18" s="35" t="s">
        <v>228</v>
      </c>
      <c r="G18" s="121"/>
      <c r="H18" s="121"/>
      <c r="I18" s="121"/>
      <c r="J18" s="121"/>
      <c r="K18" s="121"/>
      <c r="L18" s="121"/>
      <c r="M18" s="121"/>
      <c r="N18" s="121"/>
      <c r="O18" s="122"/>
      <c r="P18" s="128">
        <v>1</v>
      </c>
      <c r="Q18" s="124">
        <v>-0.65025100000000002</v>
      </c>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4"/>
        <v>-3.0136000000866583E-5</v>
      </c>
      <c r="D19" s="412" t="s">
        <v>663</v>
      </c>
      <c r="E19" s="411">
        <f t="shared" si="5"/>
        <v>-4.0000000001150227E-7</v>
      </c>
      <c r="F19" s="35" t="s">
        <v>228</v>
      </c>
      <c r="G19" s="121"/>
      <c r="H19" s="121"/>
      <c r="I19" s="121"/>
      <c r="J19" s="121"/>
      <c r="K19" s="121"/>
      <c r="L19" s="121"/>
      <c r="M19" s="121"/>
      <c r="N19" s="121"/>
      <c r="O19" s="122"/>
      <c r="P19" s="128"/>
      <c r="Q19" s="128">
        <v>0.65025100000000002</v>
      </c>
      <c r="R19" s="123">
        <v>-0.47685100000000002</v>
      </c>
      <c r="S19" s="129">
        <v>-8.6700200000000005E-2</v>
      </c>
      <c r="T19" s="121">
        <v>-8.6700200000000005E-2</v>
      </c>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4"/>
        <v>-68.808006931999998</v>
      </c>
      <c r="D20" s="412" t="s">
        <v>225</v>
      </c>
      <c r="E20" s="413">
        <f t="shared" si="5"/>
        <v>-0.91329979999999999</v>
      </c>
      <c r="F20" s="35" t="s">
        <v>228</v>
      </c>
      <c r="G20" s="121"/>
      <c r="H20" s="121"/>
      <c r="I20" s="121"/>
      <c r="J20" s="121"/>
      <c r="K20" s="121"/>
      <c r="L20" s="121"/>
      <c r="M20" s="121"/>
      <c r="N20" s="121"/>
      <c r="O20" s="122"/>
      <c r="P20" s="128"/>
      <c r="Q20" s="128"/>
      <c r="R20" s="123"/>
      <c r="S20" s="129">
        <v>8.6700200000000005E-2</v>
      </c>
      <c r="T20" s="121"/>
      <c r="U20" s="121"/>
      <c r="V20" s="121"/>
      <c r="W20" s="121"/>
      <c r="X20" s="121"/>
      <c r="Y20" s="121"/>
      <c r="Z20" s="121"/>
      <c r="AA20" s="121"/>
      <c r="AB20" s="121"/>
      <c r="AC20" s="121"/>
      <c r="AD20" s="123"/>
      <c r="AE20" s="123"/>
      <c r="AF20" s="123"/>
      <c r="AG20" s="123"/>
      <c r="AH20" s="123"/>
      <c r="AI20" s="123"/>
      <c r="AJ20" s="123"/>
      <c r="AK20" s="121">
        <v>-1</v>
      </c>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4"/>
        <v>-68.808006931999998</v>
      </c>
      <c r="D21" s="410" t="s">
        <v>671</v>
      </c>
      <c r="E21" s="411">
        <f t="shared" si="5"/>
        <v>-0.91329979999999999</v>
      </c>
      <c r="F21" s="35" t="s">
        <v>228</v>
      </c>
      <c r="G21" s="121"/>
      <c r="H21" s="121"/>
      <c r="I21" s="121"/>
      <c r="J21" s="121"/>
      <c r="K21" s="121"/>
      <c r="L21" s="121"/>
      <c r="M21" s="121"/>
      <c r="N21" s="121"/>
      <c r="O21" s="121"/>
      <c r="P21" s="128"/>
      <c r="Q21" s="128"/>
      <c r="R21" s="123"/>
      <c r="S21" s="129"/>
      <c r="T21" s="121">
        <v>8.6700200000000005E-2</v>
      </c>
      <c r="U21" s="121"/>
      <c r="V21" s="121"/>
      <c r="W21" s="121"/>
      <c r="X21" s="121"/>
      <c r="Y21" s="121">
        <v>-1</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4"/>
        <v>-56.505000000000003</v>
      </c>
      <c r="D22" s="410" t="s">
        <v>1220</v>
      </c>
      <c r="E22" s="413">
        <f t="shared" si="5"/>
        <v>-0.75</v>
      </c>
      <c r="F22" s="35" t="s">
        <v>228</v>
      </c>
      <c r="G22" s="121"/>
      <c r="H22" s="121"/>
      <c r="I22" s="121"/>
      <c r="J22" s="121"/>
      <c r="K22" s="121"/>
      <c r="L22" s="121"/>
      <c r="M22" s="121"/>
      <c r="N22" s="121"/>
      <c r="O22" s="121"/>
      <c r="P22" s="128"/>
      <c r="Q22" s="128"/>
      <c r="R22" s="123"/>
      <c r="S22" s="129"/>
      <c r="T22" s="121"/>
      <c r="U22" s="121">
        <v>0.25</v>
      </c>
      <c r="V22" s="121"/>
      <c r="W22" s="121"/>
      <c r="X22" s="121">
        <v>-1</v>
      </c>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4"/>
        <v>18.835000000000001</v>
      </c>
      <c r="D23" s="4" t="s">
        <v>2707</v>
      </c>
      <c r="E23" s="86">
        <f t="shared" si="5"/>
        <v>0.25</v>
      </c>
      <c r="F23" s="35" t="s">
        <v>228</v>
      </c>
      <c r="G23" s="121"/>
      <c r="H23" s="121"/>
      <c r="I23" s="121"/>
      <c r="J23" s="121"/>
      <c r="K23" s="121"/>
      <c r="L23" s="121"/>
      <c r="M23" s="121"/>
      <c r="N23" s="121"/>
      <c r="O23" s="121"/>
      <c r="P23" s="121"/>
      <c r="Q23" s="124"/>
      <c r="R23" s="123"/>
      <c r="S23" s="121"/>
      <c r="T23" s="129"/>
      <c r="U23" s="121">
        <v>0.25</v>
      </c>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4"/>
        <v>18.835000000000001</v>
      </c>
      <c r="D24" s="103" t="s">
        <v>2708</v>
      </c>
      <c r="E24" s="86">
        <f t="shared" si="5"/>
        <v>0.25</v>
      </c>
      <c r="F24" s="35" t="s">
        <v>228</v>
      </c>
      <c r="G24" s="121"/>
      <c r="H24" s="121"/>
      <c r="I24" s="121"/>
      <c r="J24" s="121"/>
      <c r="K24" s="121"/>
      <c r="L24" s="121"/>
      <c r="M24" s="121"/>
      <c r="N24" s="121"/>
      <c r="O24" s="121"/>
      <c r="P24" s="121"/>
      <c r="Q24" s="124"/>
      <c r="R24" s="123"/>
      <c r="S24" s="121"/>
      <c r="T24" s="129"/>
      <c r="U24" s="121">
        <v>0.25</v>
      </c>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4"/>
        <v>18.835000000000001</v>
      </c>
      <c r="D25" s="104" t="s">
        <v>209</v>
      </c>
      <c r="E25" s="86">
        <f t="shared" si="5"/>
        <v>0.25</v>
      </c>
      <c r="F25" s="35" t="s">
        <v>228</v>
      </c>
      <c r="G25" s="121"/>
      <c r="H25" s="121"/>
      <c r="I25" s="121"/>
      <c r="J25" s="121"/>
      <c r="K25" s="121"/>
      <c r="L25" s="121"/>
      <c r="M25" s="121"/>
      <c r="N25" s="121"/>
      <c r="O25" s="121"/>
      <c r="P25" s="121"/>
      <c r="Q25" s="124"/>
      <c r="R25" s="123"/>
      <c r="S25" s="121"/>
      <c r="T25" s="121"/>
      <c r="U25" s="129">
        <v>0.25</v>
      </c>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4"/>
        <v>-75.34</v>
      </c>
      <c r="D26" s="412" t="s">
        <v>2981</v>
      </c>
      <c r="E26" s="413">
        <f t="shared" si="5"/>
        <v>-1</v>
      </c>
      <c r="F26" s="35" t="s">
        <v>228</v>
      </c>
      <c r="G26" s="121"/>
      <c r="H26" s="121"/>
      <c r="I26" s="121"/>
      <c r="J26" s="121"/>
      <c r="K26" s="121"/>
      <c r="L26" s="121"/>
      <c r="M26" s="121"/>
      <c r="N26" s="121"/>
      <c r="O26" s="121"/>
      <c r="P26" s="121"/>
      <c r="Q26" s="123"/>
      <c r="R26" s="123"/>
      <c r="S26" s="121"/>
      <c r="T26" s="121"/>
      <c r="U26" s="129"/>
      <c r="V26" s="121">
        <v>-1</v>
      </c>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4"/>
        <v>75.34</v>
      </c>
      <c r="D27" s="3" t="s">
        <v>2982</v>
      </c>
      <c r="E27" s="36">
        <f t="shared" si="5"/>
        <v>1</v>
      </c>
      <c r="F27" s="35" t="s">
        <v>228</v>
      </c>
      <c r="G27" s="121"/>
      <c r="H27" s="121"/>
      <c r="I27" s="121"/>
      <c r="J27" s="121"/>
      <c r="K27" s="121"/>
      <c r="L27" s="121"/>
      <c r="M27" s="6"/>
      <c r="N27" s="121"/>
      <c r="O27" s="121"/>
      <c r="P27" s="121"/>
      <c r="Q27" s="123"/>
      <c r="R27" s="123"/>
      <c r="S27" s="121"/>
      <c r="T27" s="121"/>
      <c r="U27" s="121"/>
      <c r="V27" s="129">
        <v>1</v>
      </c>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4"/>
        <v>-75.34</v>
      </c>
      <c r="D28" s="421" t="s">
        <v>1151</v>
      </c>
      <c r="E28" s="411">
        <f t="shared" si="5"/>
        <v>-1</v>
      </c>
      <c r="F28" s="35" t="s">
        <v>228</v>
      </c>
      <c r="G28" s="121"/>
      <c r="H28" s="121"/>
      <c r="I28" s="121"/>
      <c r="J28" s="121"/>
      <c r="K28" s="121"/>
      <c r="L28" s="121"/>
      <c r="M28" s="5"/>
      <c r="N28" s="121"/>
      <c r="O28" s="121"/>
      <c r="P28" s="121"/>
      <c r="Q28" s="123"/>
      <c r="R28" s="123"/>
      <c r="S28" s="121"/>
      <c r="T28" s="121"/>
      <c r="U28" s="121"/>
      <c r="V28" s="129"/>
      <c r="W28" s="121">
        <v>-1</v>
      </c>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4"/>
        <v>75.34</v>
      </c>
      <c r="D29" s="4" t="s">
        <v>2983</v>
      </c>
      <c r="E29" s="86">
        <f t="shared" si="5"/>
        <v>1</v>
      </c>
      <c r="F29" s="35" t="s">
        <v>228</v>
      </c>
      <c r="G29" s="121"/>
      <c r="H29" s="121"/>
      <c r="I29" s="121"/>
      <c r="J29" s="121"/>
      <c r="K29" s="121"/>
      <c r="L29" s="121"/>
      <c r="M29" s="5"/>
      <c r="N29" s="121"/>
      <c r="O29" s="121"/>
      <c r="P29" s="121"/>
      <c r="Q29" s="123"/>
      <c r="R29" s="123"/>
      <c r="S29" s="121"/>
      <c r="T29" s="121"/>
      <c r="U29" s="121"/>
      <c r="V29" s="129"/>
      <c r="W29" s="121">
        <v>1</v>
      </c>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4"/>
        <v>75.34</v>
      </c>
      <c r="D30" s="103" t="s">
        <v>1221</v>
      </c>
      <c r="E30" s="36">
        <f t="shared" si="5"/>
        <v>1</v>
      </c>
      <c r="F30" s="35" t="s">
        <v>228</v>
      </c>
      <c r="G30" s="121"/>
      <c r="H30" s="121"/>
      <c r="I30" s="121"/>
      <c r="J30" s="121"/>
      <c r="K30" s="121"/>
      <c r="L30" s="121"/>
      <c r="M30" s="117"/>
      <c r="N30" s="121"/>
      <c r="O30" s="121"/>
      <c r="P30" s="121"/>
      <c r="Q30" s="123"/>
      <c r="R30" s="123"/>
      <c r="S30" s="121"/>
      <c r="T30" s="121"/>
      <c r="U30" s="121"/>
      <c r="V30" s="121"/>
      <c r="W30" s="129"/>
      <c r="X30" s="129">
        <v>1</v>
      </c>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4"/>
        <v>18.835000000000001</v>
      </c>
      <c r="D31" s="103" t="s">
        <v>339</v>
      </c>
      <c r="E31" s="86">
        <f t="shared" si="5"/>
        <v>0.25</v>
      </c>
      <c r="F31" s="35" t="s">
        <v>228</v>
      </c>
      <c r="G31" s="121"/>
      <c r="H31" s="121"/>
      <c r="I31" s="121"/>
      <c r="J31" s="121"/>
      <c r="K31" s="121"/>
      <c r="L31" s="121"/>
      <c r="M31" s="117"/>
      <c r="N31" s="121"/>
      <c r="O31" s="121"/>
      <c r="P31" s="121"/>
      <c r="Q31" s="123"/>
      <c r="R31" s="123"/>
      <c r="S31" s="121"/>
      <c r="T31" s="121"/>
      <c r="U31" s="121"/>
      <c r="V31" s="121"/>
      <c r="W31" s="129"/>
      <c r="X31" s="129"/>
      <c r="Y31" s="121">
        <v>0.25</v>
      </c>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4"/>
        <v>18.835000000000001</v>
      </c>
      <c r="D32" s="103" t="s">
        <v>2812</v>
      </c>
      <c r="E32" s="86">
        <f t="shared" si="5"/>
        <v>0.25</v>
      </c>
      <c r="F32" s="35" t="s">
        <v>228</v>
      </c>
      <c r="G32" s="121"/>
      <c r="H32" s="121"/>
      <c r="I32" s="121"/>
      <c r="J32" s="121"/>
      <c r="K32" s="121"/>
      <c r="L32" s="121"/>
      <c r="M32" s="117"/>
      <c r="N32" s="121"/>
      <c r="O32" s="121"/>
      <c r="P32" s="121"/>
      <c r="Q32" s="123"/>
      <c r="R32" s="123"/>
      <c r="S32" s="121"/>
      <c r="T32" s="121"/>
      <c r="U32" s="121"/>
      <c r="V32" s="121"/>
      <c r="W32" s="129"/>
      <c r="X32" s="121"/>
      <c r="Y32" s="129">
        <v>0.25</v>
      </c>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4"/>
        <v>-56.505000000000003</v>
      </c>
      <c r="D33" s="410" t="s">
        <v>268</v>
      </c>
      <c r="E33" s="411">
        <f t="shared" si="5"/>
        <v>-0.75</v>
      </c>
      <c r="F33" s="35" t="s">
        <v>228</v>
      </c>
      <c r="G33" s="121"/>
      <c r="H33" s="121"/>
      <c r="I33" s="121"/>
      <c r="J33" s="121"/>
      <c r="K33" s="121"/>
      <c r="L33" s="121"/>
      <c r="M33" s="121"/>
      <c r="N33" s="121"/>
      <c r="O33" s="121"/>
      <c r="P33" s="121"/>
      <c r="Q33" s="123"/>
      <c r="R33" s="123"/>
      <c r="S33" s="121"/>
      <c r="T33" s="121"/>
      <c r="U33" s="121"/>
      <c r="V33" s="121"/>
      <c r="W33" s="129"/>
      <c r="X33" s="121"/>
      <c r="Y33" s="121">
        <v>0.25</v>
      </c>
      <c r="Z33" s="129"/>
      <c r="AA33" s="121"/>
      <c r="AB33" s="121"/>
      <c r="AC33" s="121"/>
      <c r="AD33" s="123"/>
      <c r="AE33" s="123"/>
      <c r="AF33" s="123"/>
      <c r="AG33" s="123"/>
      <c r="AH33" s="123"/>
      <c r="AI33" s="123"/>
      <c r="AJ33" s="123"/>
      <c r="AK33" s="121"/>
      <c r="AL33" s="123"/>
      <c r="AM33" s="121">
        <v>-1</v>
      </c>
      <c r="AN33" s="123"/>
      <c r="AO33" s="121"/>
      <c r="AP33" s="121"/>
      <c r="AQ33" s="28"/>
      <c r="AR33" s="28"/>
      <c r="AS33" s="28"/>
    </row>
    <row r="34" spans="1:187" s="27" customFormat="1" x14ac:dyDescent="0.2">
      <c r="A34" s="125"/>
      <c r="B34" s="39"/>
      <c r="C34" s="36">
        <f t="shared" si="4"/>
        <v>18.835000000000001</v>
      </c>
      <c r="D34" s="103" t="s">
        <v>2813</v>
      </c>
      <c r="E34" s="36">
        <f t="shared" si="5"/>
        <v>0.25</v>
      </c>
      <c r="F34" s="35" t="s">
        <v>228</v>
      </c>
      <c r="G34" s="121"/>
      <c r="H34" s="121"/>
      <c r="I34" s="121"/>
      <c r="J34" s="121"/>
      <c r="K34" s="121"/>
      <c r="L34" s="121"/>
      <c r="M34" s="121"/>
      <c r="N34" s="121"/>
      <c r="O34" s="121"/>
      <c r="P34" s="121"/>
      <c r="Q34" s="123"/>
      <c r="R34" s="123"/>
      <c r="S34" s="121"/>
      <c r="T34" s="121"/>
      <c r="U34" s="121"/>
      <c r="V34" s="121"/>
      <c r="W34" s="129"/>
      <c r="X34" s="121"/>
      <c r="Y34" s="121">
        <v>0.25</v>
      </c>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4"/>
        <v>-75.34</v>
      </c>
      <c r="D35" s="410" t="s">
        <v>1584</v>
      </c>
      <c r="E35" s="411">
        <f t="shared" si="5"/>
        <v>-1</v>
      </c>
      <c r="F35" s="35" t="s">
        <v>228</v>
      </c>
      <c r="G35" s="121"/>
      <c r="H35" s="121"/>
      <c r="I35" s="121"/>
      <c r="J35" s="121"/>
      <c r="K35" s="121"/>
      <c r="L35" s="121"/>
      <c r="M35" s="121"/>
      <c r="N35" s="121"/>
      <c r="O35" s="121"/>
      <c r="P35" s="121"/>
      <c r="Q35" s="123"/>
      <c r="R35" s="123"/>
      <c r="S35" s="121"/>
      <c r="T35" s="121"/>
      <c r="U35" s="121"/>
      <c r="V35" s="121"/>
      <c r="W35" s="129"/>
      <c r="X35" s="121"/>
      <c r="Y35" s="121"/>
      <c r="Z35" s="121">
        <v>-1</v>
      </c>
      <c r="AA35" s="121">
        <v>-1</v>
      </c>
      <c r="AB35" s="121"/>
      <c r="AC35" s="121"/>
      <c r="AD35" s="121">
        <v>1</v>
      </c>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4"/>
        <v>0</v>
      </c>
      <c r="D36" s="330" t="s">
        <v>1585</v>
      </c>
      <c r="E36" s="36">
        <f t="shared" si="5"/>
        <v>0</v>
      </c>
      <c r="F36" s="35" t="s">
        <v>228</v>
      </c>
      <c r="G36" s="121"/>
      <c r="H36" s="121"/>
      <c r="I36" s="121"/>
      <c r="J36" s="121"/>
      <c r="K36" s="121"/>
      <c r="L36" s="121"/>
      <c r="M36" s="121"/>
      <c r="N36" s="121"/>
      <c r="O36" s="121"/>
      <c r="P36" s="121"/>
      <c r="Q36" s="123"/>
      <c r="R36" s="123"/>
      <c r="S36" s="121"/>
      <c r="T36" s="121"/>
      <c r="U36" s="121"/>
      <c r="V36" s="121"/>
      <c r="W36" s="121"/>
      <c r="X36" s="121"/>
      <c r="Y36" s="121"/>
      <c r="Z36" s="121">
        <v>1</v>
      </c>
      <c r="AA36" s="121">
        <v>1</v>
      </c>
      <c r="AB36" s="121">
        <v>-1</v>
      </c>
      <c r="AC36" s="121"/>
      <c r="AD36" s="121"/>
      <c r="AE36" s="123"/>
      <c r="AF36" s="124">
        <v>-1</v>
      </c>
      <c r="AG36" s="123"/>
      <c r="AH36" s="123"/>
      <c r="AI36" s="123"/>
      <c r="AJ36" s="123"/>
      <c r="AK36" s="121"/>
      <c r="AL36" s="123"/>
      <c r="AM36" s="121"/>
      <c r="AN36" s="124"/>
      <c r="AO36" s="121"/>
      <c r="AP36" s="121"/>
      <c r="AQ36" s="28"/>
      <c r="AR36" s="28"/>
      <c r="AS36" s="28"/>
    </row>
    <row r="37" spans="1:187" s="27" customFormat="1" x14ac:dyDescent="0.2">
      <c r="A37" s="125"/>
      <c r="B37" s="39"/>
      <c r="C37" s="86">
        <f>E37*D$5</f>
        <v>-75.34</v>
      </c>
      <c r="D37" s="410" t="s">
        <v>119</v>
      </c>
      <c r="E37" s="413">
        <f>SUM(G37:HT37)</f>
        <v>-1</v>
      </c>
      <c r="F37" s="35" t="s">
        <v>228</v>
      </c>
      <c r="G37" s="121"/>
      <c r="H37" s="121"/>
      <c r="I37" s="121"/>
      <c r="J37" s="122"/>
      <c r="K37" s="122"/>
      <c r="L37" s="123"/>
      <c r="M37" s="123"/>
      <c r="N37" s="123"/>
      <c r="O37" s="123"/>
      <c r="P37" s="123"/>
      <c r="Q37" s="123"/>
      <c r="R37" s="123"/>
      <c r="S37" s="123"/>
      <c r="T37" s="123"/>
      <c r="U37" s="123"/>
      <c r="V37" s="123"/>
      <c r="W37" s="123"/>
      <c r="X37" s="123"/>
      <c r="Y37" s="121"/>
      <c r="Z37" s="123"/>
      <c r="AA37" s="123"/>
      <c r="AB37" s="123">
        <v>1</v>
      </c>
      <c r="AC37" s="123"/>
      <c r="AD37" s="121"/>
      <c r="AE37" s="123"/>
      <c r="AF37" s="124"/>
      <c r="AG37" s="124">
        <v>-1</v>
      </c>
      <c r="AH37" s="124">
        <v>-1</v>
      </c>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6">E38*D$5</f>
        <v>0</v>
      </c>
      <c r="D38" s="4" t="s">
        <v>114</v>
      </c>
      <c r="E38" s="36">
        <f t="shared" ref="E38" si="7">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v>1</v>
      </c>
      <c r="AD38" s="121"/>
      <c r="AE38" s="123">
        <v>-1</v>
      </c>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6"/>
        <v>75.34</v>
      </c>
      <c r="D39" s="103" t="s">
        <v>2984</v>
      </c>
      <c r="E39" s="36">
        <f>SUM(G39:HT39)</f>
        <v>1</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v>1</v>
      </c>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6"/>
        <v>75.34</v>
      </c>
      <c r="D40" s="103" t="s">
        <v>1698</v>
      </c>
      <c r="E40" s="86">
        <f>SUM(G40:HT40)</f>
        <v>1</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v>1</v>
      </c>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6"/>
        <v>150.68</v>
      </c>
      <c r="D41" s="4" t="s">
        <v>2118</v>
      </c>
      <c r="E41" s="36">
        <f>SUM(G41:HT41)</f>
        <v>2</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c r="AC41" s="123"/>
      <c r="AD41" s="123"/>
      <c r="AE41" s="123"/>
      <c r="AF41" s="123"/>
      <c r="AG41" s="123">
        <v>1</v>
      </c>
      <c r="AH41" s="124">
        <v>1</v>
      </c>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-75.34</v>
      </c>
      <c r="D42" s="422" t="s">
        <v>2985</v>
      </c>
      <c r="E42" s="413">
        <f>SUM(G42:HT42)</f>
        <v>-1</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c r="AD42" s="123"/>
      <c r="AE42" s="123"/>
      <c r="AF42" s="123"/>
      <c r="AG42" s="123"/>
      <c r="AH42" s="123"/>
      <c r="AI42" s="123">
        <v>-1</v>
      </c>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75.34</v>
      </c>
      <c r="D43" s="3" t="s">
        <v>2745</v>
      </c>
      <c r="E43" s="86">
        <f>SUM(G43:HT43)</f>
        <v>1</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c r="AD43" s="123"/>
      <c r="AE43" s="123"/>
      <c r="AF43" s="123"/>
      <c r="AG43" s="123"/>
      <c r="AH43" s="123"/>
      <c r="AI43" s="123">
        <v>1</v>
      </c>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4"/>
        <v>-2.181349156</v>
      </c>
      <c r="D44" s="421" t="s">
        <v>2986</v>
      </c>
      <c r="E44" s="413">
        <f t="shared" si="5"/>
        <v>-2.8953400000000001E-2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c r="AD44" s="123"/>
      <c r="AE44" s="123"/>
      <c r="AF44" s="123"/>
      <c r="AG44" s="123"/>
      <c r="AH44" s="124"/>
      <c r="AI44" s="124"/>
      <c r="AJ44" s="123">
        <v>-2.8953400000000001E-2</v>
      </c>
      <c r="AK44" s="121"/>
      <c r="AL44" s="123"/>
      <c r="AM44" s="121"/>
      <c r="AN44" s="123"/>
      <c r="AO44" s="121"/>
      <c r="AP44" s="121"/>
      <c r="AQ44" s="28"/>
      <c r="AR44" s="28"/>
      <c r="AS44" s="28"/>
    </row>
    <row r="45" spans="1:187" s="27" customFormat="1" x14ac:dyDescent="0.2">
      <c r="A45" s="125"/>
      <c r="B45" s="39"/>
      <c r="C45" s="86">
        <f>E45*D$5</f>
        <v>2.181349156</v>
      </c>
      <c r="D45" s="3" t="s">
        <v>2987</v>
      </c>
      <c r="E45" s="86">
        <f>SUM(G45:HT45)</f>
        <v>2.8953400000000001E-2</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c r="AE45" s="123"/>
      <c r="AF45" s="123"/>
      <c r="AG45" s="123"/>
      <c r="AH45" s="123"/>
      <c r="AI45" s="123"/>
      <c r="AJ45" s="124">
        <v>2.8953400000000001E-2</v>
      </c>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4"/>
        <v>0</v>
      </c>
      <c r="D46" s="4" t="s">
        <v>2456</v>
      </c>
      <c r="E46" s="86">
        <f t="shared" si="5"/>
        <v>0</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c r="AF46" s="123"/>
      <c r="AG46" s="123"/>
      <c r="AH46" s="123"/>
      <c r="AI46" s="123"/>
      <c r="AJ46" s="124"/>
      <c r="AK46" s="121">
        <v>1</v>
      </c>
      <c r="AL46" s="123">
        <v>-1</v>
      </c>
      <c r="AM46" s="129"/>
      <c r="AN46" s="123"/>
      <c r="AO46" s="121"/>
      <c r="AP46" s="121"/>
      <c r="AQ46" s="28"/>
      <c r="AR46" s="28"/>
      <c r="AS46" s="28"/>
    </row>
    <row r="47" spans="1:187" s="27" customFormat="1" x14ac:dyDescent="0.2">
      <c r="A47" s="125"/>
      <c r="B47" s="39"/>
      <c r="C47" s="86">
        <f t="shared" si="4"/>
        <v>75.34</v>
      </c>
      <c r="D47" s="3" t="s">
        <v>2988</v>
      </c>
      <c r="E47" s="86">
        <f t="shared" si="5"/>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c r="AF47" s="123"/>
      <c r="AG47" s="123"/>
      <c r="AH47" s="123"/>
      <c r="AI47" s="123"/>
      <c r="AJ47" s="123"/>
      <c r="AK47" s="121"/>
      <c r="AL47" s="123">
        <v>1</v>
      </c>
      <c r="AM47" s="129"/>
      <c r="AN47" s="124"/>
      <c r="AO47" s="121"/>
      <c r="AP47" s="121"/>
      <c r="AQ47" s="28"/>
      <c r="AR47" s="28"/>
      <c r="AS47" s="28"/>
    </row>
    <row r="48" spans="1:187" s="27" customFormat="1" x14ac:dyDescent="0.2">
      <c r="A48" s="125"/>
      <c r="B48" s="39"/>
      <c r="C48" s="36">
        <f t="shared" si="4"/>
        <v>75.34</v>
      </c>
      <c r="D48" s="4" t="s">
        <v>2989</v>
      </c>
      <c r="E48" s="36">
        <f t="shared" si="5"/>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c r="AG48" s="123"/>
      <c r="AH48" s="123"/>
      <c r="AI48" s="123"/>
      <c r="AJ48" s="123"/>
      <c r="AK48" s="121"/>
      <c r="AL48" s="123"/>
      <c r="AM48" s="129">
        <v>1</v>
      </c>
      <c r="AN48" s="124"/>
      <c r="AO48" s="121"/>
      <c r="AP48" s="121"/>
      <c r="AQ48" s="28"/>
      <c r="AR48" s="28"/>
      <c r="AS48" s="28"/>
    </row>
    <row r="49" spans="1:45" s="27" customFormat="1" x14ac:dyDescent="0.2">
      <c r="A49" s="125"/>
      <c r="B49" s="39"/>
      <c r="C49" s="86">
        <f t="shared" si="4"/>
        <v>-75.34</v>
      </c>
      <c r="D49" s="422" t="s">
        <v>2990</v>
      </c>
      <c r="E49" s="411">
        <f t="shared" si="5"/>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c r="AH49" s="123"/>
      <c r="AI49" s="123"/>
      <c r="AJ49" s="123"/>
      <c r="AK49" s="121"/>
      <c r="AL49" s="123"/>
      <c r="AM49" s="121"/>
      <c r="AN49" s="124">
        <v>-1</v>
      </c>
      <c r="AO49" s="121"/>
      <c r="AP49" s="121"/>
      <c r="AQ49" s="28"/>
      <c r="AR49" s="28"/>
      <c r="AS49" s="28"/>
    </row>
    <row r="50" spans="1:45" s="27" customFormat="1" x14ac:dyDescent="0.2">
      <c r="A50" s="38"/>
      <c r="B50" s="37"/>
      <c r="C50" s="36">
        <f t="shared" si="4"/>
        <v>75.34</v>
      </c>
      <c r="D50" s="4" t="s">
        <v>2991</v>
      </c>
      <c r="E50" s="36">
        <f t="shared" si="5"/>
        <v>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c r="AI50" s="123"/>
      <c r="AJ50" s="123"/>
      <c r="AK50" s="121"/>
      <c r="AL50" s="123"/>
      <c r="AM50" s="121"/>
      <c r="AN50" s="123">
        <v>1</v>
      </c>
      <c r="AO50" s="121"/>
      <c r="AP50" s="121"/>
      <c r="AQ50" s="28"/>
      <c r="AR50" s="28"/>
      <c r="AS50" s="28"/>
    </row>
    <row r="51" spans="1:45" s="27" customFormat="1" x14ac:dyDescent="0.2">
      <c r="A51" s="38"/>
      <c r="B51" s="37"/>
      <c r="C51" s="36">
        <f t="shared" si="4"/>
        <v>-75.34</v>
      </c>
      <c r="D51" s="421" t="s">
        <v>2597</v>
      </c>
      <c r="E51" s="411">
        <f t="shared" si="5"/>
        <v>-1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c r="AJ51" s="123"/>
      <c r="AK51" s="121"/>
      <c r="AL51" s="123"/>
      <c r="AM51" s="121"/>
      <c r="AN51" s="123"/>
      <c r="AO51" s="121">
        <v>-1</v>
      </c>
      <c r="AP51" s="121"/>
      <c r="AQ51" s="28"/>
      <c r="AR51" s="28"/>
      <c r="AS51" s="28"/>
    </row>
    <row r="52" spans="1:45" s="27" customFormat="1" x14ac:dyDescent="0.2">
      <c r="A52" s="38"/>
      <c r="B52" s="37"/>
      <c r="C52" s="86">
        <f t="shared" si="4"/>
        <v>0</v>
      </c>
      <c r="D52" s="4" t="s">
        <v>2598</v>
      </c>
      <c r="E52" s="86">
        <f t="shared" si="5"/>
        <v>0</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v>1</v>
      </c>
      <c r="AP52" s="121">
        <v>-1</v>
      </c>
      <c r="AQ52" s="28"/>
      <c r="AR52" s="28"/>
      <c r="AS52" s="28"/>
    </row>
    <row r="53" spans="1:45" s="27" customFormat="1" x14ac:dyDescent="0.2">
      <c r="A53" s="38"/>
      <c r="B53" s="37" t="s">
        <v>167</v>
      </c>
      <c r="C53" s="86">
        <f t="shared" si="4"/>
        <v>75.34</v>
      </c>
      <c r="D53" s="4" t="s">
        <v>185</v>
      </c>
      <c r="E53" s="86">
        <f t="shared" si="5"/>
        <v>1</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v>1</v>
      </c>
      <c r="AQ53" s="28"/>
      <c r="AR53" s="28"/>
      <c r="AS53" s="28"/>
    </row>
    <row r="54" spans="1:45" s="27" customFormat="1" ht="12.95" customHeight="1" x14ac:dyDescent="0.2">
      <c r="A54" s="38"/>
      <c r="B54" s="37"/>
      <c r="C54" s="36">
        <f t="shared" si="4"/>
        <v>0</v>
      </c>
      <c r="D54" s="4"/>
      <c r="E54" s="36">
        <f t="shared" si="5"/>
        <v>0</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45" s="27" customFormat="1" ht="14.1" customHeight="1" x14ac:dyDescent="0.2">
      <c r="A55" s="38"/>
      <c r="B55" s="37"/>
      <c r="C55" s="36">
        <f t="shared" si="4"/>
        <v>0</v>
      </c>
      <c r="D55" s="4"/>
      <c r="E55" s="36">
        <f t="shared" si="5"/>
        <v>0</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45" s="27" customFormat="1" ht="17.45" customHeight="1" x14ac:dyDescent="0.2">
      <c r="A56" s="38"/>
      <c r="B56" s="37"/>
      <c r="C56" s="36">
        <f t="shared" si="4"/>
        <v>0</v>
      </c>
      <c r="D56" s="87"/>
      <c r="E56" s="36">
        <f t="shared" si="5"/>
        <v>0</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45" s="27" customFormat="1" ht="17.45" customHeight="1" x14ac:dyDescent="0.2">
      <c r="A57" s="38"/>
      <c r="B57" s="37"/>
      <c r="C57" s="36">
        <f t="shared" si="4"/>
        <v>0</v>
      </c>
      <c r="D57" s="89"/>
      <c r="E57" s="36">
        <f t="shared" si="5"/>
        <v>0</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45" s="27" customFormat="1" ht="17.45" customHeight="1" x14ac:dyDescent="0.2">
      <c r="A58" s="38"/>
      <c r="B58" s="37"/>
      <c r="C58" s="36">
        <f t="shared" si="4"/>
        <v>0</v>
      </c>
      <c r="D58" s="87"/>
      <c r="E58" s="36">
        <f t="shared" si="5"/>
        <v>0</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45" s="27" customFormat="1" ht="17.45" customHeight="1" x14ac:dyDescent="0.2">
      <c r="A59" s="38"/>
      <c r="B59" s="37"/>
      <c r="C59" s="36">
        <f t="shared" si="4"/>
        <v>0</v>
      </c>
      <c r="D59" s="87"/>
      <c r="E59" s="36">
        <f t="shared" si="5"/>
        <v>0</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45" s="27" customFormat="1" ht="16.5" customHeight="1" x14ac:dyDescent="0.2">
      <c r="A60" s="38"/>
      <c r="B60" s="37"/>
      <c r="C60" s="36">
        <f t="shared" si="4"/>
        <v>0</v>
      </c>
      <c r="D60" s="87"/>
      <c r="E60" s="36">
        <f t="shared" si="5"/>
        <v>0</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45" s="27" customFormat="1" x14ac:dyDescent="0.2">
      <c r="A61" s="38"/>
      <c r="B61" s="37"/>
      <c r="C61" s="36">
        <f t="shared" si="4"/>
        <v>0</v>
      </c>
      <c r="D61" s="4"/>
      <c r="E61" s="36">
        <f t="shared" si="5"/>
        <v>0</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c r="AR61" s="28"/>
      <c r="AS61" s="28"/>
    </row>
    <row r="62" spans="1:45" s="27" customFormat="1" x14ac:dyDescent="0.2">
      <c r="A62" s="38"/>
      <c r="B62" s="37"/>
      <c r="C62" s="86">
        <f t="shared" si="4"/>
        <v>0</v>
      </c>
      <c r="D62" s="3"/>
      <c r="E62" s="86">
        <f t="shared" si="5"/>
        <v>0</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c r="AS62" s="28"/>
    </row>
    <row r="63" spans="1:45" s="27" customFormat="1" x14ac:dyDescent="0.2">
      <c r="A63" s="38"/>
      <c r="B63" s="37"/>
      <c r="C63" s="86">
        <f t="shared" si="4"/>
        <v>0</v>
      </c>
      <c r="D63" s="3"/>
      <c r="E63" s="86">
        <f t="shared" si="5"/>
        <v>0</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5" s="27" customFormat="1" x14ac:dyDescent="0.2">
      <c r="A64" s="38"/>
      <c r="B64" s="37"/>
      <c r="C64" s="36">
        <f t="shared" si="4"/>
        <v>0</v>
      </c>
      <c r="D64" s="4"/>
      <c r="E64" s="36">
        <f t="shared" si="5"/>
        <v>0</v>
      </c>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45" s="27" customFormat="1" x14ac:dyDescent="0.2">
      <c r="A65" s="38"/>
      <c r="B65" s="37"/>
      <c r="C65" s="86">
        <f t="shared" si="4"/>
        <v>0</v>
      </c>
      <c r="D65" s="3"/>
      <c r="E65" s="86">
        <f t="shared" si="5"/>
        <v>0</v>
      </c>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45" s="27" customFormat="1" x14ac:dyDescent="0.2">
      <c r="A66" s="38"/>
      <c r="B66" s="37"/>
      <c r="C66" s="86">
        <f t="shared" si="4"/>
        <v>0</v>
      </c>
      <c r="D66" s="3"/>
      <c r="E66" s="86">
        <f t="shared" si="5"/>
        <v>0</v>
      </c>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45" s="27" customFormat="1" x14ac:dyDescent="0.2">
      <c r="A67" s="38"/>
      <c r="B67" s="37"/>
      <c r="C67" s="36">
        <f t="shared" si="4"/>
        <v>0</v>
      </c>
      <c r="D67" s="4"/>
      <c r="E67" s="36">
        <f t="shared" si="5"/>
        <v>0</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45" s="27" customFormat="1" x14ac:dyDescent="0.2">
      <c r="A68" s="38"/>
      <c r="B68" s="37"/>
      <c r="C68" s="36">
        <f t="shared" si="4"/>
        <v>0</v>
      </c>
      <c r="D68" s="4"/>
      <c r="E68" s="36">
        <f t="shared" si="5"/>
        <v>0</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45" s="27" customFormat="1" x14ac:dyDescent="0.2">
      <c r="A69" s="38"/>
      <c r="B69" s="37"/>
      <c r="C69" s="36">
        <f t="shared" si="4"/>
        <v>0</v>
      </c>
      <c r="D69" s="4"/>
      <c r="E69" s="36">
        <f t="shared" si="5"/>
        <v>0</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row>
    <row r="70" spans="1:45" s="27" customFormat="1" x14ac:dyDescent="0.2">
      <c r="A70" s="38"/>
      <c r="B70" s="37"/>
      <c r="C70" s="36">
        <f t="shared" si="4"/>
        <v>0</v>
      </c>
      <c r="D70" s="89"/>
      <c r="E70" s="36">
        <f t="shared" si="5"/>
        <v>0</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row>
    <row r="71" spans="1:45" s="27" customFormat="1" x14ac:dyDescent="0.2">
      <c r="A71" s="38"/>
      <c r="B71" s="37"/>
      <c r="C71" s="36">
        <f t="shared" si="4"/>
        <v>0</v>
      </c>
      <c r="D71" s="66"/>
      <c r="E71" s="36">
        <f t="shared" si="5"/>
        <v>0</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row>
    <row r="72" spans="1:45" s="27" customFormat="1" x14ac:dyDescent="0.2">
      <c r="A72" s="38"/>
      <c r="B72" s="37"/>
      <c r="C72" s="36">
        <f t="shared" si="4"/>
        <v>0</v>
      </c>
      <c r="D72" s="66"/>
      <c r="E72" s="36">
        <f t="shared" si="5"/>
        <v>0</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row>
    <row r="73" spans="1:45" s="27" customFormat="1" x14ac:dyDescent="0.2">
      <c r="A73" s="38"/>
      <c r="B73" s="37"/>
      <c r="C73" s="86">
        <f t="shared" si="4"/>
        <v>0</v>
      </c>
      <c r="D73" s="66"/>
      <c r="E73" s="86">
        <f t="shared" si="5"/>
        <v>0</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row>
    <row r="74" spans="1:45" s="27" customFormat="1" x14ac:dyDescent="0.2">
      <c r="A74" s="38"/>
      <c r="B74" s="37"/>
      <c r="C74" s="86">
        <f t="shared" si="4"/>
        <v>0</v>
      </c>
      <c r="D74" s="66"/>
      <c r="E74" s="86">
        <f t="shared" ref="E74:E137" si="8">SUM(G74:HT74)</f>
        <v>0</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row>
    <row r="75" spans="1:45" s="27" customFormat="1" x14ac:dyDescent="0.2">
      <c r="A75" s="38"/>
      <c r="B75" s="37"/>
      <c r="C75" s="36">
        <f t="shared" si="4"/>
        <v>0</v>
      </c>
      <c r="D75" s="66"/>
      <c r="E75" s="36">
        <f t="shared" si="8"/>
        <v>0</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row>
    <row r="76" spans="1:45" s="27" customFormat="1" x14ac:dyDescent="0.2">
      <c r="A76" s="38"/>
      <c r="B76" s="37"/>
      <c r="C76" s="36">
        <f t="shared" si="4"/>
        <v>0</v>
      </c>
      <c r="D76" s="66"/>
      <c r="E76" s="36">
        <f t="shared" si="8"/>
        <v>0</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row>
    <row r="77" spans="1:45" s="27" customFormat="1" x14ac:dyDescent="0.2">
      <c r="A77" s="38"/>
      <c r="B77" s="37"/>
      <c r="C77" s="36">
        <f t="shared" si="4"/>
        <v>0</v>
      </c>
      <c r="D77" s="88"/>
      <c r="E77" s="36">
        <f t="shared" si="8"/>
        <v>0</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row>
    <row r="78" spans="1:45" s="27" customFormat="1" x14ac:dyDescent="0.2">
      <c r="A78" s="38"/>
      <c r="B78" s="37"/>
      <c r="C78" s="36">
        <f t="shared" si="4"/>
        <v>0</v>
      </c>
      <c r="D78" s="66"/>
      <c r="E78" s="36">
        <f t="shared" si="8"/>
        <v>0</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45" s="27" customFormat="1" x14ac:dyDescent="0.2">
      <c r="A79" s="38"/>
      <c r="B79" s="37"/>
      <c r="C79" s="86">
        <f t="shared" si="4"/>
        <v>0</v>
      </c>
      <c r="D79" s="3"/>
      <c r="E79" s="86">
        <f t="shared" si="8"/>
        <v>0</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45" s="27" customFormat="1" x14ac:dyDescent="0.2">
      <c r="A80" s="38"/>
      <c r="B80" s="37"/>
      <c r="C80" s="36">
        <f t="shared" si="4"/>
        <v>0</v>
      </c>
      <c r="D80" s="66"/>
      <c r="E80" s="36">
        <f t="shared" si="8"/>
        <v>0</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45" s="27" customFormat="1" x14ac:dyDescent="0.2">
      <c r="A81" s="38"/>
      <c r="B81" s="37"/>
      <c r="C81" s="86">
        <f t="shared" si="4"/>
        <v>0</v>
      </c>
      <c r="D81" s="3"/>
      <c r="E81" s="86">
        <f t="shared" si="8"/>
        <v>0</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45" s="27" customFormat="1" x14ac:dyDescent="0.2">
      <c r="A82" s="38"/>
      <c r="B82" s="37"/>
      <c r="C82" s="36">
        <f t="shared" si="4"/>
        <v>0</v>
      </c>
      <c r="D82" s="66"/>
      <c r="E82" s="36">
        <f t="shared" si="8"/>
        <v>0</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row>
    <row r="83" spans="1:45" s="27" customFormat="1" x14ac:dyDescent="0.2">
      <c r="A83" s="38"/>
      <c r="B83" s="37"/>
      <c r="C83" s="86">
        <f t="shared" si="4"/>
        <v>0</v>
      </c>
      <c r="D83" s="3"/>
      <c r="E83" s="86">
        <f t="shared" si="8"/>
        <v>0</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45" s="27" customFormat="1" x14ac:dyDescent="0.2">
      <c r="A84" s="38"/>
      <c r="B84" s="37"/>
      <c r="C84" s="36">
        <f t="shared" si="4"/>
        <v>0</v>
      </c>
      <c r="D84" s="66"/>
      <c r="E84" s="36">
        <f t="shared" si="8"/>
        <v>0</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45" s="27" customFormat="1" x14ac:dyDescent="0.2">
      <c r="A85" s="38"/>
      <c r="B85" s="37"/>
      <c r="C85" s="36">
        <f t="shared" si="4"/>
        <v>0</v>
      </c>
      <c r="D85" s="66"/>
      <c r="E85" s="36">
        <f t="shared" si="8"/>
        <v>0</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row>
    <row r="86" spans="1:45" s="27" customFormat="1" x14ac:dyDescent="0.2">
      <c r="A86" s="38"/>
      <c r="B86" s="37"/>
      <c r="C86" s="36">
        <f t="shared" si="4"/>
        <v>0</v>
      </c>
      <c r="D86" s="66"/>
      <c r="E86" s="36">
        <f t="shared" si="8"/>
        <v>0</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row>
    <row r="87" spans="1:45" s="27" customFormat="1" x14ac:dyDescent="0.2">
      <c r="A87" s="38"/>
      <c r="B87" s="37"/>
      <c r="C87" s="36">
        <f t="shared" si="4"/>
        <v>0</v>
      </c>
      <c r="D87" s="66"/>
      <c r="E87" s="36">
        <f t="shared" si="8"/>
        <v>0</v>
      </c>
      <c r="Q87" s="100"/>
      <c r="R87" s="100"/>
      <c r="AD87" s="100"/>
      <c r="AE87" s="100"/>
      <c r="AF87" s="100"/>
      <c r="AG87" s="100"/>
      <c r="AH87" s="100"/>
      <c r="AI87" s="100"/>
      <c r="AJ87" s="100"/>
      <c r="AL87" s="100"/>
      <c r="AN87" s="100"/>
    </row>
    <row r="88" spans="1:45" s="27" customFormat="1" x14ac:dyDescent="0.2">
      <c r="A88" s="38"/>
      <c r="B88" s="37"/>
      <c r="C88" s="86">
        <f t="shared" si="4"/>
        <v>0</v>
      </c>
      <c r="D88" s="3"/>
      <c r="E88" s="86">
        <f t="shared" si="8"/>
        <v>0</v>
      </c>
      <c r="Q88" s="100"/>
      <c r="R88" s="100"/>
      <c r="AD88" s="100"/>
      <c r="AE88" s="100"/>
      <c r="AF88" s="100"/>
      <c r="AG88" s="100"/>
      <c r="AH88" s="100"/>
      <c r="AI88" s="100"/>
      <c r="AJ88" s="100"/>
      <c r="AL88" s="100"/>
      <c r="AN88" s="100"/>
    </row>
    <row r="89" spans="1:45" s="27" customFormat="1" x14ac:dyDescent="0.2">
      <c r="A89" s="38"/>
      <c r="B89" s="37"/>
      <c r="C89" s="36">
        <f t="shared" si="4"/>
        <v>0</v>
      </c>
      <c r="D89" s="66"/>
      <c r="E89" s="36">
        <f t="shared" si="8"/>
        <v>0</v>
      </c>
      <c r="Q89" s="100"/>
      <c r="R89" s="100"/>
      <c r="AD89" s="100"/>
      <c r="AE89" s="100"/>
      <c r="AF89" s="100"/>
      <c r="AG89" s="100"/>
      <c r="AH89" s="100"/>
      <c r="AI89" s="100"/>
      <c r="AJ89" s="100"/>
      <c r="AL89" s="100"/>
      <c r="AN89" s="100"/>
    </row>
    <row r="90" spans="1:45" s="27" customFormat="1" x14ac:dyDescent="0.2">
      <c r="A90" s="38"/>
      <c r="B90" s="37"/>
      <c r="C90" s="36">
        <f t="shared" si="4"/>
        <v>0</v>
      </c>
      <c r="D90" s="66"/>
      <c r="E90" s="86">
        <f t="shared" si="8"/>
        <v>0</v>
      </c>
      <c r="Q90" s="100"/>
      <c r="R90" s="100"/>
      <c r="AD90" s="100"/>
      <c r="AE90" s="100"/>
      <c r="AF90" s="100"/>
      <c r="AG90" s="100"/>
      <c r="AH90" s="100"/>
      <c r="AI90" s="100"/>
      <c r="AJ90" s="100"/>
      <c r="AL90" s="100"/>
      <c r="AN90" s="100"/>
    </row>
    <row r="91" spans="1:45" s="27" customFormat="1" x14ac:dyDescent="0.2">
      <c r="A91" s="38"/>
      <c r="B91" s="37"/>
      <c r="C91" s="86">
        <f t="shared" si="4"/>
        <v>0</v>
      </c>
      <c r="D91" s="66"/>
      <c r="E91" s="86">
        <f t="shared" si="8"/>
        <v>0</v>
      </c>
      <c r="Q91" s="100"/>
      <c r="R91" s="100"/>
      <c r="AD91" s="100"/>
      <c r="AE91" s="100"/>
      <c r="AF91" s="100"/>
      <c r="AG91" s="100"/>
      <c r="AH91" s="100"/>
      <c r="AI91" s="100"/>
      <c r="AJ91" s="100"/>
      <c r="AL91" s="100"/>
      <c r="AN91" s="100"/>
    </row>
    <row r="92" spans="1:45" s="27" customFormat="1" x14ac:dyDescent="0.2">
      <c r="A92" s="38"/>
      <c r="B92" s="37"/>
      <c r="C92" s="36">
        <f t="shared" si="4"/>
        <v>0</v>
      </c>
      <c r="D92" s="66"/>
      <c r="E92" s="86">
        <f t="shared" si="8"/>
        <v>0</v>
      </c>
      <c r="Q92" s="100"/>
      <c r="R92" s="100"/>
      <c r="AD92" s="100"/>
      <c r="AE92" s="100"/>
      <c r="AF92" s="100"/>
      <c r="AG92" s="100"/>
      <c r="AH92" s="100"/>
      <c r="AI92" s="100"/>
      <c r="AJ92" s="100"/>
      <c r="AL92" s="100"/>
      <c r="AN92" s="100"/>
    </row>
    <row r="93" spans="1:45" s="27" customFormat="1" x14ac:dyDescent="0.2">
      <c r="A93" s="38"/>
      <c r="B93" s="37"/>
      <c r="C93" s="86">
        <f t="shared" si="4"/>
        <v>0</v>
      </c>
      <c r="D93" s="66"/>
      <c r="E93" s="86">
        <f t="shared" si="8"/>
        <v>0</v>
      </c>
      <c r="Q93" s="100"/>
      <c r="R93" s="100"/>
      <c r="AD93" s="100"/>
      <c r="AE93" s="100"/>
      <c r="AF93" s="100"/>
      <c r="AG93" s="100"/>
      <c r="AH93" s="100"/>
      <c r="AI93" s="100"/>
      <c r="AJ93" s="100"/>
      <c r="AL93" s="100"/>
      <c r="AN93" s="100"/>
    </row>
    <row r="94" spans="1:45" s="27" customFormat="1" x14ac:dyDescent="0.2">
      <c r="A94" s="38"/>
      <c r="B94" s="37"/>
      <c r="C94" s="36">
        <f t="shared" si="4"/>
        <v>0</v>
      </c>
      <c r="D94" s="66"/>
      <c r="E94" s="86">
        <f t="shared" si="8"/>
        <v>0</v>
      </c>
      <c r="Q94" s="100"/>
      <c r="R94" s="100"/>
      <c r="AD94" s="100"/>
      <c r="AE94" s="100"/>
      <c r="AF94" s="100"/>
      <c r="AG94" s="100"/>
      <c r="AH94" s="100"/>
      <c r="AI94" s="100"/>
      <c r="AJ94" s="100"/>
      <c r="AL94" s="100"/>
      <c r="AN94" s="100"/>
    </row>
    <row r="95" spans="1:45" s="27" customFormat="1" x14ac:dyDescent="0.2">
      <c r="A95" s="38"/>
      <c r="B95" s="37"/>
      <c r="C95" s="86">
        <f t="shared" si="4"/>
        <v>0</v>
      </c>
      <c r="D95" s="66"/>
      <c r="E95" s="86">
        <f t="shared" si="8"/>
        <v>0</v>
      </c>
      <c r="Q95" s="100"/>
      <c r="R95" s="100"/>
      <c r="AD95" s="100"/>
      <c r="AE95" s="100"/>
      <c r="AF95" s="100"/>
      <c r="AG95" s="100"/>
      <c r="AH95" s="100"/>
      <c r="AI95" s="100"/>
      <c r="AJ95" s="100"/>
      <c r="AL95" s="100"/>
      <c r="AN95" s="100"/>
    </row>
    <row r="96" spans="1:45" s="27" customFormat="1" x14ac:dyDescent="0.2">
      <c r="A96" s="38"/>
      <c r="B96" s="37"/>
      <c r="C96" s="36">
        <f t="shared" si="4"/>
        <v>0</v>
      </c>
      <c r="D96" s="66"/>
      <c r="E96" s="36">
        <f t="shared" si="8"/>
        <v>0</v>
      </c>
      <c r="Q96" s="100"/>
      <c r="R96" s="100"/>
      <c r="AD96" s="100"/>
      <c r="AE96" s="100"/>
      <c r="AF96" s="100"/>
      <c r="AG96" s="100"/>
      <c r="AH96" s="100"/>
      <c r="AI96" s="100"/>
      <c r="AJ96" s="100"/>
      <c r="AL96" s="100"/>
      <c r="AN96" s="100"/>
    </row>
    <row r="97" spans="1:40" s="27" customFormat="1" x14ac:dyDescent="0.2">
      <c r="A97" s="38"/>
      <c r="B97" s="37"/>
      <c r="C97" s="36">
        <f t="shared" si="4"/>
        <v>0</v>
      </c>
      <c r="D97" s="66"/>
      <c r="E97" s="36">
        <f t="shared" si="8"/>
        <v>0</v>
      </c>
      <c r="Q97" s="100"/>
      <c r="R97" s="100"/>
      <c r="AD97" s="100"/>
      <c r="AE97" s="100"/>
      <c r="AF97" s="100"/>
      <c r="AG97" s="100"/>
      <c r="AH97" s="100"/>
      <c r="AI97" s="100"/>
      <c r="AJ97" s="100"/>
      <c r="AL97" s="100"/>
      <c r="AN97" s="100"/>
    </row>
    <row r="98" spans="1:40" s="27" customFormat="1" x14ac:dyDescent="0.2">
      <c r="A98" s="38"/>
      <c r="B98" s="37"/>
      <c r="C98" s="36">
        <f t="shared" si="4"/>
        <v>0</v>
      </c>
      <c r="D98" s="66"/>
      <c r="E98" s="36">
        <f t="shared" si="8"/>
        <v>0</v>
      </c>
      <c r="Q98" s="100"/>
      <c r="R98" s="100"/>
      <c r="AD98" s="100"/>
      <c r="AE98" s="100"/>
      <c r="AF98" s="100"/>
      <c r="AG98" s="100"/>
      <c r="AH98" s="100"/>
      <c r="AI98" s="100"/>
      <c r="AJ98" s="100"/>
      <c r="AL98" s="100"/>
      <c r="AN98" s="100"/>
    </row>
    <row r="99" spans="1:40" s="27" customFormat="1" x14ac:dyDescent="0.2">
      <c r="A99" s="38"/>
      <c r="B99" s="37"/>
      <c r="C99" s="36">
        <f t="shared" si="4"/>
        <v>0</v>
      </c>
      <c r="D99" s="3"/>
      <c r="E99" s="36">
        <f t="shared" si="8"/>
        <v>0</v>
      </c>
      <c r="Q99" s="100"/>
      <c r="R99" s="100"/>
      <c r="AD99" s="100"/>
      <c r="AE99" s="100"/>
      <c r="AF99" s="100"/>
      <c r="AG99" s="100"/>
      <c r="AH99" s="100"/>
      <c r="AI99" s="100"/>
      <c r="AJ99" s="100"/>
      <c r="AL99" s="100"/>
      <c r="AN99" s="100"/>
    </row>
    <row r="100" spans="1:40" s="27" customFormat="1" x14ac:dyDescent="0.2">
      <c r="A100" s="38"/>
      <c r="B100" s="37"/>
      <c r="C100" s="36">
        <f t="shared" si="4"/>
        <v>0</v>
      </c>
      <c r="D100" s="3"/>
      <c r="E100" s="36">
        <f t="shared" si="8"/>
        <v>0</v>
      </c>
      <c r="Q100" s="100"/>
      <c r="R100" s="100"/>
      <c r="AD100" s="100"/>
      <c r="AE100" s="100"/>
      <c r="AF100" s="100"/>
      <c r="AG100" s="100"/>
      <c r="AH100" s="100"/>
      <c r="AI100" s="100"/>
      <c r="AJ100" s="100"/>
      <c r="AL100" s="100"/>
      <c r="AN100" s="100"/>
    </row>
    <row r="101" spans="1:40" s="27" customFormat="1" x14ac:dyDescent="0.2">
      <c r="A101" s="38"/>
      <c r="B101" s="37"/>
      <c r="C101" s="36">
        <f t="shared" si="4"/>
        <v>0</v>
      </c>
      <c r="D101" s="20"/>
      <c r="E101" s="36">
        <f t="shared" si="8"/>
        <v>0</v>
      </c>
      <c r="Q101" s="100"/>
      <c r="R101" s="100"/>
      <c r="AD101" s="100"/>
      <c r="AE101" s="100"/>
      <c r="AF101" s="100"/>
      <c r="AG101" s="100"/>
      <c r="AH101" s="100"/>
      <c r="AI101" s="100"/>
      <c r="AJ101" s="100"/>
      <c r="AL101" s="100"/>
      <c r="AN101" s="100"/>
    </row>
    <row r="102" spans="1:40" s="27" customFormat="1" x14ac:dyDescent="0.2">
      <c r="A102" s="38"/>
      <c r="B102" s="37"/>
      <c r="C102" s="36">
        <f t="shared" si="4"/>
        <v>0</v>
      </c>
      <c r="D102" s="20"/>
      <c r="E102" s="36">
        <f t="shared" si="8"/>
        <v>0</v>
      </c>
      <c r="Q102" s="100"/>
      <c r="R102" s="100"/>
      <c r="AD102" s="100"/>
      <c r="AE102" s="100"/>
      <c r="AF102" s="100"/>
      <c r="AG102" s="100"/>
      <c r="AH102" s="100"/>
      <c r="AI102" s="100"/>
      <c r="AJ102" s="100"/>
      <c r="AL102" s="100"/>
      <c r="AN102" s="100"/>
    </row>
    <row r="103" spans="1:40" s="27" customFormat="1" x14ac:dyDescent="0.2">
      <c r="A103" s="38"/>
      <c r="B103" s="37"/>
      <c r="C103" s="36">
        <f t="shared" si="4"/>
        <v>0</v>
      </c>
      <c r="D103" s="20"/>
      <c r="E103" s="36">
        <f t="shared" si="8"/>
        <v>0</v>
      </c>
      <c r="Q103" s="100"/>
      <c r="R103" s="100"/>
      <c r="AD103" s="100"/>
      <c r="AE103" s="100"/>
      <c r="AF103" s="100"/>
      <c r="AG103" s="100"/>
      <c r="AH103" s="100"/>
      <c r="AI103" s="100"/>
      <c r="AJ103" s="100"/>
      <c r="AL103" s="100"/>
      <c r="AN103" s="100"/>
    </row>
    <row r="104" spans="1:40" s="27" customFormat="1" x14ac:dyDescent="0.2">
      <c r="A104" s="38"/>
      <c r="B104" s="37"/>
      <c r="C104" s="36">
        <f t="shared" si="4"/>
        <v>0</v>
      </c>
      <c r="D104" s="20"/>
      <c r="E104" s="36">
        <f t="shared" si="8"/>
        <v>0</v>
      </c>
      <c r="Q104" s="100"/>
      <c r="R104" s="100"/>
      <c r="AD104" s="100"/>
      <c r="AE104" s="100"/>
      <c r="AF104" s="100"/>
      <c r="AG104" s="100"/>
      <c r="AH104" s="100"/>
      <c r="AI104" s="100"/>
      <c r="AJ104" s="100"/>
      <c r="AL104" s="100"/>
      <c r="AN104" s="100"/>
    </row>
    <row r="105" spans="1:40" s="27" customFormat="1" x14ac:dyDescent="0.2">
      <c r="A105" s="38"/>
      <c r="B105" s="37"/>
      <c r="C105" s="36">
        <f t="shared" si="4"/>
        <v>0</v>
      </c>
      <c r="D105" s="20"/>
      <c r="E105" s="36">
        <f t="shared" si="8"/>
        <v>0</v>
      </c>
      <c r="Q105" s="100"/>
      <c r="R105" s="100"/>
      <c r="AD105" s="100"/>
      <c r="AE105" s="100"/>
      <c r="AF105" s="100"/>
      <c r="AG105" s="100"/>
      <c r="AH105" s="100"/>
      <c r="AI105" s="100"/>
      <c r="AJ105" s="100"/>
      <c r="AL105" s="100"/>
      <c r="AN105" s="100"/>
    </row>
    <row r="106" spans="1:40" s="27" customFormat="1" x14ac:dyDescent="0.2">
      <c r="A106" s="38"/>
      <c r="B106" s="37"/>
      <c r="C106" s="36">
        <f t="shared" si="4"/>
        <v>0</v>
      </c>
      <c r="D106" s="20"/>
      <c r="E106" s="36">
        <f t="shared" si="8"/>
        <v>0</v>
      </c>
      <c r="Q106" s="100"/>
      <c r="R106" s="100"/>
      <c r="AD106" s="100"/>
      <c r="AE106" s="100"/>
      <c r="AF106" s="100"/>
      <c r="AG106" s="100"/>
      <c r="AH106" s="100"/>
      <c r="AI106" s="100"/>
      <c r="AJ106" s="100"/>
      <c r="AL106" s="100"/>
      <c r="AN106" s="100"/>
    </row>
    <row r="107" spans="1:40" s="27" customFormat="1" x14ac:dyDescent="0.2">
      <c r="A107" s="38"/>
      <c r="B107" s="37"/>
      <c r="C107" s="36">
        <f t="shared" si="4"/>
        <v>0</v>
      </c>
      <c r="D107" s="20"/>
      <c r="E107" s="36">
        <f t="shared" si="8"/>
        <v>0</v>
      </c>
      <c r="Q107" s="100"/>
      <c r="R107" s="100"/>
      <c r="AD107" s="100"/>
      <c r="AE107" s="100"/>
      <c r="AF107" s="100"/>
      <c r="AG107" s="100"/>
      <c r="AH107" s="100"/>
      <c r="AI107" s="100"/>
      <c r="AJ107" s="100"/>
      <c r="AL107" s="100"/>
      <c r="AN107" s="100"/>
    </row>
    <row r="108" spans="1:40" s="27" customFormat="1" x14ac:dyDescent="0.2">
      <c r="A108" s="38"/>
      <c r="B108" s="37"/>
      <c r="C108" s="36">
        <f t="shared" si="4"/>
        <v>0</v>
      </c>
      <c r="D108" s="20"/>
      <c r="E108" s="36">
        <f t="shared" si="8"/>
        <v>0</v>
      </c>
      <c r="Q108" s="100"/>
      <c r="R108" s="100"/>
      <c r="AD108" s="100"/>
      <c r="AE108" s="100"/>
      <c r="AF108" s="100"/>
      <c r="AG108" s="100"/>
      <c r="AH108" s="100"/>
      <c r="AI108" s="100"/>
      <c r="AJ108" s="100"/>
      <c r="AL108" s="100"/>
      <c r="AN108" s="100"/>
    </row>
    <row r="109" spans="1:40" s="27" customFormat="1" x14ac:dyDescent="0.2">
      <c r="A109" s="38"/>
      <c r="B109" s="37"/>
      <c r="C109" s="36">
        <f t="shared" si="4"/>
        <v>0</v>
      </c>
      <c r="D109" s="20"/>
      <c r="E109" s="36">
        <f t="shared" si="8"/>
        <v>0</v>
      </c>
      <c r="Q109" s="100"/>
      <c r="R109" s="100"/>
      <c r="AD109" s="100"/>
      <c r="AE109" s="100"/>
      <c r="AF109" s="100"/>
      <c r="AG109" s="100"/>
      <c r="AH109" s="100"/>
      <c r="AI109" s="100"/>
      <c r="AJ109" s="100"/>
      <c r="AL109" s="100"/>
      <c r="AN109" s="100"/>
    </row>
    <row r="110" spans="1:40" s="27" customFormat="1" x14ac:dyDescent="0.2">
      <c r="A110" s="38"/>
      <c r="B110" s="37"/>
      <c r="C110" s="36">
        <f t="shared" si="4"/>
        <v>0</v>
      </c>
      <c r="D110" s="20"/>
      <c r="E110" s="36">
        <f t="shared" si="8"/>
        <v>0</v>
      </c>
      <c r="Q110" s="100"/>
      <c r="R110" s="100"/>
      <c r="AD110" s="100"/>
      <c r="AE110" s="100"/>
      <c r="AF110" s="100"/>
      <c r="AG110" s="100"/>
      <c r="AH110" s="100"/>
      <c r="AI110" s="100"/>
      <c r="AJ110" s="100"/>
      <c r="AL110" s="100"/>
      <c r="AN110" s="100"/>
    </row>
    <row r="111" spans="1:40" s="27" customFormat="1" x14ac:dyDescent="0.2">
      <c r="A111" s="38"/>
      <c r="B111" s="37"/>
      <c r="C111" s="36">
        <f t="shared" si="4"/>
        <v>0</v>
      </c>
      <c r="D111" s="20"/>
      <c r="E111" s="36">
        <f t="shared" si="8"/>
        <v>0</v>
      </c>
      <c r="Q111" s="100"/>
      <c r="R111" s="100"/>
      <c r="AD111" s="100"/>
      <c r="AE111" s="100"/>
      <c r="AF111" s="100"/>
      <c r="AG111" s="100"/>
      <c r="AH111" s="100"/>
      <c r="AI111" s="100"/>
      <c r="AJ111" s="100"/>
      <c r="AL111" s="100"/>
      <c r="AN111" s="100"/>
    </row>
    <row r="112" spans="1:40" s="27" customFormat="1" x14ac:dyDescent="0.2">
      <c r="A112" s="38"/>
      <c r="B112" s="37"/>
      <c r="C112" s="36">
        <f t="shared" si="4"/>
        <v>0</v>
      </c>
      <c r="D112" s="20"/>
      <c r="E112" s="36">
        <f t="shared" si="8"/>
        <v>0</v>
      </c>
      <c r="Q112" s="100"/>
      <c r="R112" s="100"/>
      <c r="AD112" s="100"/>
      <c r="AE112" s="100"/>
      <c r="AF112" s="100"/>
      <c r="AG112" s="100"/>
      <c r="AH112" s="100"/>
      <c r="AI112" s="100"/>
      <c r="AJ112" s="100"/>
      <c r="AL112" s="100"/>
      <c r="AN112" s="100"/>
    </row>
    <row r="113" spans="1:40" s="27" customFormat="1" x14ac:dyDescent="0.2">
      <c r="A113" s="38"/>
      <c r="B113" s="37"/>
      <c r="C113" s="36">
        <f t="shared" si="4"/>
        <v>0</v>
      </c>
      <c r="D113" s="20"/>
      <c r="E113" s="36">
        <f t="shared" si="8"/>
        <v>0</v>
      </c>
      <c r="Q113" s="100"/>
      <c r="R113" s="100"/>
      <c r="AD113" s="100"/>
      <c r="AE113" s="100"/>
      <c r="AF113" s="100"/>
      <c r="AG113" s="100"/>
      <c r="AH113" s="100"/>
      <c r="AI113" s="100"/>
      <c r="AJ113" s="100"/>
      <c r="AL113" s="100"/>
      <c r="AN113" s="100"/>
    </row>
    <row r="114" spans="1:40" s="27" customFormat="1" x14ac:dyDescent="0.2">
      <c r="A114" s="38"/>
      <c r="B114" s="37"/>
      <c r="C114" s="36">
        <f t="shared" si="4"/>
        <v>0</v>
      </c>
      <c r="D114" s="20"/>
      <c r="E114" s="36">
        <f t="shared" si="8"/>
        <v>0</v>
      </c>
      <c r="Q114" s="100"/>
      <c r="R114" s="100"/>
      <c r="AD114" s="100"/>
      <c r="AE114" s="100"/>
      <c r="AF114" s="100"/>
      <c r="AG114" s="100"/>
      <c r="AH114" s="100"/>
      <c r="AI114" s="100"/>
      <c r="AJ114" s="100"/>
      <c r="AL114" s="100"/>
      <c r="AN114" s="100"/>
    </row>
    <row r="115" spans="1:40" s="27" customFormat="1" x14ac:dyDescent="0.2">
      <c r="A115" s="38"/>
      <c r="B115" s="37"/>
      <c r="C115" s="36">
        <f t="shared" si="4"/>
        <v>0</v>
      </c>
      <c r="D115" s="20"/>
      <c r="E115" s="36">
        <f t="shared" si="8"/>
        <v>0</v>
      </c>
      <c r="Q115" s="100"/>
      <c r="R115" s="100"/>
      <c r="AD115" s="100"/>
      <c r="AE115" s="100"/>
      <c r="AF115" s="100"/>
      <c r="AG115" s="100"/>
      <c r="AH115" s="100"/>
      <c r="AI115" s="100"/>
      <c r="AJ115" s="100"/>
      <c r="AL115" s="100"/>
      <c r="AN115" s="100"/>
    </row>
    <row r="116" spans="1:40" s="27" customFormat="1" x14ac:dyDescent="0.2">
      <c r="A116" s="38"/>
      <c r="B116" s="37"/>
      <c r="C116" s="36">
        <f t="shared" si="4"/>
        <v>0</v>
      </c>
      <c r="D116" s="20"/>
      <c r="E116" s="36">
        <f t="shared" si="8"/>
        <v>0</v>
      </c>
      <c r="Q116" s="100"/>
      <c r="R116" s="100"/>
      <c r="AD116" s="100"/>
      <c r="AE116" s="100"/>
      <c r="AF116" s="100"/>
      <c r="AG116" s="100"/>
      <c r="AH116" s="100"/>
      <c r="AI116" s="100"/>
      <c r="AJ116" s="100"/>
      <c r="AL116" s="100"/>
      <c r="AN116" s="100"/>
    </row>
    <row r="117" spans="1:40" s="27" customFormat="1" x14ac:dyDescent="0.2">
      <c r="A117" s="38"/>
      <c r="B117" s="37"/>
      <c r="C117" s="36">
        <f t="shared" si="4"/>
        <v>0</v>
      </c>
      <c r="D117" s="20"/>
      <c r="E117" s="36">
        <f t="shared" si="8"/>
        <v>0</v>
      </c>
      <c r="Q117" s="100"/>
      <c r="R117" s="100"/>
      <c r="AD117" s="100"/>
      <c r="AE117" s="100"/>
      <c r="AF117" s="100"/>
      <c r="AG117" s="100"/>
      <c r="AH117" s="100"/>
      <c r="AI117" s="100"/>
      <c r="AJ117" s="100"/>
      <c r="AL117" s="100"/>
      <c r="AN117" s="100"/>
    </row>
    <row r="118" spans="1:40" s="27" customFormat="1" x14ac:dyDescent="0.2">
      <c r="A118" s="38"/>
      <c r="B118" s="37"/>
      <c r="C118" s="36">
        <f t="shared" si="4"/>
        <v>0</v>
      </c>
      <c r="D118" s="20"/>
      <c r="E118" s="36">
        <f t="shared" si="8"/>
        <v>0</v>
      </c>
      <c r="Q118" s="100"/>
      <c r="R118" s="100"/>
      <c r="AD118" s="100"/>
      <c r="AE118" s="100"/>
      <c r="AF118" s="100"/>
      <c r="AG118" s="100"/>
      <c r="AH118" s="100"/>
      <c r="AI118" s="100"/>
      <c r="AJ118" s="100"/>
      <c r="AL118" s="100"/>
      <c r="AN118" s="100"/>
    </row>
    <row r="119" spans="1:40" s="27" customFormat="1" x14ac:dyDescent="0.2">
      <c r="A119" s="38"/>
      <c r="B119" s="37"/>
      <c r="C119" s="36">
        <f t="shared" ref="C119:C182" si="9">E119*D$5</f>
        <v>0</v>
      </c>
      <c r="D119" s="20"/>
      <c r="E119" s="36">
        <f t="shared" si="8"/>
        <v>0</v>
      </c>
      <c r="Q119" s="100"/>
      <c r="R119" s="100"/>
      <c r="AD119" s="100"/>
      <c r="AE119" s="100"/>
      <c r="AF119" s="100"/>
      <c r="AG119" s="100"/>
      <c r="AH119" s="100"/>
      <c r="AI119" s="100"/>
      <c r="AJ119" s="100"/>
      <c r="AL119" s="100"/>
      <c r="AN119" s="100"/>
    </row>
    <row r="120" spans="1:40" s="27" customFormat="1" x14ac:dyDescent="0.2">
      <c r="A120" s="38"/>
      <c r="B120" s="37"/>
      <c r="C120" s="36">
        <f t="shared" si="9"/>
        <v>0</v>
      </c>
      <c r="D120" s="20"/>
      <c r="E120" s="36">
        <f t="shared" si="8"/>
        <v>0</v>
      </c>
      <c r="Q120" s="100"/>
      <c r="R120" s="100"/>
      <c r="AD120" s="100"/>
      <c r="AE120" s="100"/>
      <c r="AF120" s="100"/>
      <c r="AG120" s="100"/>
      <c r="AH120" s="100"/>
      <c r="AI120" s="100"/>
      <c r="AJ120" s="100"/>
      <c r="AL120" s="100"/>
      <c r="AN120" s="100"/>
    </row>
    <row r="121" spans="1:40" s="27" customFormat="1" x14ac:dyDescent="0.2">
      <c r="A121" s="38"/>
      <c r="B121" s="37"/>
      <c r="C121" s="36">
        <f t="shared" si="9"/>
        <v>0</v>
      </c>
      <c r="D121" s="20"/>
      <c r="E121" s="36">
        <f t="shared" si="8"/>
        <v>0</v>
      </c>
      <c r="Q121" s="100"/>
      <c r="R121" s="100"/>
      <c r="AD121" s="100"/>
      <c r="AE121" s="100"/>
      <c r="AF121" s="100"/>
      <c r="AG121" s="100"/>
      <c r="AH121" s="100"/>
      <c r="AI121" s="100"/>
      <c r="AJ121" s="100"/>
      <c r="AL121" s="100"/>
      <c r="AN121" s="100"/>
    </row>
    <row r="122" spans="1:40" s="27" customFormat="1" x14ac:dyDescent="0.2">
      <c r="A122" s="38"/>
      <c r="B122" s="37"/>
      <c r="C122" s="36">
        <f t="shared" si="9"/>
        <v>0</v>
      </c>
      <c r="D122" s="20"/>
      <c r="E122" s="36">
        <f t="shared" si="8"/>
        <v>0</v>
      </c>
      <c r="Q122" s="100"/>
      <c r="R122" s="100"/>
      <c r="AD122" s="100"/>
      <c r="AE122" s="100"/>
      <c r="AF122" s="100"/>
      <c r="AG122" s="100"/>
      <c r="AH122" s="100"/>
      <c r="AI122" s="100"/>
      <c r="AJ122" s="100"/>
      <c r="AL122" s="100"/>
      <c r="AN122" s="100"/>
    </row>
    <row r="123" spans="1:40" s="27" customFormat="1" x14ac:dyDescent="0.2">
      <c r="A123" s="38"/>
      <c r="B123" s="37"/>
      <c r="C123" s="36">
        <f t="shared" si="9"/>
        <v>0</v>
      </c>
      <c r="D123" s="20"/>
      <c r="E123" s="36">
        <f t="shared" si="8"/>
        <v>0</v>
      </c>
      <c r="Q123" s="100"/>
      <c r="R123" s="100"/>
      <c r="AD123" s="100"/>
      <c r="AE123" s="100"/>
      <c r="AF123" s="100"/>
      <c r="AG123" s="100"/>
      <c r="AH123" s="100"/>
      <c r="AI123" s="100"/>
      <c r="AJ123" s="100"/>
      <c r="AL123" s="100"/>
      <c r="AN123" s="100"/>
    </row>
    <row r="124" spans="1:40" s="27" customFormat="1" x14ac:dyDescent="0.2">
      <c r="A124" s="38"/>
      <c r="B124" s="37"/>
      <c r="C124" s="36">
        <f t="shared" si="9"/>
        <v>0</v>
      </c>
      <c r="D124" s="20"/>
      <c r="E124" s="36">
        <f t="shared" si="8"/>
        <v>0</v>
      </c>
      <c r="Q124" s="100"/>
      <c r="R124" s="100"/>
      <c r="AD124" s="100"/>
      <c r="AE124" s="100"/>
      <c r="AF124" s="100"/>
      <c r="AG124" s="100"/>
      <c r="AH124" s="100"/>
      <c r="AI124" s="100"/>
      <c r="AJ124" s="100"/>
      <c r="AL124" s="100"/>
      <c r="AN124" s="100"/>
    </row>
    <row r="125" spans="1:40" s="27" customFormat="1" x14ac:dyDescent="0.2">
      <c r="A125" s="38"/>
      <c r="B125" s="37"/>
      <c r="C125" s="36">
        <f t="shared" si="9"/>
        <v>0</v>
      </c>
      <c r="D125" s="20"/>
      <c r="E125" s="36">
        <f t="shared" si="8"/>
        <v>0</v>
      </c>
      <c r="Q125" s="100"/>
      <c r="R125" s="100"/>
      <c r="AD125" s="100"/>
      <c r="AE125" s="100"/>
      <c r="AF125" s="100"/>
      <c r="AG125" s="100"/>
      <c r="AH125" s="100"/>
      <c r="AI125" s="100"/>
      <c r="AJ125" s="100"/>
      <c r="AL125" s="100"/>
      <c r="AN125" s="100"/>
    </row>
    <row r="126" spans="1:40" s="27" customFormat="1" x14ac:dyDescent="0.2">
      <c r="A126" s="38"/>
      <c r="B126" s="37"/>
      <c r="C126" s="36">
        <f t="shared" si="9"/>
        <v>0</v>
      </c>
      <c r="D126" s="20"/>
      <c r="E126" s="36">
        <f t="shared" si="8"/>
        <v>0</v>
      </c>
      <c r="Q126" s="100"/>
      <c r="R126" s="100"/>
      <c r="AD126" s="100"/>
      <c r="AE126" s="100"/>
      <c r="AF126" s="100"/>
      <c r="AG126" s="100"/>
      <c r="AH126" s="100"/>
      <c r="AI126" s="100"/>
      <c r="AJ126" s="100"/>
      <c r="AL126" s="100"/>
      <c r="AN126" s="100"/>
    </row>
    <row r="127" spans="1:40" s="27" customFormat="1" x14ac:dyDescent="0.2">
      <c r="A127" s="38"/>
      <c r="B127" s="37"/>
      <c r="C127" s="36">
        <f t="shared" si="9"/>
        <v>0</v>
      </c>
      <c r="D127" s="20"/>
      <c r="E127" s="36">
        <f t="shared" si="8"/>
        <v>0</v>
      </c>
      <c r="Q127" s="100"/>
      <c r="R127" s="100"/>
      <c r="AD127" s="100"/>
      <c r="AE127" s="100"/>
      <c r="AF127" s="100"/>
      <c r="AG127" s="100"/>
      <c r="AH127" s="100"/>
      <c r="AI127" s="100"/>
      <c r="AJ127" s="100"/>
      <c r="AL127" s="100"/>
      <c r="AN127" s="100"/>
    </row>
    <row r="128" spans="1:40" s="27" customFormat="1" x14ac:dyDescent="0.2">
      <c r="A128" s="38"/>
      <c r="B128" s="37"/>
      <c r="C128" s="36">
        <f t="shared" si="9"/>
        <v>0</v>
      </c>
      <c r="D128" s="20"/>
      <c r="E128" s="36">
        <f t="shared" si="8"/>
        <v>0</v>
      </c>
      <c r="Q128" s="100"/>
      <c r="R128" s="100"/>
      <c r="AD128" s="100"/>
      <c r="AE128" s="100"/>
      <c r="AF128" s="100"/>
      <c r="AG128" s="100"/>
      <c r="AH128" s="100"/>
      <c r="AI128" s="100"/>
      <c r="AJ128" s="100"/>
      <c r="AL128" s="100"/>
      <c r="AN128" s="100"/>
    </row>
    <row r="129" spans="1:41" s="27" customFormat="1" x14ac:dyDescent="0.2">
      <c r="A129" s="38"/>
      <c r="B129" s="37"/>
      <c r="C129" s="36">
        <f t="shared" si="9"/>
        <v>0</v>
      </c>
      <c r="D129" s="20"/>
      <c r="E129" s="36">
        <f t="shared" si="8"/>
        <v>0</v>
      </c>
      <c r="Q129" s="100"/>
      <c r="R129" s="100"/>
      <c r="AD129" s="100"/>
      <c r="AE129" s="100"/>
      <c r="AF129" s="100"/>
      <c r="AG129" s="100"/>
      <c r="AH129" s="100"/>
      <c r="AI129" s="100"/>
      <c r="AJ129" s="100"/>
      <c r="AL129" s="100"/>
      <c r="AN129" s="100"/>
    </row>
    <row r="130" spans="1:41" s="27" customFormat="1" x14ac:dyDescent="0.2">
      <c r="A130" s="38"/>
      <c r="B130" s="37"/>
      <c r="C130" s="36">
        <f t="shared" si="9"/>
        <v>0</v>
      </c>
      <c r="D130" s="20"/>
      <c r="E130" s="36">
        <f t="shared" si="8"/>
        <v>0</v>
      </c>
      <c r="Q130" s="100"/>
      <c r="R130" s="100"/>
      <c r="AD130" s="100"/>
      <c r="AE130" s="100"/>
      <c r="AF130" s="100"/>
      <c r="AG130" s="100"/>
      <c r="AH130" s="100"/>
      <c r="AI130" s="100"/>
      <c r="AJ130" s="100"/>
      <c r="AL130" s="100"/>
      <c r="AN130" s="100"/>
    </row>
    <row r="131" spans="1:41" s="27" customFormat="1" x14ac:dyDescent="0.2">
      <c r="A131" s="38"/>
      <c r="B131" s="37"/>
      <c r="C131" s="36">
        <f t="shared" si="9"/>
        <v>0</v>
      </c>
      <c r="D131" s="20"/>
      <c r="E131" s="36">
        <f t="shared" si="8"/>
        <v>0</v>
      </c>
      <c r="Q131" s="100"/>
      <c r="R131" s="100"/>
      <c r="AD131" s="100"/>
      <c r="AE131" s="100"/>
      <c r="AF131" s="100"/>
      <c r="AG131" s="100"/>
      <c r="AH131" s="100"/>
      <c r="AI131" s="100"/>
      <c r="AJ131" s="100"/>
      <c r="AL131" s="100"/>
      <c r="AN131" s="100"/>
    </row>
    <row r="132" spans="1:41" s="27" customFormat="1" x14ac:dyDescent="0.2">
      <c r="A132" s="38"/>
      <c r="B132" s="37"/>
      <c r="C132" s="36">
        <f t="shared" si="9"/>
        <v>0</v>
      </c>
      <c r="D132" s="20"/>
      <c r="E132" s="36">
        <f t="shared" si="8"/>
        <v>0</v>
      </c>
      <c r="Q132" s="100"/>
      <c r="R132" s="100"/>
      <c r="AD132" s="100"/>
      <c r="AE132" s="100"/>
      <c r="AF132" s="100"/>
      <c r="AG132" s="100"/>
      <c r="AH132" s="100"/>
      <c r="AI132" s="100"/>
      <c r="AJ132" s="100"/>
      <c r="AL132" s="100"/>
      <c r="AN132" s="100"/>
    </row>
    <row r="133" spans="1:41" s="27" customFormat="1" x14ac:dyDescent="0.2">
      <c r="A133" s="38"/>
      <c r="B133" s="37"/>
      <c r="C133" s="36">
        <f t="shared" si="9"/>
        <v>0</v>
      </c>
      <c r="D133" s="20"/>
      <c r="E133" s="36">
        <f t="shared" si="8"/>
        <v>0</v>
      </c>
      <c r="Q133" s="100"/>
      <c r="R133" s="100"/>
      <c r="AD133" s="100"/>
      <c r="AE133" s="100"/>
      <c r="AF133" s="100"/>
      <c r="AG133" s="100"/>
      <c r="AH133" s="100"/>
      <c r="AI133" s="100"/>
      <c r="AJ133" s="100"/>
      <c r="AL133" s="100"/>
      <c r="AN133" s="100"/>
    </row>
    <row r="134" spans="1:41" s="27" customFormat="1" x14ac:dyDescent="0.2">
      <c r="A134" s="38"/>
      <c r="B134" s="37"/>
      <c r="C134" s="36">
        <f t="shared" si="9"/>
        <v>0</v>
      </c>
      <c r="D134" s="20"/>
      <c r="E134" s="36">
        <f t="shared" si="8"/>
        <v>0</v>
      </c>
      <c r="Q134" s="100"/>
      <c r="R134" s="100"/>
      <c r="AD134" s="100"/>
      <c r="AE134" s="100"/>
      <c r="AF134" s="100"/>
      <c r="AG134" s="100"/>
      <c r="AH134" s="100"/>
      <c r="AI134" s="100"/>
      <c r="AJ134" s="100"/>
      <c r="AL134" s="100"/>
      <c r="AN134" s="100"/>
    </row>
    <row r="135" spans="1:41" s="27" customFormat="1" x14ac:dyDescent="0.2">
      <c r="A135" s="38"/>
      <c r="B135" s="37"/>
      <c r="C135" s="36">
        <f t="shared" si="9"/>
        <v>0</v>
      </c>
      <c r="D135" s="20"/>
      <c r="E135" s="36">
        <f t="shared" si="8"/>
        <v>0</v>
      </c>
      <c r="Q135" s="100"/>
      <c r="R135" s="100"/>
      <c r="AD135" s="100"/>
      <c r="AE135" s="100"/>
      <c r="AF135" s="100"/>
      <c r="AG135" s="100"/>
      <c r="AH135" s="100"/>
      <c r="AI135" s="100"/>
      <c r="AJ135" s="100"/>
      <c r="AL135" s="100"/>
      <c r="AN135" s="100"/>
    </row>
    <row r="136" spans="1:41" s="27" customFormat="1" x14ac:dyDescent="0.2">
      <c r="A136" s="38"/>
      <c r="B136" s="37"/>
      <c r="C136" s="36">
        <f t="shared" si="9"/>
        <v>0</v>
      </c>
      <c r="D136" s="20"/>
      <c r="E136" s="36">
        <f t="shared" si="8"/>
        <v>0</v>
      </c>
      <c r="Q136" s="100"/>
      <c r="R136" s="100"/>
      <c r="AD136" s="100"/>
      <c r="AE136" s="100"/>
      <c r="AF136" s="100"/>
      <c r="AG136" s="100"/>
      <c r="AH136" s="100"/>
      <c r="AI136" s="100"/>
      <c r="AJ136" s="100"/>
      <c r="AL136" s="100"/>
      <c r="AN136" s="100"/>
    </row>
    <row r="137" spans="1:41" s="27" customFormat="1" x14ac:dyDescent="0.2">
      <c r="A137" s="38"/>
      <c r="B137" s="37"/>
      <c r="C137" s="36">
        <f t="shared" si="9"/>
        <v>0</v>
      </c>
      <c r="D137" s="20"/>
      <c r="E137" s="36">
        <f t="shared" si="8"/>
        <v>0</v>
      </c>
      <c r="Q137" s="100"/>
      <c r="R137" s="100"/>
      <c r="AD137" s="100"/>
      <c r="AE137" s="100"/>
      <c r="AF137" s="100"/>
      <c r="AG137" s="100"/>
      <c r="AH137" s="100"/>
      <c r="AI137" s="100"/>
      <c r="AJ137" s="100"/>
      <c r="AL137" s="100"/>
      <c r="AN137" s="100"/>
    </row>
    <row r="138" spans="1:41" s="27" customFormat="1" x14ac:dyDescent="0.2">
      <c r="A138" s="38"/>
      <c r="B138" s="37"/>
      <c r="C138" s="36">
        <f t="shared" si="9"/>
        <v>0</v>
      </c>
      <c r="D138" s="20"/>
      <c r="E138" s="36">
        <f t="shared" ref="E138:E201" si="10">SUM(G138:HT138)</f>
        <v>0</v>
      </c>
      <c r="Q138" s="100"/>
      <c r="R138" s="100"/>
      <c r="AD138" s="100"/>
      <c r="AE138" s="100"/>
      <c r="AF138" s="100"/>
      <c r="AG138" s="100"/>
      <c r="AH138" s="100"/>
      <c r="AI138" s="100"/>
      <c r="AJ138" s="100"/>
      <c r="AL138" s="100"/>
      <c r="AN138" s="100"/>
    </row>
    <row r="139" spans="1:41" s="27" customFormat="1" x14ac:dyDescent="0.2">
      <c r="A139" s="38"/>
      <c r="B139" s="37"/>
      <c r="C139" s="36">
        <f t="shared" si="9"/>
        <v>0</v>
      </c>
      <c r="D139" s="20"/>
      <c r="E139" s="36">
        <f t="shared" si="10"/>
        <v>0</v>
      </c>
      <c r="Q139" s="100"/>
      <c r="R139" s="100"/>
      <c r="AD139" s="100"/>
      <c r="AE139" s="100"/>
      <c r="AF139" s="100"/>
      <c r="AG139" s="100"/>
      <c r="AH139" s="100"/>
      <c r="AI139" s="100"/>
      <c r="AJ139" s="100"/>
      <c r="AL139" s="100"/>
      <c r="AN139" s="100"/>
    </row>
    <row r="140" spans="1:41" s="27" customFormat="1" x14ac:dyDescent="0.2">
      <c r="A140" s="38"/>
      <c r="B140" s="37"/>
      <c r="C140" s="36">
        <f t="shared" si="9"/>
        <v>0</v>
      </c>
      <c r="D140" s="20"/>
      <c r="E140" s="36">
        <f t="shared" si="10"/>
        <v>0</v>
      </c>
      <c r="Q140" s="100"/>
      <c r="R140" s="100"/>
      <c r="AD140" s="100"/>
      <c r="AE140" s="100"/>
      <c r="AF140" s="100"/>
      <c r="AG140" s="100"/>
      <c r="AH140" s="100"/>
      <c r="AI140" s="100"/>
      <c r="AJ140" s="100"/>
      <c r="AL140" s="100"/>
      <c r="AN140" s="100"/>
    </row>
    <row r="141" spans="1:41" s="27" customFormat="1" x14ac:dyDescent="0.2">
      <c r="A141" s="38"/>
      <c r="B141" s="37"/>
      <c r="C141" s="36">
        <f t="shared" si="9"/>
        <v>0</v>
      </c>
      <c r="D141" s="20"/>
      <c r="E141" s="36">
        <f t="shared" si="10"/>
        <v>0</v>
      </c>
      <c r="Q141" s="100"/>
      <c r="R141" s="100"/>
      <c r="AD141" s="100"/>
      <c r="AE141" s="100"/>
      <c r="AF141" s="100"/>
      <c r="AG141" s="100"/>
      <c r="AH141" s="100"/>
      <c r="AI141" s="100"/>
      <c r="AJ141" s="100"/>
      <c r="AL141" s="100"/>
      <c r="AN141" s="100"/>
    </row>
    <row r="142" spans="1:41" s="27" customFormat="1" x14ac:dyDescent="0.2">
      <c r="A142" s="38"/>
      <c r="B142" s="37"/>
      <c r="C142" s="36">
        <f t="shared" si="9"/>
        <v>0</v>
      </c>
      <c r="D142" s="20"/>
      <c r="E142" s="36">
        <f t="shared" si="10"/>
        <v>0</v>
      </c>
      <c r="Q142" s="100"/>
      <c r="R142" s="100"/>
      <c r="AD142" s="100"/>
      <c r="AE142" s="100"/>
      <c r="AF142" s="100"/>
      <c r="AG142" s="100"/>
      <c r="AH142" s="100"/>
      <c r="AI142" s="100"/>
      <c r="AJ142" s="100"/>
      <c r="AL142" s="100"/>
      <c r="AN142" s="100"/>
    </row>
    <row r="143" spans="1:41" s="27" customFormat="1" x14ac:dyDescent="0.2">
      <c r="A143" s="38"/>
      <c r="B143" s="37"/>
      <c r="C143" s="36">
        <f t="shared" si="9"/>
        <v>0</v>
      </c>
      <c r="D143" s="20"/>
      <c r="E143" s="36">
        <f t="shared" si="10"/>
        <v>0</v>
      </c>
      <c r="Q143" s="100"/>
      <c r="R143" s="100"/>
      <c r="AD143" s="100"/>
      <c r="AE143" s="100"/>
      <c r="AF143" s="100"/>
      <c r="AG143" s="100"/>
      <c r="AH143" s="100"/>
      <c r="AI143" s="100"/>
      <c r="AJ143" s="100"/>
      <c r="AL143" s="100"/>
      <c r="AN143" s="100"/>
    </row>
    <row r="144" spans="1:41" s="27" customFormat="1" x14ac:dyDescent="0.2">
      <c r="A144" s="38"/>
      <c r="B144" s="37"/>
      <c r="C144" s="36">
        <f t="shared" si="9"/>
        <v>0</v>
      </c>
      <c r="D144" s="20"/>
      <c r="E144" s="36">
        <f t="shared" si="10"/>
        <v>0</v>
      </c>
      <c r="R144" s="100"/>
      <c r="S144" s="100"/>
      <c r="AE144" s="100"/>
      <c r="AF144" s="100"/>
      <c r="AG144" s="100"/>
      <c r="AH144" s="100"/>
      <c r="AI144" s="100"/>
      <c r="AJ144" s="100"/>
      <c r="AK144" s="100"/>
      <c r="AM144" s="100"/>
      <c r="AO144" s="100"/>
    </row>
    <row r="145" spans="1:41" s="27" customFormat="1" x14ac:dyDescent="0.2">
      <c r="A145" s="38"/>
      <c r="B145" s="37"/>
      <c r="C145" s="36">
        <f t="shared" si="9"/>
        <v>0</v>
      </c>
      <c r="D145" s="20"/>
      <c r="E145" s="36">
        <f t="shared" si="10"/>
        <v>0</v>
      </c>
      <c r="R145" s="100"/>
      <c r="S145" s="100"/>
      <c r="AE145" s="100"/>
      <c r="AF145" s="100"/>
      <c r="AG145" s="100"/>
      <c r="AH145" s="100"/>
      <c r="AI145" s="100"/>
      <c r="AJ145" s="100"/>
      <c r="AK145" s="100"/>
      <c r="AM145" s="100"/>
      <c r="AO145" s="100"/>
    </row>
    <row r="146" spans="1:41" s="27" customFormat="1" x14ac:dyDescent="0.2">
      <c r="A146" s="38"/>
      <c r="B146" s="37"/>
      <c r="C146" s="36">
        <f t="shared" si="9"/>
        <v>0</v>
      </c>
      <c r="D146" s="20"/>
      <c r="E146" s="36">
        <f t="shared" si="10"/>
        <v>0</v>
      </c>
      <c r="R146" s="100"/>
      <c r="S146" s="100"/>
      <c r="AE146" s="100"/>
      <c r="AF146" s="100"/>
      <c r="AG146" s="100"/>
      <c r="AH146" s="100"/>
      <c r="AI146" s="100"/>
      <c r="AJ146" s="100"/>
      <c r="AK146" s="100"/>
      <c r="AM146" s="100"/>
      <c r="AO146" s="100"/>
    </row>
    <row r="147" spans="1:41" s="27" customFormat="1" x14ac:dyDescent="0.2">
      <c r="A147" s="38"/>
      <c r="B147" s="37"/>
      <c r="C147" s="36">
        <f t="shared" si="9"/>
        <v>0</v>
      </c>
      <c r="D147" s="20"/>
      <c r="E147" s="36">
        <f t="shared" si="10"/>
        <v>0</v>
      </c>
      <c r="R147" s="100"/>
      <c r="S147" s="100"/>
      <c r="AE147" s="100"/>
      <c r="AF147" s="100"/>
      <c r="AG147" s="100"/>
      <c r="AH147" s="100"/>
      <c r="AI147" s="100"/>
      <c r="AJ147" s="100"/>
      <c r="AK147" s="100"/>
      <c r="AM147" s="100"/>
      <c r="AO147" s="100"/>
    </row>
    <row r="148" spans="1:41" s="27" customFormat="1" x14ac:dyDescent="0.2">
      <c r="A148" s="38"/>
      <c r="B148" s="37"/>
      <c r="C148" s="36">
        <f t="shared" si="9"/>
        <v>0</v>
      </c>
      <c r="D148" s="20"/>
      <c r="E148" s="36">
        <f t="shared" si="10"/>
        <v>0</v>
      </c>
      <c r="R148" s="100"/>
      <c r="S148" s="100"/>
      <c r="AE148" s="100"/>
      <c r="AF148" s="100"/>
      <c r="AG148" s="100"/>
      <c r="AH148" s="100"/>
      <c r="AI148" s="100"/>
      <c r="AJ148" s="100"/>
      <c r="AK148" s="100"/>
      <c r="AM148" s="100"/>
      <c r="AO148" s="100"/>
    </row>
    <row r="149" spans="1:41" s="27" customFormat="1" x14ac:dyDescent="0.2">
      <c r="A149" s="38"/>
      <c r="B149" s="37"/>
      <c r="C149" s="36">
        <f t="shared" si="9"/>
        <v>0</v>
      </c>
      <c r="D149" s="20"/>
      <c r="E149" s="36">
        <f t="shared" si="10"/>
        <v>0</v>
      </c>
      <c r="R149" s="100"/>
      <c r="S149" s="100"/>
      <c r="AE149" s="100"/>
      <c r="AF149" s="100"/>
      <c r="AG149" s="100"/>
      <c r="AH149" s="100"/>
      <c r="AI149" s="100"/>
      <c r="AJ149" s="100"/>
      <c r="AK149" s="100"/>
      <c r="AM149" s="100"/>
      <c r="AO149" s="100"/>
    </row>
    <row r="150" spans="1:41" s="27" customFormat="1" x14ac:dyDescent="0.2">
      <c r="A150" s="38"/>
      <c r="B150" s="37"/>
      <c r="C150" s="36">
        <f t="shared" si="9"/>
        <v>0</v>
      </c>
      <c r="D150" s="20"/>
      <c r="E150" s="36">
        <f t="shared" si="10"/>
        <v>0</v>
      </c>
      <c r="R150" s="100"/>
      <c r="S150" s="100"/>
      <c r="AE150" s="100"/>
      <c r="AF150" s="100"/>
      <c r="AG150" s="100"/>
      <c r="AH150" s="100"/>
      <c r="AI150" s="100"/>
      <c r="AJ150" s="100"/>
      <c r="AK150" s="100"/>
      <c r="AM150" s="100"/>
      <c r="AO150" s="100"/>
    </row>
    <row r="151" spans="1:41" s="27" customFormat="1" x14ac:dyDescent="0.2">
      <c r="A151" s="38"/>
      <c r="B151" s="37"/>
      <c r="C151" s="36">
        <f t="shared" si="9"/>
        <v>0</v>
      </c>
      <c r="D151" s="20"/>
      <c r="E151" s="36">
        <f t="shared" si="10"/>
        <v>0</v>
      </c>
      <c r="R151" s="100"/>
      <c r="S151" s="100"/>
      <c r="AE151" s="100"/>
      <c r="AF151" s="100"/>
      <c r="AG151" s="100"/>
      <c r="AH151" s="100"/>
      <c r="AI151" s="100"/>
      <c r="AJ151" s="100"/>
      <c r="AK151" s="100"/>
      <c r="AM151" s="100"/>
      <c r="AO151" s="100"/>
    </row>
    <row r="152" spans="1:41" s="27" customFormat="1" x14ac:dyDescent="0.2">
      <c r="A152" s="38"/>
      <c r="B152" s="37"/>
      <c r="C152" s="36">
        <f t="shared" si="9"/>
        <v>0</v>
      </c>
      <c r="D152" s="20"/>
      <c r="E152" s="36">
        <f t="shared" si="10"/>
        <v>0</v>
      </c>
      <c r="R152" s="100"/>
      <c r="S152" s="100"/>
      <c r="AE152" s="100"/>
      <c r="AF152" s="100"/>
      <c r="AG152" s="100"/>
      <c r="AH152" s="100"/>
      <c r="AI152" s="100"/>
      <c r="AJ152" s="100"/>
      <c r="AK152" s="100"/>
      <c r="AM152" s="100"/>
      <c r="AO152" s="100"/>
    </row>
    <row r="153" spans="1:41" s="27" customFormat="1" x14ac:dyDescent="0.2">
      <c r="A153" s="38"/>
      <c r="B153" s="37"/>
      <c r="C153" s="36">
        <f t="shared" si="9"/>
        <v>0</v>
      </c>
      <c r="D153" s="20"/>
      <c r="E153" s="36">
        <f t="shared" si="10"/>
        <v>0</v>
      </c>
      <c r="R153" s="100"/>
      <c r="S153" s="100"/>
      <c r="AE153" s="100"/>
      <c r="AF153" s="100"/>
      <c r="AG153" s="100"/>
      <c r="AH153" s="100"/>
      <c r="AI153" s="100"/>
      <c r="AJ153" s="100"/>
      <c r="AK153" s="100"/>
      <c r="AM153" s="100"/>
      <c r="AO153" s="100"/>
    </row>
    <row r="154" spans="1:41" s="27" customFormat="1" x14ac:dyDescent="0.2">
      <c r="A154" s="38"/>
      <c r="B154" s="37"/>
      <c r="C154" s="36">
        <f t="shared" si="9"/>
        <v>0</v>
      </c>
      <c r="D154" s="20"/>
      <c r="E154" s="36">
        <f t="shared" si="10"/>
        <v>0</v>
      </c>
      <c r="R154" s="100"/>
      <c r="S154" s="100"/>
      <c r="AE154" s="100"/>
      <c r="AF154" s="100"/>
      <c r="AG154" s="100"/>
      <c r="AH154" s="100"/>
      <c r="AI154" s="100"/>
      <c r="AJ154" s="100"/>
      <c r="AK154" s="100"/>
      <c r="AM154" s="100"/>
      <c r="AO154" s="100"/>
    </row>
    <row r="155" spans="1:41" s="27" customFormat="1" x14ac:dyDescent="0.2">
      <c r="A155" s="38"/>
      <c r="B155" s="37"/>
      <c r="C155" s="36">
        <f t="shared" si="9"/>
        <v>0</v>
      </c>
      <c r="D155" s="20"/>
      <c r="E155" s="36">
        <f t="shared" si="10"/>
        <v>0</v>
      </c>
      <c r="R155" s="100"/>
      <c r="S155" s="100"/>
      <c r="AE155" s="100"/>
      <c r="AF155" s="100"/>
      <c r="AG155" s="100"/>
      <c r="AH155" s="100"/>
      <c r="AI155" s="100"/>
      <c r="AJ155" s="100"/>
      <c r="AK155" s="100"/>
      <c r="AM155" s="100"/>
      <c r="AO155" s="100"/>
    </row>
    <row r="156" spans="1:41" s="27" customFormat="1" x14ac:dyDescent="0.2">
      <c r="A156" s="38"/>
      <c r="B156" s="37"/>
      <c r="C156" s="36">
        <f t="shared" si="9"/>
        <v>0</v>
      </c>
      <c r="D156" s="20"/>
      <c r="E156" s="36">
        <f t="shared" si="10"/>
        <v>0</v>
      </c>
      <c r="R156" s="100"/>
      <c r="S156" s="100"/>
      <c r="AE156" s="100"/>
      <c r="AF156" s="100"/>
      <c r="AG156" s="100"/>
      <c r="AH156" s="100"/>
      <c r="AI156" s="100"/>
      <c r="AJ156" s="100"/>
      <c r="AK156" s="100"/>
      <c r="AM156" s="100"/>
      <c r="AO156" s="100"/>
    </row>
    <row r="157" spans="1:41" s="27" customFormat="1" x14ac:dyDescent="0.2">
      <c r="A157" s="38"/>
      <c r="B157" s="37"/>
      <c r="C157" s="36">
        <f t="shared" si="9"/>
        <v>0</v>
      </c>
      <c r="D157" s="20"/>
      <c r="E157" s="36">
        <f t="shared" si="10"/>
        <v>0</v>
      </c>
      <c r="R157" s="100"/>
      <c r="S157" s="100"/>
      <c r="AE157" s="100"/>
      <c r="AF157" s="100"/>
      <c r="AG157" s="100"/>
      <c r="AH157" s="100"/>
      <c r="AI157" s="100"/>
      <c r="AJ157" s="100"/>
      <c r="AK157" s="100"/>
      <c r="AM157" s="100"/>
      <c r="AO157" s="100"/>
    </row>
    <row r="158" spans="1:41" s="27" customFormat="1" x14ac:dyDescent="0.2">
      <c r="A158" s="38"/>
      <c r="B158" s="37"/>
      <c r="C158" s="36">
        <f t="shared" si="9"/>
        <v>0</v>
      </c>
      <c r="D158" s="20"/>
      <c r="E158" s="36">
        <f t="shared" si="10"/>
        <v>0</v>
      </c>
      <c r="R158" s="100"/>
      <c r="S158" s="100"/>
      <c r="AE158" s="100"/>
      <c r="AF158" s="100"/>
      <c r="AG158" s="100"/>
      <c r="AH158" s="100"/>
      <c r="AI158" s="100"/>
      <c r="AJ158" s="100"/>
      <c r="AK158" s="100"/>
      <c r="AM158" s="100"/>
      <c r="AO158" s="100"/>
    </row>
    <row r="159" spans="1:41" s="27" customFormat="1" x14ac:dyDescent="0.2">
      <c r="A159" s="38"/>
      <c r="B159" s="37"/>
      <c r="C159" s="36">
        <f t="shared" si="9"/>
        <v>0</v>
      </c>
      <c r="D159" s="20"/>
      <c r="E159" s="36">
        <f t="shared" si="10"/>
        <v>0</v>
      </c>
      <c r="R159" s="100"/>
      <c r="S159" s="100"/>
      <c r="AE159" s="100"/>
      <c r="AF159" s="100"/>
      <c r="AG159" s="100"/>
      <c r="AH159" s="100"/>
      <c r="AI159" s="100"/>
      <c r="AJ159" s="100"/>
      <c r="AK159" s="100"/>
      <c r="AM159" s="100"/>
      <c r="AO159" s="100"/>
    </row>
    <row r="160" spans="1:41" s="27" customFormat="1" x14ac:dyDescent="0.2">
      <c r="A160" s="38"/>
      <c r="B160" s="37"/>
      <c r="C160" s="36">
        <f t="shared" si="9"/>
        <v>0</v>
      </c>
      <c r="D160" s="20"/>
      <c r="E160" s="36">
        <f t="shared" si="10"/>
        <v>0</v>
      </c>
      <c r="R160" s="100"/>
      <c r="S160" s="100"/>
      <c r="AE160" s="100"/>
      <c r="AF160" s="100"/>
      <c r="AG160" s="100"/>
      <c r="AH160" s="100"/>
      <c r="AI160" s="100"/>
      <c r="AJ160" s="100"/>
      <c r="AK160" s="100"/>
      <c r="AM160" s="100"/>
      <c r="AO160" s="100"/>
    </row>
    <row r="161" spans="1:41" s="27" customFormat="1" x14ac:dyDescent="0.2">
      <c r="A161" s="38"/>
      <c r="B161" s="37"/>
      <c r="C161" s="36">
        <f t="shared" si="9"/>
        <v>0</v>
      </c>
      <c r="D161" s="20"/>
      <c r="E161" s="36">
        <f t="shared" si="10"/>
        <v>0</v>
      </c>
      <c r="R161" s="100"/>
      <c r="S161" s="100"/>
      <c r="AE161" s="100"/>
      <c r="AF161" s="100"/>
      <c r="AG161" s="100"/>
      <c r="AH161" s="100"/>
      <c r="AI161" s="100"/>
      <c r="AJ161" s="100"/>
      <c r="AK161" s="100"/>
      <c r="AM161" s="100"/>
      <c r="AO161" s="100"/>
    </row>
    <row r="162" spans="1:41" s="27" customFormat="1" x14ac:dyDescent="0.2">
      <c r="A162" s="38"/>
      <c r="B162" s="37"/>
      <c r="C162" s="36">
        <f t="shared" si="9"/>
        <v>0</v>
      </c>
      <c r="D162" s="20"/>
      <c r="E162" s="36">
        <f t="shared" si="10"/>
        <v>0</v>
      </c>
      <c r="R162" s="100"/>
      <c r="S162" s="100"/>
      <c r="AE162" s="100"/>
      <c r="AF162" s="100"/>
      <c r="AG162" s="100"/>
      <c r="AH162" s="100"/>
      <c r="AI162" s="100"/>
      <c r="AJ162" s="100"/>
      <c r="AK162" s="100"/>
      <c r="AM162" s="100"/>
      <c r="AO162" s="100"/>
    </row>
    <row r="163" spans="1:41" s="27" customFormat="1" x14ac:dyDescent="0.2">
      <c r="A163" s="38"/>
      <c r="B163" s="37"/>
      <c r="C163" s="36">
        <f t="shared" si="9"/>
        <v>0</v>
      </c>
      <c r="D163" s="20"/>
      <c r="E163" s="36">
        <f t="shared" si="10"/>
        <v>0</v>
      </c>
      <c r="R163" s="100"/>
      <c r="S163" s="100"/>
      <c r="AE163" s="100"/>
      <c r="AF163" s="100"/>
      <c r="AG163" s="100"/>
      <c r="AH163" s="100"/>
      <c r="AI163" s="100"/>
      <c r="AJ163" s="100"/>
      <c r="AK163" s="100"/>
      <c r="AM163" s="100"/>
      <c r="AO163" s="100"/>
    </row>
    <row r="164" spans="1:41" s="27" customFormat="1" x14ac:dyDescent="0.2">
      <c r="A164" s="38"/>
      <c r="B164" s="37"/>
      <c r="C164" s="36">
        <f t="shared" si="9"/>
        <v>0</v>
      </c>
      <c r="D164" s="20"/>
      <c r="E164" s="36">
        <f t="shared" si="10"/>
        <v>0</v>
      </c>
      <c r="R164" s="100"/>
      <c r="S164" s="100"/>
      <c r="AE164" s="100"/>
      <c r="AF164" s="100"/>
      <c r="AG164" s="100"/>
      <c r="AH164" s="100"/>
      <c r="AI164" s="100"/>
      <c r="AJ164" s="100"/>
      <c r="AK164" s="100"/>
      <c r="AM164" s="100"/>
      <c r="AO164" s="100"/>
    </row>
    <row r="165" spans="1:41" s="27" customFormat="1" x14ac:dyDescent="0.2">
      <c r="A165" s="38"/>
      <c r="B165" s="37"/>
      <c r="C165" s="36">
        <f t="shared" si="9"/>
        <v>0</v>
      </c>
      <c r="D165" s="20"/>
      <c r="E165" s="36">
        <f t="shared" si="10"/>
        <v>0</v>
      </c>
      <c r="R165" s="100"/>
      <c r="S165" s="100"/>
      <c r="AE165" s="100"/>
      <c r="AF165" s="100"/>
      <c r="AG165" s="100"/>
      <c r="AH165" s="100"/>
      <c r="AI165" s="100"/>
      <c r="AJ165" s="100"/>
      <c r="AK165" s="100"/>
      <c r="AM165" s="100"/>
      <c r="AO165" s="100"/>
    </row>
    <row r="166" spans="1:41" s="27" customFormat="1" x14ac:dyDescent="0.2">
      <c r="A166" s="38"/>
      <c r="B166" s="37"/>
      <c r="C166" s="36">
        <f t="shared" si="9"/>
        <v>0</v>
      </c>
      <c r="D166" s="20"/>
      <c r="E166" s="36">
        <f t="shared" si="10"/>
        <v>0</v>
      </c>
      <c r="R166" s="100"/>
      <c r="S166" s="100"/>
      <c r="AE166" s="100"/>
      <c r="AF166" s="100"/>
      <c r="AG166" s="100"/>
      <c r="AH166" s="100"/>
      <c r="AI166" s="100"/>
      <c r="AJ166" s="100"/>
      <c r="AK166" s="100"/>
      <c r="AM166" s="100"/>
      <c r="AO166" s="100"/>
    </row>
    <row r="167" spans="1:41" s="27" customFormat="1" x14ac:dyDescent="0.2">
      <c r="A167" s="38"/>
      <c r="B167" s="37"/>
      <c r="C167" s="36">
        <f t="shared" si="9"/>
        <v>0</v>
      </c>
      <c r="D167" s="20"/>
      <c r="E167" s="36">
        <f t="shared" si="10"/>
        <v>0</v>
      </c>
      <c r="R167" s="100"/>
      <c r="S167" s="100"/>
      <c r="AE167" s="100"/>
      <c r="AF167" s="100"/>
      <c r="AG167" s="100"/>
      <c r="AH167" s="100"/>
      <c r="AI167" s="100"/>
      <c r="AJ167" s="100"/>
      <c r="AK167" s="100"/>
      <c r="AM167" s="100"/>
      <c r="AO167" s="100"/>
    </row>
    <row r="168" spans="1:41" s="27" customFormat="1" x14ac:dyDescent="0.2">
      <c r="A168" s="38"/>
      <c r="B168" s="37"/>
      <c r="C168" s="36">
        <f t="shared" si="9"/>
        <v>0</v>
      </c>
      <c r="D168" s="20"/>
      <c r="E168" s="36">
        <f t="shared" si="10"/>
        <v>0</v>
      </c>
      <c r="R168" s="100"/>
      <c r="S168" s="100"/>
      <c r="AE168" s="100"/>
      <c r="AF168" s="100"/>
      <c r="AG168" s="100"/>
      <c r="AH168" s="100"/>
      <c r="AI168" s="100"/>
      <c r="AJ168" s="100"/>
      <c r="AK168" s="100"/>
      <c r="AM168" s="100"/>
      <c r="AO168" s="100"/>
    </row>
    <row r="169" spans="1:41" s="27" customFormat="1" x14ac:dyDescent="0.2">
      <c r="A169" s="38"/>
      <c r="B169" s="37"/>
      <c r="C169" s="36">
        <f t="shared" si="9"/>
        <v>0</v>
      </c>
      <c r="D169" s="20"/>
      <c r="E169" s="36">
        <f t="shared" si="10"/>
        <v>0</v>
      </c>
      <c r="R169" s="100"/>
      <c r="S169" s="100"/>
      <c r="AE169" s="100"/>
      <c r="AF169" s="100"/>
      <c r="AG169" s="100"/>
      <c r="AH169" s="100"/>
      <c r="AI169" s="100"/>
      <c r="AJ169" s="100"/>
      <c r="AK169" s="100"/>
      <c r="AM169" s="100"/>
      <c r="AO169" s="100"/>
    </row>
    <row r="170" spans="1:41" s="27" customFormat="1" x14ac:dyDescent="0.2">
      <c r="A170" s="38"/>
      <c r="B170" s="37"/>
      <c r="C170" s="36">
        <f t="shared" si="9"/>
        <v>0</v>
      </c>
      <c r="D170" s="20"/>
      <c r="E170" s="36">
        <f t="shared" si="10"/>
        <v>0</v>
      </c>
      <c r="R170" s="100"/>
      <c r="S170" s="100"/>
      <c r="AE170" s="100"/>
      <c r="AF170" s="100"/>
      <c r="AG170" s="100"/>
      <c r="AH170" s="100"/>
      <c r="AI170" s="100"/>
      <c r="AJ170" s="100"/>
      <c r="AK170" s="100"/>
      <c r="AM170" s="100"/>
      <c r="AO170" s="100"/>
    </row>
    <row r="171" spans="1:41" s="27" customFormat="1" x14ac:dyDescent="0.2">
      <c r="A171" s="38"/>
      <c r="B171" s="37"/>
      <c r="C171" s="36">
        <f t="shared" si="9"/>
        <v>0</v>
      </c>
      <c r="D171" s="20"/>
      <c r="E171" s="36">
        <f t="shared" si="10"/>
        <v>0</v>
      </c>
      <c r="R171" s="100"/>
      <c r="S171" s="100"/>
      <c r="AE171" s="100"/>
      <c r="AF171" s="100"/>
      <c r="AG171" s="100"/>
      <c r="AH171" s="100"/>
      <c r="AI171" s="100"/>
      <c r="AJ171" s="100"/>
      <c r="AK171" s="100"/>
      <c r="AM171" s="100"/>
      <c r="AO171" s="100"/>
    </row>
    <row r="172" spans="1:41" s="27" customFormat="1" x14ac:dyDescent="0.2">
      <c r="A172" s="38"/>
      <c r="B172" s="37"/>
      <c r="C172" s="36">
        <f t="shared" si="9"/>
        <v>0</v>
      </c>
      <c r="D172" s="20"/>
      <c r="E172" s="36">
        <f t="shared" si="10"/>
        <v>0</v>
      </c>
      <c r="R172" s="100"/>
      <c r="S172" s="100"/>
      <c r="AE172" s="100"/>
      <c r="AF172" s="100"/>
      <c r="AG172" s="100"/>
      <c r="AH172" s="100"/>
      <c r="AI172" s="100"/>
      <c r="AJ172" s="100"/>
      <c r="AK172" s="100"/>
      <c r="AM172" s="100"/>
      <c r="AO172" s="100"/>
    </row>
    <row r="173" spans="1:41" s="27" customFormat="1" x14ac:dyDescent="0.2">
      <c r="A173" s="38"/>
      <c r="B173" s="37"/>
      <c r="C173" s="36">
        <f t="shared" si="9"/>
        <v>0</v>
      </c>
      <c r="D173" s="20"/>
      <c r="E173" s="36">
        <f t="shared" si="10"/>
        <v>0</v>
      </c>
      <c r="R173" s="100"/>
      <c r="S173" s="100"/>
      <c r="AE173" s="100"/>
      <c r="AF173" s="100"/>
      <c r="AG173" s="100"/>
      <c r="AH173" s="100"/>
      <c r="AI173" s="100"/>
      <c r="AJ173" s="100"/>
      <c r="AK173" s="100"/>
      <c r="AM173" s="100"/>
      <c r="AO173" s="100"/>
    </row>
    <row r="174" spans="1:41" s="27" customFormat="1" x14ac:dyDescent="0.2">
      <c r="A174" s="38"/>
      <c r="B174" s="37"/>
      <c r="C174" s="36">
        <f t="shared" si="9"/>
        <v>0</v>
      </c>
      <c r="D174" s="20"/>
      <c r="E174" s="36">
        <f t="shared" si="10"/>
        <v>0</v>
      </c>
      <c r="R174" s="100"/>
      <c r="S174" s="100"/>
      <c r="AE174" s="100"/>
      <c r="AF174" s="100"/>
      <c r="AG174" s="100"/>
      <c r="AH174" s="100"/>
      <c r="AI174" s="100"/>
      <c r="AJ174" s="100"/>
      <c r="AK174" s="100"/>
      <c r="AM174" s="100"/>
      <c r="AO174" s="100"/>
    </row>
    <row r="175" spans="1:41" s="27" customFormat="1" x14ac:dyDescent="0.2">
      <c r="A175" s="38"/>
      <c r="B175" s="37"/>
      <c r="C175" s="36">
        <f t="shared" si="9"/>
        <v>0</v>
      </c>
      <c r="D175" s="20"/>
      <c r="E175" s="36">
        <f t="shared" si="10"/>
        <v>0</v>
      </c>
      <c r="R175" s="100"/>
      <c r="S175" s="100"/>
      <c r="AE175" s="100"/>
      <c r="AF175" s="100"/>
      <c r="AG175" s="100"/>
      <c r="AH175" s="100"/>
      <c r="AI175" s="100"/>
      <c r="AJ175" s="100"/>
      <c r="AK175" s="100"/>
      <c r="AM175" s="100"/>
      <c r="AO175" s="100"/>
    </row>
    <row r="176" spans="1:41" s="27" customFormat="1" x14ac:dyDescent="0.2">
      <c r="A176" s="38"/>
      <c r="B176" s="37"/>
      <c r="C176" s="36">
        <f t="shared" si="9"/>
        <v>0</v>
      </c>
      <c r="D176" s="20"/>
      <c r="E176" s="36">
        <f t="shared" si="10"/>
        <v>0</v>
      </c>
      <c r="R176" s="100"/>
      <c r="S176" s="100"/>
      <c r="AE176" s="100"/>
      <c r="AF176" s="100"/>
      <c r="AG176" s="100"/>
      <c r="AH176" s="100"/>
      <c r="AI176" s="100"/>
      <c r="AJ176" s="100"/>
      <c r="AK176" s="100"/>
      <c r="AM176" s="100"/>
      <c r="AO176" s="100"/>
    </row>
    <row r="177" spans="1:41" s="27" customFormat="1" x14ac:dyDescent="0.2">
      <c r="A177" s="38"/>
      <c r="B177" s="37"/>
      <c r="C177" s="36">
        <f t="shared" si="9"/>
        <v>0</v>
      </c>
      <c r="D177" s="20"/>
      <c r="E177" s="36">
        <f t="shared" si="10"/>
        <v>0</v>
      </c>
      <c r="R177" s="100"/>
      <c r="S177" s="100"/>
      <c r="AE177" s="100"/>
      <c r="AF177" s="100"/>
      <c r="AG177" s="100"/>
      <c r="AH177" s="100"/>
      <c r="AI177" s="100"/>
      <c r="AJ177" s="100"/>
      <c r="AK177" s="100"/>
      <c r="AM177" s="100"/>
      <c r="AO177" s="100"/>
    </row>
    <row r="178" spans="1:41" s="27" customFormat="1" x14ac:dyDescent="0.2">
      <c r="A178" s="38"/>
      <c r="B178" s="37"/>
      <c r="C178" s="36">
        <f t="shared" si="9"/>
        <v>0</v>
      </c>
      <c r="D178" s="20"/>
      <c r="E178" s="36">
        <f t="shared" si="10"/>
        <v>0</v>
      </c>
      <c r="R178" s="100"/>
      <c r="S178" s="100"/>
      <c r="AE178" s="100"/>
      <c r="AF178" s="100"/>
      <c r="AG178" s="100"/>
      <c r="AH178" s="100"/>
      <c r="AI178" s="100"/>
      <c r="AJ178" s="100"/>
      <c r="AK178" s="100"/>
      <c r="AM178" s="100"/>
      <c r="AO178" s="100"/>
    </row>
    <row r="179" spans="1:41" s="27" customFormat="1" x14ac:dyDescent="0.2">
      <c r="A179" s="38"/>
      <c r="B179" s="37"/>
      <c r="C179" s="36">
        <f t="shared" si="9"/>
        <v>0</v>
      </c>
      <c r="D179" s="20"/>
      <c r="E179" s="36">
        <f t="shared" si="10"/>
        <v>0</v>
      </c>
      <c r="R179" s="100"/>
      <c r="S179" s="100"/>
      <c r="AE179" s="100"/>
      <c r="AF179" s="100"/>
      <c r="AG179" s="100"/>
      <c r="AH179" s="100"/>
      <c r="AI179" s="100"/>
      <c r="AJ179" s="100"/>
      <c r="AK179" s="100"/>
      <c r="AM179" s="100"/>
      <c r="AO179" s="100"/>
    </row>
    <row r="180" spans="1:41" s="27" customFormat="1" x14ac:dyDescent="0.2">
      <c r="A180" s="38"/>
      <c r="B180" s="37"/>
      <c r="C180" s="36">
        <f t="shared" si="9"/>
        <v>0</v>
      </c>
      <c r="D180" s="20"/>
      <c r="E180" s="36">
        <f t="shared" si="10"/>
        <v>0</v>
      </c>
      <c r="R180" s="100"/>
      <c r="S180" s="100"/>
      <c r="AE180" s="100"/>
      <c r="AF180" s="100"/>
      <c r="AG180" s="100"/>
      <c r="AH180" s="100"/>
      <c r="AI180" s="100"/>
      <c r="AJ180" s="100"/>
      <c r="AK180" s="100"/>
      <c r="AM180" s="100"/>
      <c r="AO180" s="100"/>
    </row>
    <row r="181" spans="1:41" s="27" customFormat="1" x14ac:dyDescent="0.2">
      <c r="A181" s="38"/>
      <c r="B181" s="37"/>
      <c r="C181" s="36">
        <f t="shared" si="9"/>
        <v>0</v>
      </c>
      <c r="D181" s="20"/>
      <c r="E181" s="36">
        <f t="shared" si="10"/>
        <v>0</v>
      </c>
      <c r="R181" s="100"/>
      <c r="S181" s="100"/>
      <c r="AE181" s="100"/>
      <c r="AF181" s="100"/>
      <c r="AG181" s="100"/>
      <c r="AH181" s="100"/>
      <c r="AI181" s="100"/>
      <c r="AJ181" s="100"/>
      <c r="AK181" s="100"/>
      <c r="AM181" s="100"/>
      <c r="AO181" s="100"/>
    </row>
    <row r="182" spans="1:41" s="27" customFormat="1" x14ac:dyDescent="0.2">
      <c r="A182" s="38"/>
      <c r="B182" s="37"/>
      <c r="C182" s="36">
        <f t="shared" si="9"/>
        <v>0</v>
      </c>
      <c r="D182" s="20"/>
      <c r="E182" s="36">
        <f t="shared" si="10"/>
        <v>0</v>
      </c>
      <c r="R182" s="100"/>
      <c r="S182" s="100"/>
      <c r="AE182" s="100"/>
      <c r="AF182" s="100"/>
      <c r="AG182" s="100"/>
      <c r="AH182" s="100"/>
      <c r="AI182" s="100"/>
      <c r="AJ182" s="100"/>
      <c r="AK182" s="100"/>
      <c r="AM182" s="100"/>
      <c r="AO182" s="100"/>
    </row>
    <row r="183" spans="1:41" s="27" customFormat="1" x14ac:dyDescent="0.2">
      <c r="A183" s="38"/>
      <c r="B183" s="37"/>
      <c r="C183" s="36">
        <f t="shared" ref="C183:C203" si="11">E183*D$5</f>
        <v>0</v>
      </c>
      <c r="D183" s="20"/>
      <c r="E183" s="36">
        <f t="shared" si="10"/>
        <v>0</v>
      </c>
      <c r="R183" s="100"/>
      <c r="S183" s="100"/>
      <c r="AE183" s="100"/>
      <c r="AF183" s="100"/>
      <c r="AG183" s="100"/>
      <c r="AH183" s="100"/>
      <c r="AI183" s="100"/>
      <c r="AJ183" s="100"/>
      <c r="AK183" s="100"/>
      <c r="AM183" s="100"/>
      <c r="AO183" s="100"/>
    </row>
    <row r="184" spans="1:41" s="27" customFormat="1" x14ac:dyDescent="0.2">
      <c r="A184" s="38"/>
      <c r="B184" s="37"/>
      <c r="C184" s="36">
        <f t="shared" si="11"/>
        <v>0</v>
      </c>
      <c r="D184" s="20"/>
      <c r="E184" s="36">
        <f t="shared" si="10"/>
        <v>0</v>
      </c>
      <c r="R184" s="100"/>
      <c r="S184" s="100"/>
      <c r="AE184" s="100"/>
      <c r="AF184" s="100"/>
      <c r="AG184" s="100"/>
      <c r="AH184" s="100"/>
      <c r="AI184" s="100"/>
      <c r="AJ184" s="100"/>
      <c r="AK184" s="100"/>
      <c r="AM184" s="100"/>
      <c r="AO184" s="100"/>
    </row>
    <row r="185" spans="1:41" s="27" customFormat="1" x14ac:dyDescent="0.2">
      <c r="A185" s="38"/>
      <c r="B185" s="37"/>
      <c r="C185" s="36">
        <f t="shared" si="11"/>
        <v>0</v>
      </c>
      <c r="D185" s="20"/>
      <c r="E185" s="36">
        <f t="shared" si="10"/>
        <v>0</v>
      </c>
      <c r="R185" s="100"/>
      <c r="S185" s="100"/>
      <c r="AE185" s="100"/>
      <c r="AF185" s="100"/>
      <c r="AG185" s="100"/>
      <c r="AH185" s="100"/>
      <c r="AI185" s="100"/>
      <c r="AJ185" s="100"/>
      <c r="AK185" s="100"/>
      <c r="AM185" s="100"/>
      <c r="AO185" s="100"/>
    </row>
    <row r="186" spans="1:41" s="27" customFormat="1" x14ac:dyDescent="0.2">
      <c r="A186" s="38"/>
      <c r="B186" s="37"/>
      <c r="C186" s="36">
        <f t="shared" si="11"/>
        <v>0</v>
      </c>
      <c r="D186" s="20"/>
      <c r="E186" s="36">
        <f t="shared" si="10"/>
        <v>0</v>
      </c>
      <c r="R186" s="100"/>
      <c r="S186" s="100"/>
      <c r="AE186" s="100"/>
      <c r="AF186" s="100"/>
      <c r="AG186" s="100"/>
      <c r="AH186" s="100"/>
      <c r="AI186" s="100"/>
      <c r="AJ186" s="100"/>
      <c r="AK186" s="100"/>
      <c r="AM186" s="100"/>
      <c r="AO186" s="100"/>
    </row>
    <row r="187" spans="1:41" s="27" customFormat="1" x14ac:dyDescent="0.2">
      <c r="A187" s="38"/>
      <c r="B187" s="37"/>
      <c r="C187" s="36">
        <f t="shared" si="11"/>
        <v>0</v>
      </c>
      <c r="D187" s="20"/>
      <c r="E187" s="36">
        <f t="shared" si="10"/>
        <v>0</v>
      </c>
      <c r="R187" s="100"/>
      <c r="S187" s="100"/>
      <c r="AE187" s="100"/>
      <c r="AF187" s="100"/>
      <c r="AG187" s="100"/>
      <c r="AH187" s="100"/>
      <c r="AI187" s="100"/>
      <c r="AJ187" s="100"/>
      <c r="AK187" s="100"/>
      <c r="AM187" s="100"/>
      <c r="AO187" s="100"/>
    </row>
    <row r="188" spans="1:41" s="27" customFormat="1" x14ac:dyDescent="0.2">
      <c r="A188" s="38"/>
      <c r="B188" s="37"/>
      <c r="C188" s="36">
        <f t="shared" si="11"/>
        <v>0</v>
      </c>
      <c r="D188" s="20"/>
      <c r="E188" s="36">
        <f t="shared" si="10"/>
        <v>0</v>
      </c>
      <c r="R188" s="100"/>
      <c r="S188" s="100"/>
      <c r="AE188" s="100"/>
      <c r="AF188" s="100"/>
      <c r="AG188" s="100"/>
      <c r="AH188" s="100"/>
      <c r="AI188" s="100"/>
      <c r="AJ188" s="100"/>
      <c r="AK188" s="100"/>
      <c r="AM188" s="100"/>
      <c r="AO188" s="100"/>
    </row>
    <row r="189" spans="1:41" s="27" customFormat="1" x14ac:dyDescent="0.2">
      <c r="A189" s="38"/>
      <c r="B189" s="37"/>
      <c r="C189" s="36">
        <f t="shared" si="11"/>
        <v>0</v>
      </c>
      <c r="D189" s="20"/>
      <c r="E189" s="36">
        <f t="shared" si="10"/>
        <v>0</v>
      </c>
      <c r="R189" s="100"/>
      <c r="S189" s="100"/>
      <c r="AE189" s="100"/>
      <c r="AF189" s="100"/>
      <c r="AG189" s="100"/>
      <c r="AH189" s="100"/>
      <c r="AI189" s="100"/>
      <c r="AJ189" s="100"/>
      <c r="AK189" s="100"/>
      <c r="AM189" s="100"/>
      <c r="AO189" s="100"/>
    </row>
    <row r="190" spans="1:41" s="27" customFormat="1" x14ac:dyDescent="0.2">
      <c r="A190" s="38"/>
      <c r="B190" s="37"/>
      <c r="C190" s="36">
        <f t="shared" si="11"/>
        <v>0</v>
      </c>
      <c r="D190" s="20"/>
      <c r="E190" s="36">
        <f t="shared" si="10"/>
        <v>0</v>
      </c>
      <c r="R190" s="100"/>
      <c r="S190" s="100"/>
      <c r="AE190" s="100"/>
      <c r="AF190" s="100"/>
      <c r="AG190" s="100"/>
      <c r="AH190" s="100"/>
      <c r="AI190" s="100"/>
      <c r="AJ190" s="100"/>
      <c r="AK190" s="100"/>
      <c r="AM190" s="100"/>
      <c r="AO190" s="100"/>
    </row>
    <row r="191" spans="1:41" s="27" customFormat="1" x14ac:dyDescent="0.2">
      <c r="A191" s="38"/>
      <c r="B191" s="37"/>
      <c r="C191" s="36">
        <f t="shared" si="11"/>
        <v>0</v>
      </c>
      <c r="D191" s="20"/>
      <c r="E191" s="36">
        <f t="shared" si="10"/>
        <v>0</v>
      </c>
      <c r="R191" s="100"/>
      <c r="S191" s="100"/>
      <c r="AE191" s="100"/>
      <c r="AF191" s="100"/>
      <c r="AG191" s="100"/>
      <c r="AH191" s="100"/>
      <c r="AI191" s="100"/>
      <c r="AJ191" s="100"/>
      <c r="AK191" s="100"/>
      <c r="AM191" s="100"/>
      <c r="AO191" s="100"/>
    </row>
    <row r="192" spans="1:41" s="27" customFormat="1" x14ac:dyDescent="0.2">
      <c r="A192" s="38"/>
      <c r="B192" s="37"/>
      <c r="C192" s="36">
        <f t="shared" si="11"/>
        <v>0</v>
      </c>
      <c r="D192" s="20"/>
      <c r="E192" s="36">
        <f t="shared" si="10"/>
        <v>0</v>
      </c>
      <c r="R192" s="100"/>
      <c r="S192" s="100"/>
      <c r="AE192" s="100"/>
      <c r="AF192" s="100"/>
      <c r="AG192" s="100"/>
      <c r="AH192" s="100"/>
      <c r="AI192" s="100"/>
      <c r="AJ192" s="100"/>
      <c r="AK192" s="100"/>
      <c r="AM192" s="100"/>
      <c r="AO192" s="100"/>
    </row>
    <row r="193" spans="1:41" s="27" customFormat="1" x14ac:dyDescent="0.2">
      <c r="A193" s="38"/>
      <c r="B193" s="37"/>
      <c r="C193" s="36">
        <f t="shared" si="11"/>
        <v>0</v>
      </c>
      <c r="D193" s="20"/>
      <c r="E193" s="36">
        <f t="shared" si="10"/>
        <v>0</v>
      </c>
      <c r="R193" s="100"/>
      <c r="S193" s="100"/>
      <c r="AE193" s="100"/>
      <c r="AF193" s="100"/>
      <c r="AG193" s="100"/>
      <c r="AH193" s="100"/>
      <c r="AI193" s="100"/>
      <c r="AJ193" s="100"/>
      <c r="AK193" s="100"/>
      <c r="AM193" s="100"/>
      <c r="AO193" s="100"/>
    </row>
    <row r="194" spans="1:41" s="27" customFormat="1" x14ac:dyDescent="0.2">
      <c r="A194" s="38"/>
      <c r="B194" s="37"/>
      <c r="C194" s="36">
        <f t="shared" si="11"/>
        <v>0</v>
      </c>
      <c r="D194" s="20"/>
      <c r="E194" s="36">
        <f t="shared" si="10"/>
        <v>0</v>
      </c>
      <c r="R194" s="100"/>
      <c r="S194" s="100"/>
      <c r="AE194" s="100"/>
      <c r="AF194" s="100"/>
      <c r="AG194" s="100"/>
      <c r="AH194" s="100"/>
      <c r="AI194" s="100"/>
      <c r="AJ194" s="100"/>
      <c r="AK194" s="100"/>
      <c r="AM194" s="100"/>
      <c r="AO194" s="100"/>
    </row>
    <row r="195" spans="1:41" s="27" customFormat="1" x14ac:dyDescent="0.2">
      <c r="A195" s="38"/>
      <c r="B195" s="37"/>
      <c r="C195" s="36">
        <f t="shared" si="11"/>
        <v>0</v>
      </c>
      <c r="D195" s="20"/>
      <c r="E195" s="36">
        <f t="shared" si="10"/>
        <v>0</v>
      </c>
      <c r="R195" s="100"/>
      <c r="S195" s="100"/>
      <c r="AE195" s="100"/>
      <c r="AF195" s="100"/>
      <c r="AG195" s="100"/>
      <c r="AH195" s="100"/>
      <c r="AI195" s="100"/>
      <c r="AJ195" s="100"/>
      <c r="AK195" s="100"/>
      <c r="AM195" s="100"/>
      <c r="AO195" s="100"/>
    </row>
    <row r="196" spans="1:41" s="27" customFormat="1" x14ac:dyDescent="0.2">
      <c r="A196" s="38"/>
      <c r="B196" s="37"/>
      <c r="C196" s="36">
        <f t="shared" si="11"/>
        <v>0</v>
      </c>
      <c r="D196" s="20"/>
      <c r="E196" s="36">
        <f t="shared" si="10"/>
        <v>0</v>
      </c>
      <c r="R196" s="100"/>
      <c r="S196" s="100"/>
      <c r="AE196" s="100"/>
      <c r="AF196" s="100"/>
      <c r="AG196" s="100"/>
      <c r="AH196" s="100"/>
      <c r="AI196" s="100"/>
      <c r="AJ196" s="100"/>
      <c r="AK196" s="100"/>
      <c r="AM196" s="100"/>
      <c r="AO196" s="100"/>
    </row>
    <row r="197" spans="1:41" s="27" customFormat="1" x14ac:dyDescent="0.2">
      <c r="A197" s="38"/>
      <c r="B197" s="37"/>
      <c r="C197" s="36">
        <f t="shared" si="11"/>
        <v>0</v>
      </c>
      <c r="D197" s="20"/>
      <c r="E197" s="36">
        <f t="shared" si="10"/>
        <v>0</v>
      </c>
      <c r="R197" s="100"/>
      <c r="S197" s="100"/>
      <c r="AE197" s="100"/>
      <c r="AF197" s="100"/>
      <c r="AG197" s="100"/>
      <c r="AH197" s="100"/>
      <c r="AI197" s="100"/>
      <c r="AJ197" s="100"/>
      <c r="AK197" s="100"/>
      <c r="AM197" s="100"/>
      <c r="AO197" s="100"/>
    </row>
    <row r="198" spans="1:41" s="27" customFormat="1" x14ac:dyDescent="0.2">
      <c r="A198" s="38"/>
      <c r="B198" s="37"/>
      <c r="C198" s="36">
        <f t="shared" si="11"/>
        <v>0</v>
      </c>
      <c r="D198" s="20"/>
      <c r="E198" s="36">
        <f t="shared" si="10"/>
        <v>0</v>
      </c>
      <c r="R198" s="100"/>
      <c r="S198" s="100"/>
      <c r="AE198" s="100"/>
      <c r="AF198" s="100"/>
      <c r="AG198" s="100"/>
      <c r="AH198" s="100"/>
      <c r="AI198" s="100"/>
      <c r="AJ198" s="100"/>
      <c r="AK198" s="100"/>
      <c r="AM198" s="100"/>
      <c r="AO198" s="100"/>
    </row>
    <row r="199" spans="1:41" s="27" customFormat="1" x14ac:dyDescent="0.2">
      <c r="A199" s="38"/>
      <c r="B199" s="37"/>
      <c r="C199" s="36">
        <f t="shared" si="11"/>
        <v>0</v>
      </c>
      <c r="D199" s="20"/>
      <c r="E199" s="36">
        <f t="shared" si="10"/>
        <v>0</v>
      </c>
      <c r="R199" s="100"/>
      <c r="S199" s="100"/>
      <c r="AE199" s="100"/>
      <c r="AF199" s="100"/>
      <c r="AG199" s="100"/>
      <c r="AH199" s="100"/>
      <c r="AI199" s="100"/>
      <c r="AJ199" s="100"/>
      <c r="AK199" s="100"/>
      <c r="AM199" s="100"/>
      <c r="AO199" s="100"/>
    </row>
    <row r="200" spans="1:41" s="27" customFormat="1" x14ac:dyDescent="0.2">
      <c r="A200" s="38"/>
      <c r="B200" s="37"/>
      <c r="C200" s="36">
        <f t="shared" si="11"/>
        <v>0</v>
      </c>
      <c r="D200" s="20"/>
      <c r="E200" s="36">
        <f t="shared" si="10"/>
        <v>0</v>
      </c>
      <c r="R200" s="100"/>
      <c r="S200" s="100"/>
      <c r="AE200" s="100"/>
      <c r="AF200" s="100"/>
      <c r="AG200" s="100"/>
      <c r="AH200" s="100"/>
      <c r="AI200" s="100"/>
      <c r="AJ200" s="100"/>
      <c r="AK200" s="100"/>
      <c r="AM200" s="100"/>
      <c r="AO200" s="100"/>
    </row>
    <row r="201" spans="1:41" s="27" customFormat="1" x14ac:dyDescent="0.2">
      <c r="A201" s="38"/>
      <c r="B201" s="37"/>
      <c r="C201" s="36">
        <f t="shared" si="11"/>
        <v>0</v>
      </c>
      <c r="D201" s="20"/>
      <c r="E201" s="36">
        <f t="shared" si="10"/>
        <v>0</v>
      </c>
      <c r="R201" s="100"/>
      <c r="S201" s="100"/>
      <c r="AE201" s="100"/>
      <c r="AF201" s="100"/>
      <c r="AG201" s="100"/>
      <c r="AH201" s="100"/>
      <c r="AI201" s="100"/>
      <c r="AJ201" s="100"/>
      <c r="AK201" s="100"/>
      <c r="AM201" s="100"/>
      <c r="AO201" s="100"/>
    </row>
    <row r="202" spans="1:41" s="27" customFormat="1" x14ac:dyDescent="0.2">
      <c r="A202" s="38"/>
      <c r="B202" s="37"/>
      <c r="C202" s="36">
        <f t="shared" si="11"/>
        <v>0</v>
      </c>
      <c r="D202" s="20"/>
      <c r="E202" s="36">
        <f t="shared" ref="E202:E203" si="12">SUM(G202:HT202)</f>
        <v>0</v>
      </c>
      <c r="R202" s="100"/>
      <c r="S202" s="100"/>
      <c r="AE202" s="100"/>
      <c r="AF202" s="100"/>
      <c r="AG202" s="100"/>
      <c r="AH202" s="100"/>
      <c r="AI202" s="100"/>
      <c r="AJ202" s="100"/>
      <c r="AK202" s="100"/>
      <c r="AM202" s="100"/>
      <c r="AO202" s="100"/>
    </row>
    <row r="203" spans="1:41" s="27" customFormat="1" x14ac:dyDescent="0.2">
      <c r="A203" s="38"/>
      <c r="B203" s="37"/>
      <c r="C203" s="36">
        <f t="shared" si="11"/>
        <v>0</v>
      </c>
      <c r="D203" s="20"/>
      <c r="E203" s="36">
        <f t="shared" si="1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E489-E123-415C-9FB6-15400DDA32EA}">
  <dimension ref="A1:GE212"/>
  <sheetViews>
    <sheetView zoomScaleNormal="120" workbookViewId="0">
      <pane xSplit="6" topLeftCell="G1" activePane="topRight" state="frozen"/>
      <selection pane="topRight" activeCell="M152" sqref="M152"/>
    </sheetView>
  </sheetViews>
  <sheetFormatPr defaultColWidth="14.42578125" defaultRowHeight="12.75" x14ac:dyDescent="0.2"/>
  <cols>
    <col min="1" max="1" width="13.28515625" style="19" bestFit="1" customWidth="1"/>
    <col min="2" max="2" width="6.85546875" style="18" customWidth="1"/>
    <col min="3" max="3" width="12.140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8623</v>
      </c>
      <c r="V1" s="116" t="s">
        <v>112</v>
      </c>
      <c r="W1" s="116" t="s">
        <v>8622</v>
      </c>
      <c r="X1" s="116" t="s">
        <v>64</v>
      </c>
      <c r="Y1" s="116" t="s">
        <v>64</v>
      </c>
      <c r="Z1" s="116" t="s">
        <v>64</v>
      </c>
      <c r="AA1" s="116" t="s">
        <v>112</v>
      </c>
      <c r="AB1" s="116" t="s">
        <v>112</v>
      </c>
      <c r="AC1" s="116" t="s">
        <v>112</v>
      </c>
      <c r="AD1" s="116" t="s">
        <v>112</v>
      </c>
      <c r="AE1" s="116" t="s">
        <v>112</v>
      </c>
      <c r="AF1" s="116" t="s">
        <v>64</v>
      </c>
      <c r="AG1" s="116" t="s">
        <v>112</v>
      </c>
      <c r="AH1" s="116" t="s">
        <v>8623</v>
      </c>
      <c r="AI1" s="116" t="s">
        <v>2764</v>
      </c>
      <c r="AJ1" s="116" t="s">
        <v>64</v>
      </c>
      <c r="AK1" s="116" t="s">
        <v>64</v>
      </c>
      <c r="AL1" s="116" t="s">
        <v>3015</v>
      </c>
      <c r="AM1" s="116" t="s">
        <v>64</v>
      </c>
      <c r="AN1" s="116" t="s">
        <v>64</v>
      </c>
      <c r="AO1" s="116" t="s">
        <v>112</v>
      </c>
      <c r="AP1" s="95" t="s">
        <v>64</v>
      </c>
      <c r="AQ1" s="95" t="s">
        <v>64</v>
      </c>
      <c r="AR1" s="95" t="s">
        <v>64</v>
      </c>
      <c r="AS1" s="95" t="s">
        <v>64</v>
      </c>
      <c r="AT1" s="95" t="s">
        <v>8623</v>
      </c>
      <c r="AU1" s="95" t="s">
        <v>3015</v>
      </c>
      <c r="AV1" s="95" t="s">
        <v>64</v>
      </c>
      <c r="AW1" s="95" t="s">
        <v>8623</v>
      </c>
      <c r="AX1" s="95" t="s">
        <v>107</v>
      </c>
      <c r="AY1" s="95" t="s">
        <v>8623</v>
      </c>
      <c r="AZ1" s="95" t="s">
        <v>64</v>
      </c>
      <c r="BA1" s="95" t="s">
        <v>64</v>
      </c>
      <c r="BB1" s="95" t="s">
        <v>64</v>
      </c>
      <c r="BC1" s="95" t="s">
        <v>112</v>
      </c>
      <c r="BD1" s="95" t="s">
        <v>112</v>
      </c>
      <c r="BE1" s="95" t="s">
        <v>112</v>
      </c>
      <c r="BF1" s="95" t="s">
        <v>64</v>
      </c>
      <c r="BG1" s="95" t="s">
        <v>64</v>
      </c>
      <c r="BH1" s="95" t="s">
        <v>64</v>
      </c>
      <c r="BI1" s="95" t="s">
        <v>64</v>
      </c>
      <c r="BJ1" s="95" t="s">
        <v>112</v>
      </c>
      <c r="BK1" s="95" t="s">
        <v>64</v>
      </c>
      <c r="BL1" s="95" t="s">
        <v>8623</v>
      </c>
      <c r="BM1" s="95" t="s">
        <v>64</v>
      </c>
      <c r="BN1" s="95" t="s">
        <v>64</v>
      </c>
      <c r="BO1" s="95" t="s">
        <v>64</v>
      </c>
      <c r="BP1" s="95" t="s">
        <v>64</v>
      </c>
      <c r="BQ1" s="95" t="s">
        <v>64</v>
      </c>
      <c r="BR1" s="95" t="s">
        <v>64</v>
      </c>
      <c r="BS1" s="95" t="s">
        <v>2764</v>
      </c>
      <c r="BT1" s="95" t="s">
        <v>2764</v>
      </c>
      <c r="BU1" s="95" t="s">
        <v>64</v>
      </c>
      <c r="BV1" s="95" t="s">
        <v>64</v>
      </c>
      <c r="BW1" s="95" t="s">
        <v>112</v>
      </c>
      <c r="BX1" s="95" t="s">
        <v>3015</v>
      </c>
      <c r="BY1" s="95" t="s">
        <v>64</v>
      </c>
      <c r="BZ1" s="95" t="s">
        <v>64</v>
      </c>
      <c r="CA1" s="95" t="s">
        <v>64</v>
      </c>
      <c r="CB1" s="95" t="s">
        <v>2764</v>
      </c>
      <c r="CC1" s="95" t="s">
        <v>64</v>
      </c>
      <c r="CD1" s="95" t="s">
        <v>8622</v>
      </c>
      <c r="CE1" s="95" t="s">
        <v>8622</v>
      </c>
      <c r="CF1" s="95" t="s">
        <v>112</v>
      </c>
      <c r="CG1" s="95" t="s">
        <v>107</v>
      </c>
      <c r="CH1" s="95" t="s">
        <v>107</v>
      </c>
      <c r="CI1" s="95" t="s">
        <v>116</v>
      </c>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8599</v>
      </c>
      <c r="B2" s="555" t="s">
        <v>21</v>
      </c>
      <c r="C2" s="556"/>
      <c r="D2" s="557" t="s">
        <v>3019</v>
      </c>
      <c r="E2" s="560" t="s">
        <v>22</v>
      </c>
      <c r="F2" s="561"/>
      <c r="G2" s="63"/>
      <c r="H2" s="118" t="s">
        <v>458</v>
      </c>
      <c r="I2" s="118" t="s">
        <v>469</v>
      </c>
      <c r="J2" s="118" t="s">
        <v>584</v>
      </c>
      <c r="K2" s="118" t="s">
        <v>618</v>
      </c>
      <c r="L2" s="118" t="s">
        <v>627</v>
      </c>
      <c r="M2" s="118" t="s">
        <v>630</v>
      </c>
      <c r="N2" s="118" t="s">
        <v>691</v>
      </c>
      <c r="O2" s="118" t="s">
        <v>696</v>
      </c>
      <c r="P2" s="118" t="s">
        <v>700</v>
      </c>
      <c r="Q2" s="118" t="s">
        <v>704</v>
      </c>
      <c r="R2" s="118" t="s">
        <v>789</v>
      </c>
      <c r="S2" s="118" t="s">
        <v>793</v>
      </c>
      <c r="T2" s="118" t="s">
        <v>807</v>
      </c>
      <c r="U2" s="118" t="s">
        <v>856</v>
      </c>
      <c r="V2" s="118" t="s">
        <v>898</v>
      </c>
      <c r="W2" s="118" t="s">
        <v>911</v>
      </c>
      <c r="X2" s="118" t="s">
        <v>925</v>
      </c>
      <c r="Y2" s="118" t="s">
        <v>995</v>
      </c>
      <c r="Z2" s="118" t="s">
        <v>1064</v>
      </c>
      <c r="AA2" s="118" t="s">
        <v>1127</v>
      </c>
      <c r="AB2" s="118" t="s">
        <v>1133</v>
      </c>
      <c r="AC2" s="118" t="s">
        <v>1137</v>
      </c>
      <c r="AD2" s="118" t="s">
        <v>1144</v>
      </c>
      <c r="AE2" s="118" t="s">
        <v>1146</v>
      </c>
      <c r="AF2" s="118" t="s">
        <v>1154</v>
      </c>
      <c r="AG2" s="118" t="s">
        <v>1157</v>
      </c>
      <c r="AH2" s="118" t="s">
        <v>1164</v>
      </c>
      <c r="AI2" s="118" t="s">
        <v>1180</v>
      </c>
      <c r="AJ2" s="118" t="s">
        <v>1192</v>
      </c>
      <c r="AK2" s="118" t="s">
        <v>1197</v>
      </c>
      <c r="AL2" s="118" t="s">
        <v>1242</v>
      </c>
      <c r="AM2" s="118" t="s">
        <v>1253</v>
      </c>
      <c r="AN2" s="118" t="s">
        <v>1258</v>
      </c>
      <c r="AO2" s="118" t="s">
        <v>1357</v>
      </c>
      <c r="AP2" s="96" t="s">
        <v>1372</v>
      </c>
      <c r="AQ2" s="96" t="s">
        <v>1409</v>
      </c>
      <c r="AR2" s="96" t="s">
        <v>1420</v>
      </c>
      <c r="AS2" s="96" t="s">
        <v>1423</v>
      </c>
      <c r="AT2" s="96" t="s">
        <v>1426</v>
      </c>
      <c r="AU2" s="96" t="s">
        <v>1435</v>
      </c>
      <c r="AV2" s="96" t="s">
        <v>1450</v>
      </c>
      <c r="AW2" s="96" t="s">
        <v>1471</v>
      </c>
      <c r="AX2" s="96" t="s">
        <v>1477</v>
      </c>
      <c r="AY2" s="96" t="s">
        <v>1482</v>
      </c>
      <c r="AZ2" s="96" t="s">
        <v>1595</v>
      </c>
      <c r="BA2" s="96" t="s">
        <v>1612</v>
      </c>
      <c r="BB2" s="96" t="s">
        <v>1757</v>
      </c>
      <c r="BC2" s="96" t="s">
        <v>1824</v>
      </c>
      <c r="BD2" s="96" t="s">
        <v>1964</v>
      </c>
      <c r="BE2" s="96" t="s">
        <v>2072</v>
      </c>
      <c r="BF2" s="96" t="s">
        <v>2082</v>
      </c>
      <c r="BG2" s="96" t="s">
        <v>2077</v>
      </c>
      <c r="BH2" s="96" t="s">
        <v>2085</v>
      </c>
      <c r="BI2" s="96" t="s">
        <v>2093</v>
      </c>
      <c r="BJ2" s="96" t="s">
        <v>2099</v>
      </c>
      <c r="BK2" s="96" t="s">
        <v>2130</v>
      </c>
      <c r="BL2" s="96" t="s">
        <v>2195</v>
      </c>
      <c r="BM2" s="96" t="s">
        <v>2201</v>
      </c>
      <c r="BN2" s="96" t="s">
        <v>2215</v>
      </c>
      <c r="BO2" s="96" t="s">
        <v>2234</v>
      </c>
      <c r="BP2" s="96" t="s">
        <v>2250</v>
      </c>
      <c r="BQ2" s="96" t="s">
        <v>2269</v>
      </c>
      <c r="BR2" s="96" t="s">
        <v>2300</v>
      </c>
      <c r="BS2" s="96" t="s">
        <v>2349</v>
      </c>
      <c r="BT2" s="96" t="s">
        <v>2343</v>
      </c>
      <c r="BU2" s="96" t="s">
        <v>2384</v>
      </c>
      <c r="BV2" s="96" t="s">
        <v>2395</v>
      </c>
      <c r="BW2" s="96" t="s">
        <v>2417</v>
      </c>
      <c r="BX2" s="96" t="s">
        <v>2444</v>
      </c>
      <c r="BY2" s="96" t="s">
        <v>2468</v>
      </c>
      <c r="BZ2" s="96" t="s">
        <v>2491</v>
      </c>
      <c r="CA2" s="96" t="s">
        <v>2516</v>
      </c>
      <c r="CB2" s="96" t="s">
        <v>2543</v>
      </c>
      <c r="CC2" s="96" t="s">
        <v>2550</v>
      </c>
      <c r="CD2" s="96" t="s">
        <v>439</v>
      </c>
      <c r="CE2" s="96" t="s">
        <v>494</v>
      </c>
      <c r="CF2" s="96" t="s">
        <v>532</v>
      </c>
      <c r="CG2" s="96" t="s">
        <v>581</v>
      </c>
      <c r="CH2" s="96" t="s">
        <v>596</v>
      </c>
      <c r="CI2" s="96" t="s">
        <v>458</v>
      </c>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692</v>
      </c>
      <c r="O3" s="6" t="s">
        <v>697</v>
      </c>
      <c r="P3" s="6" t="s">
        <v>701</v>
      </c>
      <c r="Q3" s="6" t="s">
        <v>705</v>
      </c>
      <c r="R3" s="6" t="s">
        <v>790</v>
      </c>
      <c r="S3" s="6" t="s">
        <v>794</v>
      </c>
      <c r="T3" s="6" t="s">
        <v>808</v>
      </c>
      <c r="U3" s="6" t="s">
        <v>857</v>
      </c>
      <c r="V3" s="6" t="s">
        <v>900</v>
      </c>
      <c r="W3" s="6" t="s">
        <v>913</v>
      </c>
      <c r="X3" s="6" t="s">
        <v>926</v>
      </c>
      <c r="Y3" s="6" t="s">
        <v>996</v>
      </c>
      <c r="Z3" s="6" t="s">
        <v>1065</v>
      </c>
      <c r="AA3" s="6" t="s">
        <v>1129</v>
      </c>
      <c r="AB3" s="118" t="s">
        <v>1135</v>
      </c>
      <c r="AC3" s="118" t="s">
        <v>1138</v>
      </c>
      <c r="AD3" s="6" t="s">
        <v>1145</v>
      </c>
      <c r="AE3" s="6" t="s">
        <v>1147</v>
      </c>
      <c r="AF3" s="6" t="s">
        <v>1155</v>
      </c>
      <c r="AG3" s="6" t="s">
        <v>1158</v>
      </c>
      <c r="AH3" s="6" t="s">
        <v>1165</v>
      </c>
      <c r="AI3" s="6" t="s">
        <v>1182</v>
      </c>
      <c r="AJ3" s="6" t="s">
        <v>1194</v>
      </c>
      <c r="AK3" s="6" t="s">
        <v>1198</v>
      </c>
      <c r="AL3" s="118" t="s">
        <v>1244</v>
      </c>
      <c r="AM3" s="5" t="s">
        <v>1254</v>
      </c>
      <c r="AN3" s="118" t="s">
        <v>1259</v>
      </c>
      <c r="AO3" s="118" t="s">
        <v>1358</v>
      </c>
      <c r="AP3" s="107" t="s">
        <v>1373</v>
      </c>
      <c r="AQ3" s="107" t="s">
        <v>1410</v>
      </c>
      <c r="AR3" s="108" t="s">
        <v>1421</v>
      </c>
      <c r="AS3" s="107" t="s">
        <v>1424</v>
      </c>
      <c r="AT3" s="107" t="s">
        <v>1427</v>
      </c>
      <c r="AU3" s="96" t="s">
        <v>1437</v>
      </c>
      <c r="AV3" s="96" t="s">
        <v>1451</v>
      </c>
      <c r="AW3" s="96" t="s">
        <v>1472</v>
      </c>
      <c r="AX3" s="96" t="s">
        <v>1479</v>
      </c>
      <c r="AY3" s="96" t="s">
        <v>1483</v>
      </c>
      <c r="AZ3" s="96" t="s">
        <v>1596</v>
      </c>
      <c r="BA3" s="96" t="s">
        <v>1613</v>
      </c>
      <c r="BB3" s="96" t="s">
        <v>1758</v>
      </c>
      <c r="BC3" s="96" t="s">
        <v>1825</v>
      </c>
      <c r="BD3" s="96" t="s">
        <v>1965</v>
      </c>
      <c r="BE3" s="96" t="s">
        <v>2074</v>
      </c>
      <c r="BF3" s="96" t="s">
        <v>2083</v>
      </c>
      <c r="BG3" s="96" t="s">
        <v>2079</v>
      </c>
      <c r="BH3" s="96" t="s">
        <v>2086</v>
      </c>
      <c r="BI3" s="96" t="s">
        <v>2094</v>
      </c>
      <c r="BJ3" s="96" t="s">
        <v>2100</v>
      </c>
      <c r="BK3" s="96" t="s">
        <v>2131</v>
      </c>
      <c r="BL3" s="96" t="s">
        <v>2197</v>
      </c>
      <c r="BM3" s="96" t="s">
        <v>2202</v>
      </c>
      <c r="BN3" s="96" t="s">
        <v>2216</v>
      </c>
      <c r="BO3" s="96" t="s">
        <v>2236</v>
      </c>
      <c r="BP3" s="96" t="s">
        <v>2251</v>
      </c>
      <c r="BQ3" s="96" t="s">
        <v>2270</v>
      </c>
      <c r="BR3" s="96" t="s">
        <v>2301</v>
      </c>
      <c r="BS3" s="96" t="s">
        <v>2350</v>
      </c>
      <c r="BT3" s="96" t="s">
        <v>2345</v>
      </c>
      <c r="BU3" s="96" t="s">
        <v>2385</v>
      </c>
      <c r="BV3" s="96" t="s">
        <v>2396</v>
      </c>
      <c r="BW3" s="96" t="s">
        <v>2418</v>
      </c>
      <c r="BX3" s="96" t="s">
        <v>2446</v>
      </c>
      <c r="BY3" s="96" t="s">
        <v>2470</v>
      </c>
      <c r="BZ3" s="96" t="s">
        <v>2492</v>
      </c>
      <c r="CA3" s="96" t="s">
        <v>2517</v>
      </c>
      <c r="CB3" s="96" t="s">
        <v>2544</v>
      </c>
      <c r="CC3" s="96" t="s">
        <v>2551</v>
      </c>
      <c r="CD3" s="96" t="s">
        <v>440</v>
      </c>
      <c r="CE3" s="96" t="s">
        <v>495</v>
      </c>
      <c r="CF3" s="96" t="s">
        <v>534</v>
      </c>
      <c r="CG3" s="96" t="s">
        <v>582</v>
      </c>
      <c r="CH3" s="96" t="s">
        <v>597</v>
      </c>
      <c r="CI3" s="96" t="s">
        <v>459</v>
      </c>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20">
        <v>32975</v>
      </c>
      <c r="AC4" s="120">
        <v>32993</v>
      </c>
      <c r="AD4" s="5">
        <v>33025</v>
      </c>
      <c r="AE4" s="5">
        <v>33059</v>
      </c>
      <c r="AF4" s="5">
        <v>33114</v>
      </c>
      <c r="AG4" s="5">
        <v>33114</v>
      </c>
      <c r="AH4" s="5">
        <v>33205</v>
      </c>
      <c r="AI4" s="5">
        <v>33522</v>
      </c>
      <c r="AJ4" s="5">
        <v>33693</v>
      </c>
      <c r="AK4" s="5">
        <v>33737</v>
      </c>
      <c r="AL4" s="120">
        <v>34199</v>
      </c>
      <c r="AM4" s="5">
        <v>34542</v>
      </c>
      <c r="AN4" s="120">
        <v>34754</v>
      </c>
      <c r="AO4" s="120">
        <v>36481</v>
      </c>
      <c r="AP4" s="108">
        <v>36647</v>
      </c>
      <c r="AQ4" s="108">
        <v>36922</v>
      </c>
      <c r="AR4" s="108">
        <v>36957</v>
      </c>
      <c r="AS4" s="108">
        <v>36963</v>
      </c>
      <c r="AT4" s="108">
        <v>37014</v>
      </c>
      <c r="AU4" s="97">
        <v>37406</v>
      </c>
      <c r="AV4" s="97">
        <v>37586</v>
      </c>
      <c r="AW4" s="97">
        <v>37802</v>
      </c>
      <c r="AX4" s="97">
        <v>37848</v>
      </c>
      <c r="AY4" s="97">
        <v>37990</v>
      </c>
      <c r="AZ4" s="97">
        <v>38275</v>
      </c>
      <c r="BA4" s="97">
        <v>38362</v>
      </c>
      <c r="BB4" s="97">
        <v>38650</v>
      </c>
      <c r="BC4" s="97">
        <v>38699</v>
      </c>
      <c r="BD4" s="97">
        <v>39162</v>
      </c>
      <c r="BE4" s="97">
        <v>40513</v>
      </c>
      <c r="BF4" s="97">
        <v>40577</v>
      </c>
      <c r="BG4" s="97">
        <v>40577</v>
      </c>
      <c r="BH4" s="97">
        <v>40583</v>
      </c>
      <c r="BI4" s="97">
        <v>40778</v>
      </c>
      <c r="BJ4" s="97">
        <v>40788</v>
      </c>
      <c r="BK4" s="97">
        <v>40892</v>
      </c>
      <c r="BL4" s="97">
        <v>41290</v>
      </c>
      <c r="BM4" s="97">
        <v>41340</v>
      </c>
      <c r="BN4" s="97">
        <v>41456</v>
      </c>
      <c r="BO4" s="97">
        <v>41517</v>
      </c>
      <c r="BP4" s="97">
        <v>41575</v>
      </c>
      <c r="BQ4" s="97">
        <v>41746</v>
      </c>
      <c r="BR4" s="97">
        <v>41926</v>
      </c>
      <c r="BS4" s="97">
        <v>42199</v>
      </c>
      <c r="BT4" s="97">
        <v>42199</v>
      </c>
      <c r="BU4" s="97">
        <v>42855</v>
      </c>
      <c r="BV4" s="97">
        <v>42985</v>
      </c>
      <c r="BW4" s="97">
        <v>43363</v>
      </c>
      <c r="BX4" s="97">
        <v>44044</v>
      </c>
      <c r="BY4" s="97">
        <v>44136</v>
      </c>
      <c r="BZ4" s="97">
        <v>44348</v>
      </c>
      <c r="CA4" s="97">
        <v>44571</v>
      </c>
      <c r="CB4" s="97">
        <v>45588</v>
      </c>
      <c r="CC4" s="97">
        <v>45608</v>
      </c>
      <c r="CD4" s="97">
        <v>2754</v>
      </c>
      <c r="CE4" s="97">
        <v>7905</v>
      </c>
      <c r="CF4" s="97">
        <v>11290</v>
      </c>
      <c r="CG4" s="97">
        <v>16434</v>
      </c>
      <c r="CH4" s="97">
        <v>17950</v>
      </c>
      <c r="CI4" s="97">
        <v>3652</v>
      </c>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2851</v>
      </c>
      <c r="O5" s="118" t="s">
        <v>2852</v>
      </c>
      <c r="P5" s="118" t="s">
        <v>2853</v>
      </c>
      <c r="Q5" s="118" t="s">
        <v>2853</v>
      </c>
      <c r="R5" s="118" t="s">
        <v>2853</v>
      </c>
      <c r="S5" s="118" t="s">
        <v>2854</v>
      </c>
      <c r="T5" s="118" t="s">
        <v>2852</v>
      </c>
      <c r="U5" s="118" t="s">
        <v>63</v>
      </c>
      <c r="V5" s="118" t="s">
        <v>63</v>
      </c>
      <c r="W5" s="118" t="s">
        <v>63</v>
      </c>
      <c r="X5" s="118" t="s">
        <v>2855</v>
      </c>
      <c r="Y5" s="118" t="s">
        <v>63</v>
      </c>
      <c r="Z5" s="118" t="s">
        <v>2853</v>
      </c>
      <c r="AA5" s="118" t="s">
        <v>63</v>
      </c>
      <c r="AB5" s="118" t="s">
        <v>63</v>
      </c>
      <c r="AC5" s="118" t="s">
        <v>63</v>
      </c>
      <c r="AD5" s="118" t="s">
        <v>63</v>
      </c>
      <c r="AE5" s="118" t="s">
        <v>63</v>
      </c>
      <c r="AF5" s="118" t="s">
        <v>2854</v>
      </c>
      <c r="AG5" s="118" t="s">
        <v>63</v>
      </c>
      <c r="AH5" s="118" t="s">
        <v>63</v>
      </c>
      <c r="AI5" s="118" t="s">
        <v>63</v>
      </c>
      <c r="AJ5" s="118" t="s">
        <v>63</v>
      </c>
      <c r="AK5" s="118" t="s">
        <v>2856</v>
      </c>
      <c r="AL5" s="118" t="s">
        <v>63</v>
      </c>
      <c r="AM5" s="118" t="s">
        <v>2855</v>
      </c>
      <c r="AN5" s="118" t="s">
        <v>63</v>
      </c>
      <c r="AO5" s="118" t="s">
        <v>63</v>
      </c>
      <c r="AP5" s="96" t="s">
        <v>63</v>
      </c>
      <c r="AQ5" s="96" t="s">
        <v>63</v>
      </c>
      <c r="AR5" s="96" t="s">
        <v>63</v>
      </c>
      <c r="AS5" s="96" t="s">
        <v>63</v>
      </c>
      <c r="AT5" s="96" t="s">
        <v>63</v>
      </c>
      <c r="AU5" s="96" t="s">
        <v>3016</v>
      </c>
      <c r="AV5" s="96" t="s">
        <v>8732</v>
      </c>
      <c r="AW5" s="96" t="s">
        <v>63</v>
      </c>
      <c r="AX5" s="96" t="s">
        <v>63</v>
      </c>
      <c r="AY5" s="96" t="s">
        <v>63</v>
      </c>
      <c r="AZ5" s="96" t="s">
        <v>63</v>
      </c>
      <c r="BA5" s="96" t="s">
        <v>63</v>
      </c>
      <c r="BB5" s="96" t="s">
        <v>63</v>
      </c>
      <c r="BC5" s="96" t="s">
        <v>2857</v>
      </c>
      <c r="BD5" s="96" t="s">
        <v>63</v>
      </c>
      <c r="BE5" s="96" t="s">
        <v>63</v>
      </c>
      <c r="BF5" s="96" t="s">
        <v>63</v>
      </c>
      <c r="BG5" s="96" t="s">
        <v>63</v>
      </c>
      <c r="BH5" s="96" t="s">
        <v>63</v>
      </c>
      <c r="BI5" s="96" t="s">
        <v>8732</v>
      </c>
      <c r="BJ5" s="96" t="s">
        <v>8732</v>
      </c>
      <c r="BK5" s="96" t="s">
        <v>63</v>
      </c>
      <c r="BL5" s="96" t="s">
        <v>63</v>
      </c>
      <c r="BM5" s="96" t="s">
        <v>8732</v>
      </c>
      <c r="BN5" s="96" t="s">
        <v>3017</v>
      </c>
      <c r="BO5" s="96" t="s">
        <v>63</v>
      </c>
      <c r="BP5" s="96" t="s">
        <v>63</v>
      </c>
      <c r="BQ5" s="96" t="s">
        <v>2858</v>
      </c>
      <c r="BR5" s="96" t="s">
        <v>63</v>
      </c>
      <c r="BS5" s="96" t="s">
        <v>8732</v>
      </c>
      <c r="BT5" s="96" t="s">
        <v>8732</v>
      </c>
      <c r="BU5" s="96" t="s">
        <v>8732</v>
      </c>
      <c r="BV5" s="96" t="s">
        <v>63</v>
      </c>
      <c r="BW5" s="96" t="s">
        <v>63</v>
      </c>
      <c r="BX5" s="96" t="s">
        <v>8732</v>
      </c>
      <c r="BY5" s="96" t="s">
        <v>63</v>
      </c>
      <c r="BZ5" s="96" t="s">
        <v>63</v>
      </c>
      <c r="CA5" s="96" t="s">
        <v>63</v>
      </c>
      <c r="CB5" s="96" t="s">
        <v>3018</v>
      </c>
      <c r="CC5" s="96" t="s">
        <v>63</v>
      </c>
      <c r="CD5" s="96" t="s">
        <v>63</v>
      </c>
      <c r="CE5" s="96" t="s">
        <v>63</v>
      </c>
      <c r="CF5" s="96" t="s">
        <v>63</v>
      </c>
      <c r="CG5" s="96" t="s">
        <v>63</v>
      </c>
      <c r="CH5" s="96" t="s">
        <v>2859</v>
      </c>
      <c r="CI5" s="96" t="s">
        <v>63</v>
      </c>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8595</v>
      </c>
      <c r="E6" s="544">
        <f>SUBTOTAL(9,E9:E203)</f>
        <v>0.99999999999999578</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SUBTOTAL(9,AE10:AE204)</f>
        <v>0</v>
      </c>
      <c r="AF7" s="533">
        <f t="shared" ref="AF7" si="8">SUBTOTAL(9,AF10:AF208)</f>
        <v>0</v>
      </c>
      <c r="AG7" s="533">
        <f>SUBTOTAL(9,AG10:AG212)</f>
        <v>0</v>
      </c>
      <c r="AH7" s="533">
        <f>SUBTOTAL(9,AH10:AH206)</f>
        <v>-9.9920072216264089E-16</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-4.4408920985006262E-16</v>
      </c>
      <c r="BG7" s="537">
        <f t="shared" si="7"/>
        <v>-1.1102230246251565E-15</v>
      </c>
      <c r="BH7" s="537">
        <f t="shared" si="7"/>
        <v>1.1102230246251565E-15</v>
      </c>
      <c r="BI7" s="537">
        <f t="shared" si="7"/>
        <v>0</v>
      </c>
      <c r="BJ7" s="537">
        <f t="shared" si="7"/>
        <v>0</v>
      </c>
      <c r="BK7" s="537">
        <f t="shared" si="7"/>
        <v>-2.886579864025407E-15</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1">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0</v>
      </c>
      <c r="D11" s="103" t="s">
        <v>471</v>
      </c>
      <c r="E11" s="86">
        <f t="shared" si="13"/>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20</v>
      </c>
      <c r="D12" s="103" t="s">
        <v>2796</v>
      </c>
      <c r="E12" s="86">
        <f t="shared" si="13"/>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20</v>
      </c>
      <c r="D13" s="103" t="s">
        <v>2797</v>
      </c>
      <c r="E13" s="86">
        <f t="shared" si="13"/>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 t="shared" si="12"/>
        <v>-40</v>
      </c>
      <c r="D14" s="410" t="s">
        <v>2798</v>
      </c>
      <c r="E14" s="411">
        <f t="shared" si="13"/>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18</v>
      </c>
      <c r="D15" s="103" t="s">
        <v>2799</v>
      </c>
      <c r="E15" s="36">
        <f t="shared" si="13"/>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18</v>
      </c>
      <c r="D16" s="103" t="s">
        <v>2800</v>
      </c>
      <c r="E16" s="36">
        <f t="shared" si="13"/>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18</v>
      </c>
      <c r="D17" s="103" t="s">
        <v>2801</v>
      </c>
      <c r="E17" s="36">
        <f t="shared" si="13"/>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18</v>
      </c>
      <c r="D18" s="103" t="s">
        <v>2802</v>
      </c>
      <c r="E18" s="36">
        <f t="shared" si="13"/>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8</v>
      </c>
      <c r="D19" s="104" t="s">
        <v>2803</v>
      </c>
      <c r="E19" s="36">
        <f t="shared" si="13"/>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-43.076923076923073</v>
      </c>
      <c r="D20" s="412" t="s">
        <v>621</v>
      </c>
      <c r="E20" s="413">
        <f t="shared" si="13"/>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1.5384615384615379</v>
      </c>
      <c r="D21" s="103" t="s">
        <v>2804</v>
      </c>
      <c r="E21" s="36">
        <f t="shared" si="13"/>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14.871794871794856</v>
      </c>
      <c r="D22" s="103" t="s">
        <v>2805</v>
      </c>
      <c r="E22" s="86">
        <f t="shared" si="13"/>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v>0.33333333333333298</v>
      </c>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80</v>
      </c>
      <c r="D23" s="4" t="s">
        <v>599</v>
      </c>
      <c r="E23" s="86">
        <f t="shared" si="13"/>
        <v>2</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-40</v>
      </c>
      <c r="D24" s="410" t="s">
        <v>632</v>
      </c>
      <c r="E24" s="413">
        <f t="shared" si="13"/>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40</v>
      </c>
      <c r="D25" s="104" t="s">
        <v>633</v>
      </c>
      <c r="E25" s="86">
        <f t="shared" si="13"/>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-26.01005722212588</v>
      </c>
      <c r="D26" s="412" t="s">
        <v>693</v>
      </c>
      <c r="E26" s="413">
        <f t="shared" si="13"/>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-6.6613381477509392E-15</v>
      </c>
      <c r="D27" s="3" t="s">
        <v>694</v>
      </c>
      <c r="E27" s="36">
        <f t="shared" si="13"/>
        <v>-1.6653345369377348E-16</v>
      </c>
      <c r="F27" s="35" t="s">
        <v>228</v>
      </c>
      <c r="G27" s="121"/>
      <c r="H27" s="121"/>
      <c r="I27" s="121"/>
      <c r="J27" s="121"/>
      <c r="K27" s="121"/>
      <c r="L27" s="121"/>
      <c r="M27" s="6"/>
      <c r="N27" s="121">
        <v>0.65025143055314705</v>
      </c>
      <c r="O27" s="121">
        <v>-0.47685104907230802</v>
      </c>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17.53558042443078</v>
      </c>
      <c r="D28" s="4" t="s">
        <v>698</v>
      </c>
      <c r="E28" s="36">
        <f t="shared" si="13"/>
        <v>0.43838951061076953</v>
      </c>
      <c r="F28" s="35" t="s">
        <v>228</v>
      </c>
      <c r="G28" s="121"/>
      <c r="H28" s="121"/>
      <c r="I28" s="121"/>
      <c r="J28" s="121"/>
      <c r="K28" s="121"/>
      <c r="L28" s="121"/>
      <c r="M28" s="5"/>
      <c r="N28" s="121"/>
      <c r="O28" s="121">
        <v>0.47685104907230802</v>
      </c>
      <c r="P28" s="121"/>
      <c r="Q28" s="123"/>
      <c r="R28" s="123"/>
      <c r="S28" s="121"/>
      <c r="T28" s="121">
        <v>-3.8461538461538498E-2</v>
      </c>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3.4680076296167837</v>
      </c>
      <c r="D29" s="4" t="s">
        <v>702</v>
      </c>
      <c r="E29" s="86">
        <f t="shared" si="13"/>
        <v>8.6700190740419597E-2</v>
      </c>
      <c r="F29" s="35" t="s">
        <v>228</v>
      </c>
      <c r="G29" s="121"/>
      <c r="H29" s="121"/>
      <c r="I29" s="121"/>
      <c r="J29" s="121"/>
      <c r="K29" s="121"/>
      <c r="L29" s="121"/>
      <c r="M29" s="5"/>
      <c r="N29" s="121"/>
      <c r="O29" s="121"/>
      <c r="P29" s="121">
        <v>8.6700190740419597E-2</v>
      </c>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3.4680076296167837</v>
      </c>
      <c r="D30" s="103" t="s">
        <v>706</v>
      </c>
      <c r="E30" s="36">
        <f t="shared" si="13"/>
        <v>8.6700190740419597E-2</v>
      </c>
      <c r="F30" s="35" t="s">
        <v>228</v>
      </c>
      <c r="G30" s="121"/>
      <c r="H30" s="121"/>
      <c r="I30" s="121"/>
      <c r="J30" s="121"/>
      <c r="K30" s="121"/>
      <c r="L30" s="121"/>
      <c r="M30" s="117"/>
      <c r="N30" s="121"/>
      <c r="O30" s="121"/>
      <c r="P30" s="121"/>
      <c r="Q30" s="123">
        <v>8.6700190740419597E-2</v>
      </c>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-9.2307692307692406</v>
      </c>
      <c r="D31" s="410" t="s">
        <v>791</v>
      </c>
      <c r="E31" s="413">
        <f t="shared" si="13"/>
        <v>-0.230769230769231</v>
      </c>
      <c r="F31" s="35" t="s">
        <v>228</v>
      </c>
      <c r="G31" s="121"/>
      <c r="H31" s="121"/>
      <c r="I31" s="121"/>
      <c r="J31" s="121"/>
      <c r="K31" s="121"/>
      <c r="L31" s="121"/>
      <c r="M31" s="117"/>
      <c r="N31" s="121"/>
      <c r="O31" s="121"/>
      <c r="P31" s="121"/>
      <c r="Q31" s="123"/>
      <c r="R31" s="123">
        <v>-0.230769230769231</v>
      </c>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3.0769230769230802</v>
      </c>
      <c r="D32" s="103" t="s">
        <v>792</v>
      </c>
      <c r="E32" s="86">
        <f t="shared" si="13"/>
        <v>7.6923076923077011E-2</v>
      </c>
      <c r="F32" s="35" t="s">
        <v>228</v>
      </c>
      <c r="G32" s="121"/>
      <c r="H32" s="121"/>
      <c r="I32" s="121"/>
      <c r="J32" s="121"/>
      <c r="K32" s="121"/>
      <c r="L32" s="121"/>
      <c r="M32" s="117"/>
      <c r="N32" s="121"/>
      <c r="O32" s="121"/>
      <c r="P32" s="121"/>
      <c r="Q32" s="123"/>
      <c r="R32" s="123">
        <v>0.230769230769231</v>
      </c>
      <c r="S32" s="121">
        <v>-0.15384615384615399</v>
      </c>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4.6153846153846203</v>
      </c>
      <c r="D33" s="103" t="s">
        <v>795</v>
      </c>
      <c r="E33" s="36">
        <f t="shared" si="13"/>
        <v>0.1153846153846155</v>
      </c>
      <c r="F33" s="35" t="s">
        <v>228</v>
      </c>
      <c r="G33" s="121"/>
      <c r="H33" s="121"/>
      <c r="I33" s="121"/>
      <c r="J33" s="121"/>
      <c r="K33" s="121"/>
      <c r="L33" s="121"/>
      <c r="M33" s="121"/>
      <c r="N33" s="121"/>
      <c r="O33" s="121"/>
      <c r="P33" s="121"/>
      <c r="Q33" s="123"/>
      <c r="R33" s="123"/>
      <c r="S33" s="121">
        <v>0.15384615384615399</v>
      </c>
      <c r="T33" s="121"/>
      <c r="U33" s="121"/>
      <c r="V33" s="121">
        <v>-3.8461538461538498E-2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ht="24" x14ac:dyDescent="0.2">
      <c r="A34" s="125"/>
      <c r="B34" s="39"/>
      <c r="C34" s="36">
        <f t="shared" si="12"/>
        <v>1.5384615384615399</v>
      </c>
      <c r="D34" s="103" t="s">
        <v>2807</v>
      </c>
      <c r="E34" s="36">
        <f t="shared" si="13"/>
        <v>3.8461538461538498E-2</v>
      </c>
      <c r="F34" s="35" t="s">
        <v>228</v>
      </c>
      <c r="G34" s="121"/>
      <c r="H34" s="121"/>
      <c r="I34" s="121"/>
      <c r="J34" s="121"/>
      <c r="K34" s="121"/>
      <c r="L34" s="121"/>
      <c r="M34" s="121"/>
      <c r="N34" s="121"/>
      <c r="O34" s="121"/>
      <c r="P34" s="121"/>
      <c r="Q34" s="123"/>
      <c r="R34" s="123"/>
      <c r="S34" s="121"/>
      <c r="T34" s="121">
        <v>3.8461538461538498E-2</v>
      </c>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ht="24" x14ac:dyDescent="0.2">
      <c r="A35" s="125"/>
      <c r="B35" s="39"/>
      <c r="C35" s="36">
        <f t="shared" si="12"/>
        <v>-1.5384615384615399</v>
      </c>
      <c r="D35" s="410" t="s">
        <v>2997</v>
      </c>
      <c r="E35" s="411">
        <f t="shared" si="13"/>
        <v>-3.8461538461538498E-2</v>
      </c>
      <c r="F35" s="35" t="s">
        <v>228</v>
      </c>
      <c r="G35" s="121"/>
      <c r="H35" s="121"/>
      <c r="I35" s="121"/>
      <c r="J35" s="121"/>
      <c r="K35" s="121"/>
      <c r="L35" s="121"/>
      <c r="M35" s="121"/>
      <c r="N35" s="121"/>
      <c r="O35" s="121"/>
      <c r="P35" s="121"/>
      <c r="Q35" s="123"/>
      <c r="R35" s="123"/>
      <c r="S35" s="121"/>
      <c r="T35" s="121"/>
      <c r="U35" s="121">
        <v>-3.8461538461538498E-2</v>
      </c>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1.5384615384615399</v>
      </c>
      <c r="D36" s="103" t="s">
        <v>859</v>
      </c>
      <c r="E36" s="36">
        <f t="shared" si="13"/>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1.5384615384615399</v>
      </c>
      <c r="D37" s="103" t="s">
        <v>901</v>
      </c>
      <c r="E37" s="86">
        <f t="shared" ref="E37" si="14">SUM(G37:HY37)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ht="24" x14ac:dyDescent="0.2">
      <c r="A38" s="125"/>
      <c r="B38" s="39"/>
      <c r="C38" s="36">
        <f t="shared" ref="C38:C41" si="15">E38*D$5</f>
        <v>-0.76923076923076805</v>
      </c>
      <c r="D38" s="421" t="s">
        <v>914</v>
      </c>
      <c r="E38" s="411">
        <f t="shared" ref="E38" si="16">SUM(G38:HT38)</f>
        <v>-1.9230769230769201E-2</v>
      </c>
      <c r="F38" s="35" t="s">
        <v>228</v>
      </c>
      <c r="G38" s="121"/>
      <c r="H38" s="121"/>
      <c r="I38" s="121"/>
      <c r="J38" s="121"/>
      <c r="K38" s="121"/>
      <c r="L38" s="121"/>
      <c r="M38" s="121"/>
      <c r="N38" s="121"/>
      <c r="O38" s="121"/>
      <c r="P38" s="121"/>
      <c r="Q38" s="123"/>
      <c r="R38" s="123"/>
      <c r="S38" s="121"/>
      <c r="T38" s="121"/>
      <c r="U38" s="121"/>
      <c r="V38" s="121"/>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0.57692307692307598</v>
      </c>
      <c r="D39" s="103" t="s">
        <v>2998</v>
      </c>
      <c r="E39" s="36">
        <f>SUM(G39:HH39)</f>
        <v>1.44230769230769E-2</v>
      </c>
      <c r="F39" s="35" t="s">
        <v>228</v>
      </c>
      <c r="G39" s="121"/>
      <c r="H39" s="122"/>
      <c r="I39" s="122"/>
      <c r="J39" s="122"/>
      <c r="K39" s="122"/>
      <c r="L39" s="123"/>
      <c r="M39" s="123"/>
      <c r="N39" s="123"/>
      <c r="O39" s="123"/>
      <c r="P39" s="123"/>
      <c r="Q39" s="123"/>
      <c r="R39" s="123"/>
      <c r="S39" s="123"/>
      <c r="T39" s="123"/>
      <c r="U39" s="123"/>
      <c r="V39" s="123"/>
      <c r="W39" s="123">
        <v>1.44230769230769E-2</v>
      </c>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0.19230769230769201</v>
      </c>
      <c r="D40" s="103" t="s">
        <v>2999</v>
      </c>
      <c r="E40" s="86">
        <f>SUM(G40:HH40)</f>
        <v>4.8076923076923002E-3</v>
      </c>
      <c r="F40" s="35" t="s">
        <v>228</v>
      </c>
      <c r="G40" s="121"/>
      <c r="H40" s="122"/>
      <c r="I40" s="122"/>
      <c r="J40" s="122"/>
      <c r="K40" s="122"/>
      <c r="L40" s="123"/>
      <c r="M40" s="123"/>
      <c r="N40" s="123"/>
      <c r="O40" s="123"/>
      <c r="P40" s="123"/>
      <c r="Q40" s="123"/>
      <c r="R40" s="123"/>
      <c r="S40" s="123"/>
      <c r="T40" s="123"/>
      <c r="U40" s="123"/>
      <c r="V40" s="123"/>
      <c r="W40" s="123">
        <v>4.8076923076923002E-3</v>
      </c>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-6.1538461538461595</v>
      </c>
      <c r="D41" s="421" t="s">
        <v>927</v>
      </c>
      <c r="E41" s="411">
        <f>SUM(G41:HH41)</f>
        <v>-0.15384615384615399</v>
      </c>
      <c r="F41" s="35" t="s">
        <v>228</v>
      </c>
      <c r="G41" s="121"/>
      <c r="H41" s="122"/>
      <c r="I41" s="122"/>
      <c r="J41" s="122"/>
      <c r="K41" s="122"/>
      <c r="L41" s="123"/>
      <c r="M41" s="123"/>
      <c r="N41" s="123"/>
      <c r="O41" s="123"/>
      <c r="P41" s="123"/>
      <c r="Q41" s="123"/>
      <c r="R41" s="123"/>
      <c r="S41" s="123"/>
      <c r="T41" s="123"/>
      <c r="U41" s="123"/>
      <c r="V41" s="123"/>
      <c r="W41" s="123"/>
      <c r="X41" s="123">
        <v>-0.15384615384615399</v>
      </c>
      <c r="Y41" s="123"/>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5.846153846153852</v>
      </c>
      <c r="D42" s="3" t="s">
        <v>928</v>
      </c>
      <c r="E42" s="86">
        <f>SUM(G42:HH42)</f>
        <v>0.1461538461538463</v>
      </c>
      <c r="F42" s="35" t="s">
        <v>228</v>
      </c>
      <c r="G42" s="121"/>
      <c r="H42" s="122"/>
      <c r="I42" s="122"/>
      <c r="J42" s="122"/>
      <c r="K42" s="122"/>
      <c r="L42" s="123"/>
      <c r="M42" s="123"/>
      <c r="N42" s="123"/>
      <c r="O42" s="123"/>
      <c r="P42" s="123"/>
      <c r="Q42" s="123"/>
      <c r="R42" s="123"/>
      <c r="S42" s="124"/>
      <c r="T42" s="124"/>
      <c r="U42" s="123"/>
      <c r="V42" s="123"/>
      <c r="W42" s="123"/>
      <c r="X42" s="123">
        <v>0.15384615384615399</v>
      </c>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-40</v>
      </c>
      <c r="D43" s="422" t="s">
        <v>997</v>
      </c>
      <c r="E43" s="413">
        <f>SUM(G43:HH43)</f>
        <v>-1</v>
      </c>
      <c r="F43" s="35" t="s">
        <v>228</v>
      </c>
      <c r="G43" s="121"/>
      <c r="H43" s="122"/>
      <c r="I43" s="122"/>
      <c r="J43" s="122"/>
      <c r="K43" s="122"/>
      <c r="L43" s="123"/>
      <c r="M43" s="123"/>
      <c r="N43" s="123"/>
      <c r="O43" s="124"/>
      <c r="P43" s="123"/>
      <c r="Q43" s="123"/>
      <c r="R43" s="123"/>
      <c r="S43" s="123"/>
      <c r="T43" s="123"/>
      <c r="U43" s="123"/>
      <c r="V43" s="123"/>
      <c r="W43" s="123"/>
      <c r="X43" s="123"/>
      <c r="Y43" s="123">
        <v>-1</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v>
      </c>
      <c r="D44" s="4" t="s">
        <v>998</v>
      </c>
      <c r="E44" s="86">
        <f t="shared" si="13"/>
        <v>0</v>
      </c>
      <c r="F44" s="35" t="s">
        <v>228</v>
      </c>
      <c r="G44" s="121"/>
      <c r="H44" s="121"/>
      <c r="I44" s="121"/>
      <c r="J44" s="121"/>
      <c r="K44" s="121"/>
      <c r="L44" s="121"/>
      <c r="M44" s="121"/>
      <c r="N44" s="121"/>
      <c r="O44" s="121"/>
      <c r="P44" s="121"/>
      <c r="Q44" s="123"/>
      <c r="R44" s="123"/>
      <c r="S44" s="121"/>
      <c r="T44" s="121"/>
      <c r="U44" s="121"/>
      <c r="V44" s="121"/>
      <c r="W44" s="121"/>
      <c r="X44" s="121"/>
      <c r="Y44" s="121">
        <v>1</v>
      </c>
      <c r="Z44" s="121"/>
      <c r="AA44" s="121"/>
      <c r="AB44" s="121"/>
      <c r="AC44" s="121"/>
      <c r="AD44" s="123"/>
      <c r="AE44" s="123"/>
      <c r="AF44" s="123">
        <v>-1</v>
      </c>
      <c r="AG44" s="123"/>
      <c r="AH44" s="124"/>
      <c r="AI44" s="124"/>
      <c r="AJ44" s="123"/>
      <c r="AK44" s="121"/>
      <c r="AL44" s="123"/>
      <c r="AM44" s="121"/>
      <c r="AN44" s="123"/>
      <c r="AO44" s="121"/>
      <c r="AP44" s="121"/>
      <c r="AQ44" s="28"/>
      <c r="AR44" s="28"/>
      <c r="AS44" s="28"/>
    </row>
    <row r="45" spans="1:187" s="27" customFormat="1" x14ac:dyDescent="0.2">
      <c r="A45" s="125"/>
      <c r="B45" s="39"/>
      <c r="C45" s="86">
        <f>E45*D$5</f>
        <v>-39.692307692307693</v>
      </c>
      <c r="D45" s="422" t="s">
        <v>1066</v>
      </c>
      <c r="E45" s="413">
        <f>SUM(G45:HP45)</f>
        <v>-0.99230769230769234</v>
      </c>
      <c r="F45" s="35" t="s">
        <v>228</v>
      </c>
      <c r="G45" s="121"/>
      <c r="H45" s="123"/>
      <c r="I45" s="123"/>
      <c r="J45" s="123"/>
      <c r="K45" s="123"/>
      <c r="L45" s="123"/>
      <c r="M45" s="124"/>
      <c r="N45" s="124"/>
      <c r="O45" s="123"/>
      <c r="P45" s="123"/>
      <c r="Q45" s="123"/>
      <c r="R45" s="123"/>
      <c r="S45" s="123"/>
      <c r="T45" s="123"/>
      <c r="U45" s="123"/>
      <c r="V45" s="123"/>
      <c r="W45" s="123"/>
      <c r="X45" s="123"/>
      <c r="Y45" s="123"/>
      <c r="Z45" s="123">
        <v>7.6923076923076901E-3</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v>-1</v>
      </c>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-40</v>
      </c>
      <c r="D46" s="421" t="s">
        <v>1130</v>
      </c>
      <c r="E46" s="413">
        <f t="shared" si="13"/>
        <v>-1</v>
      </c>
      <c r="F46" s="35" t="s">
        <v>228</v>
      </c>
      <c r="G46" s="121"/>
      <c r="H46" s="121"/>
      <c r="I46" s="121"/>
      <c r="J46" s="121"/>
      <c r="K46" s="121"/>
      <c r="L46" s="121"/>
      <c r="M46" s="121"/>
      <c r="N46" s="121"/>
      <c r="O46" s="121"/>
      <c r="P46" s="121"/>
      <c r="Q46" s="123"/>
      <c r="R46" s="123"/>
      <c r="S46" s="121"/>
      <c r="T46" s="121"/>
      <c r="U46" s="121"/>
      <c r="V46" s="121"/>
      <c r="W46" s="121"/>
      <c r="X46" s="121"/>
      <c r="Y46" s="121"/>
      <c r="Z46" s="121"/>
      <c r="AA46" s="121">
        <v>-1</v>
      </c>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0</v>
      </c>
      <c r="D47" s="3" t="s">
        <v>1131</v>
      </c>
      <c r="E47" s="86">
        <f t="shared" si="13"/>
        <v>0</v>
      </c>
      <c r="F47" s="35" t="s">
        <v>228</v>
      </c>
      <c r="G47" s="121"/>
      <c r="H47" s="121"/>
      <c r="I47" s="121"/>
      <c r="J47" s="121"/>
      <c r="K47" s="121"/>
      <c r="L47" s="121"/>
      <c r="M47" s="121"/>
      <c r="N47" s="121"/>
      <c r="O47" s="121"/>
      <c r="P47" s="121"/>
      <c r="Q47" s="123"/>
      <c r="R47" s="123"/>
      <c r="S47" s="121"/>
      <c r="T47" s="121"/>
      <c r="U47" s="121"/>
      <c r="V47" s="121"/>
      <c r="W47" s="121"/>
      <c r="X47" s="121"/>
      <c r="Y47" s="121"/>
      <c r="Z47" s="121"/>
      <c r="AA47" s="121">
        <v>1</v>
      </c>
      <c r="AB47" s="121"/>
      <c r="AC47" s="121"/>
      <c r="AD47" s="123">
        <v>-1</v>
      </c>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-1.5384615384615399</v>
      </c>
      <c r="D48" s="421" t="s">
        <v>1136</v>
      </c>
      <c r="E48" s="411">
        <f t="shared" si="13"/>
        <v>-3.8461538461538498E-2</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v>-3.8461538461538498E-2</v>
      </c>
      <c r="AC48" s="121"/>
      <c r="AD48" s="123"/>
      <c r="AE48" s="123"/>
      <c r="AF48" s="123"/>
      <c r="AG48" s="123"/>
      <c r="AH48" s="123"/>
      <c r="AI48" s="123"/>
      <c r="AJ48" s="123"/>
      <c r="AK48" s="121"/>
      <c r="AL48" s="123"/>
      <c r="AM48" s="129"/>
      <c r="AN48" s="124"/>
      <c r="AO48" s="121"/>
      <c r="AP48" s="121"/>
      <c r="AQ48" s="28"/>
      <c r="AR48" s="28"/>
      <c r="AS48" s="28"/>
    </row>
    <row r="49" spans="1:47" s="27" customFormat="1" x14ac:dyDescent="0.2">
      <c r="A49" s="125"/>
      <c r="B49" s="39"/>
      <c r="C49" s="86">
        <f t="shared" si="12"/>
        <v>41.538461538461533</v>
      </c>
      <c r="D49" s="3" t="s">
        <v>114</v>
      </c>
      <c r="E49" s="36">
        <f t="shared" si="13"/>
        <v>1.0384615384615383</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v>3.8461538461538498E-2</v>
      </c>
      <c r="AC49" s="121">
        <v>-1</v>
      </c>
      <c r="AD49" s="123">
        <v>1</v>
      </c>
      <c r="AE49" s="123">
        <v>-1</v>
      </c>
      <c r="AF49" s="123"/>
      <c r="AG49" s="123"/>
      <c r="AH49" s="123"/>
      <c r="AI49" s="123"/>
      <c r="AJ49" s="123"/>
      <c r="AK49" s="121"/>
      <c r="AL49" s="123"/>
      <c r="AM49" s="121"/>
      <c r="AN49" s="124"/>
      <c r="AO49" s="121"/>
      <c r="AP49" s="121"/>
      <c r="AQ49" s="28">
        <v>1</v>
      </c>
      <c r="AR49" s="28">
        <v>1</v>
      </c>
      <c r="AS49" s="28">
        <v>1</v>
      </c>
      <c r="AU49" s="27">
        <v>-1</v>
      </c>
    </row>
    <row r="50" spans="1:47" s="27" customFormat="1" x14ac:dyDescent="0.2">
      <c r="A50" s="38"/>
      <c r="B50" s="37"/>
      <c r="C50" s="36">
        <f t="shared" si="12"/>
        <v>40</v>
      </c>
      <c r="D50" s="4" t="s">
        <v>1139</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v>1</v>
      </c>
      <c r="AD50" s="123"/>
      <c r="AE50" s="123"/>
      <c r="AF50" s="123"/>
      <c r="AG50" s="123"/>
      <c r="AH50" s="123"/>
      <c r="AI50" s="123"/>
      <c r="AJ50" s="123"/>
      <c r="AK50" s="121"/>
      <c r="AL50" s="123"/>
      <c r="AM50" s="121"/>
      <c r="AN50" s="123"/>
      <c r="AO50" s="121"/>
      <c r="AP50" s="121"/>
      <c r="AQ50" s="28"/>
      <c r="AR50" s="28"/>
      <c r="AS50" s="28"/>
    </row>
    <row r="51" spans="1:47" s="27" customFormat="1" x14ac:dyDescent="0.2">
      <c r="A51" s="38"/>
      <c r="B51" s="37"/>
      <c r="C51" s="36">
        <f t="shared" si="12"/>
        <v>40</v>
      </c>
      <c r="D51" s="4" t="s">
        <v>1148</v>
      </c>
      <c r="E51" s="36">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7" s="27" customFormat="1" x14ac:dyDescent="0.2">
      <c r="A52" s="38"/>
      <c r="B52" s="37"/>
      <c r="C52" s="86">
        <f t="shared" si="12"/>
        <v>39.846153846153847</v>
      </c>
      <c r="D52" s="4" t="s">
        <v>1156</v>
      </c>
      <c r="E52" s="86">
        <f t="shared" si="13"/>
        <v>0.99615384615384617</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v>1</v>
      </c>
      <c r="AG52" s="123">
        <v>1</v>
      </c>
      <c r="AH52" s="123"/>
      <c r="AI52" s="123"/>
      <c r="AJ52" s="123"/>
      <c r="AK52" s="121">
        <v>-1</v>
      </c>
      <c r="AL52" s="123"/>
      <c r="AM52" s="121">
        <v>-3.8461538461538498E-3</v>
      </c>
      <c r="AN52" s="123"/>
      <c r="AO52" s="121"/>
      <c r="AP52" s="121"/>
      <c r="AQ52" s="28"/>
      <c r="AR52" s="28"/>
      <c r="AS52" s="28"/>
    </row>
    <row r="53" spans="1:47" s="27" customFormat="1" x14ac:dyDescent="0.2">
      <c r="A53" s="38"/>
      <c r="B53" s="37"/>
      <c r="C53" s="86">
        <f t="shared" si="12"/>
        <v>-40</v>
      </c>
      <c r="D53" s="421" t="s">
        <v>372</v>
      </c>
      <c r="E53" s="413">
        <f t="shared" si="13"/>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v>-1</v>
      </c>
      <c r="AH53" s="123"/>
      <c r="AI53" s="123"/>
      <c r="AJ53" s="123"/>
      <c r="AK53" s="121"/>
      <c r="AL53" s="123"/>
      <c r="AM53" s="121"/>
      <c r="AN53" s="123"/>
      <c r="AO53" s="121"/>
      <c r="AP53" s="121"/>
      <c r="AQ53" s="28"/>
      <c r="AR53" s="28"/>
      <c r="AS53" s="28"/>
    </row>
    <row r="54" spans="1:47" s="27" customFormat="1" ht="12.95" customHeight="1" x14ac:dyDescent="0.2">
      <c r="A54" s="38"/>
      <c r="B54" s="37"/>
      <c r="C54" s="36">
        <f t="shared" si="12"/>
        <v>-40</v>
      </c>
      <c r="D54" s="421" t="s">
        <v>2808</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7" s="27" customFormat="1" ht="14.1" customHeight="1" x14ac:dyDescent="0.2">
      <c r="A55" s="38"/>
      <c r="B55" s="37"/>
      <c r="C55" s="36">
        <f t="shared" si="12"/>
        <v>-6.6666666666666803</v>
      </c>
      <c r="D55" s="421" t="s">
        <v>2809</v>
      </c>
      <c r="E55" s="411">
        <f t="shared" si="13"/>
        <v>-0.16666666666666702</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v>0.33333333333333298</v>
      </c>
      <c r="AI55" s="123"/>
      <c r="AJ55" s="123"/>
      <c r="AK55" s="121"/>
      <c r="AL55" s="123"/>
      <c r="AM55" s="121"/>
      <c r="AN55" s="124"/>
      <c r="AO55" s="121"/>
      <c r="AP55" s="121"/>
      <c r="AQ55" s="28"/>
      <c r="AR55" s="28">
        <v>-0.5</v>
      </c>
      <c r="AS55" s="28"/>
    </row>
    <row r="56" spans="1:47" s="27" customFormat="1" ht="17.45" customHeight="1" x14ac:dyDescent="0.2">
      <c r="A56" s="38"/>
      <c r="B56" s="37"/>
      <c r="C56" s="36">
        <f t="shared" si="12"/>
        <v>13.33333333333332</v>
      </c>
      <c r="D56" s="87" t="s">
        <v>2810</v>
      </c>
      <c r="E56" s="36">
        <f t="shared" si="13"/>
        <v>0.33333333333333298</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v>0.33333333333333298</v>
      </c>
      <c r="AI56" s="100"/>
      <c r="AJ56" s="100"/>
      <c r="AK56" s="28"/>
      <c r="AL56" s="100"/>
      <c r="AM56" s="28"/>
      <c r="AN56" s="123"/>
      <c r="AO56" s="28"/>
      <c r="AP56" s="28"/>
      <c r="AQ56" s="28"/>
      <c r="AR56" s="28"/>
      <c r="AS56" s="28"/>
    </row>
    <row r="57" spans="1:47" s="27" customFormat="1" ht="17.45" customHeight="1" x14ac:dyDescent="0.2">
      <c r="A57" s="38"/>
      <c r="B57" s="37"/>
      <c r="C57" s="36">
        <f t="shared" si="12"/>
        <v>-0.76923076923076805</v>
      </c>
      <c r="D57" s="425" t="s">
        <v>1183</v>
      </c>
      <c r="E57" s="411">
        <f t="shared" si="13"/>
        <v>-1.9230769230769201E-2</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v>-1.9230769230769201E-2</v>
      </c>
      <c r="AJ57" s="100"/>
      <c r="AK57" s="28"/>
      <c r="AL57" s="100"/>
      <c r="AM57" s="28"/>
      <c r="AN57" s="123"/>
      <c r="AO57" s="28"/>
      <c r="AP57" s="28"/>
      <c r="AQ57" s="28"/>
      <c r="AR57" s="28"/>
      <c r="AS57" s="28"/>
    </row>
    <row r="58" spans="1:47" s="27" customFormat="1" ht="17.45" customHeight="1" x14ac:dyDescent="0.2">
      <c r="A58" s="38"/>
      <c r="B58" s="37"/>
      <c r="C58" s="36">
        <f t="shared" si="12"/>
        <v>0.76923076923076805</v>
      </c>
      <c r="D58" s="87" t="s">
        <v>1184</v>
      </c>
      <c r="E58" s="36">
        <f t="shared" si="13"/>
        <v>1.9230769230769201E-2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v>1.9230769230769201E-2</v>
      </c>
      <c r="AJ58" s="100"/>
      <c r="AK58" s="28"/>
      <c r="AL58" s="100"/>
      <c r="AM58" s="28"/>
      <c r="AN58" s="123"/>
      <c r="AO58" s="28"/>
      <c r="AP58" s="28"/>
      <c r="AQ58" s="28"/>
      <c r="AR58" s="28"/>
      <c r="AS58" s="28"/>
    </row>
    <row r="59" spans="1:47" s="27" customFormat="1" ht="17.45" customHeight="1" x14ac:dyDescent="0.2">
      <c r="A59" s="38"/>
      <c r="B59" s="37"/>
      <c r="C59" s="36">
        <f t="shared" si="12"/>
        <v>-40</v>
      </c>
      <c r="D59" s="423" t="s">
        <v>1195</v>
      </c>
      <c r="E59" s="411">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v>-1</v>
      </c>
      <c r="AK59" s="28"/>
      <c r="AL59" s="100"/>
      <c r="AM59" s="28"/>
      <c r="AN59" s="123"/>
      <c r="AO59" s="28"/>
      <c r="AP59" s="28"/>
      <c r="AQ59" s="28"/>
      <c r="AR59" s="28"/>
      <c r="AS59" s="28"/>
    </row>
    <row r="60" spans="1:47" s="27" customFormat="1" ht="16.5" customHeight="1" x14ac:dyDescent="0.2">
      <c r="A60" s="38"/>
      <c r="B60" s="37"/>
      <c r="C60" s="36">
        <f t="shared" si="12"/>
        <v>40</v>
      </c>
      <c r="D60" s="87" t="s">
        <v>1196</v>
      </c>
      <c r="E60" s="36">
        <f t="shared" si="13"/>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v>1</v>
      </c>
      <c r="AK60" s="28"/>
      <c r="AL60" s="100"/>
      <c r="AM60" s="28"/>
      <c r="AN60" s="123"/>
      <c r="AO60" s="28"/>
      <c r="AP60" s="28"/>
      <c r="AQ60" s="28"/>
      <c r="AR60" s="28"/>
      <c r="AS60" s="28"/>
    </row>
    <row r="61" spans="1:47" s="27" customFormat="1" x14ac:dyDescent="0.2">
      <c r="A61" s="38"/>
      <c r="B61" s="37"/>
      <c r="C61" s="36">
        <f t="shared" si="12"/>
        <v>40</v>
      </c>
      <c r="D61" s="4" t="s">
        <v>1199</v>
      </c>
      <c r="E61" s="36">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v>1</v>
      </c>
      <c r="AL61" s="100"/>
      <c r="AM61" s="28"/>
      <c r="AN61" s="123"/>
      <c r="AO61" s="28"/>
      <c r="AP61" s="28"/>
      <c r="AQ61" s="28"/>
      <c r="AR61" s="28"/>
      <c r="AS61" s="28"/>
    </row>
    <row r="62" spans="1:47" s="27" customFormat="1" ht="24" x14ac:dyDescent="0.2">
      <c r="A62" s="38"/>
      <c r="B62" s="37"/>
      <c r="C62" s="86">
        <f t="shared" si="12"/>
        <v>-40</v>
      </c>
      <c r="D62" s="422" t="s">
        <v>1245</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v>-1</v>
      </c>
      <c r="AM62" s="28"/>
      <c r="AN62" s="123"/>
      <c r="AO62" s="28"/>
      <c r="AP62" s="28"/>
      <c r="AQ62" s="28"/>
      <c r="AR62" s="28"/>
      <c r="AS62" s="28"/>
    </row>
    <row r="63" spans="1:47" s="27" customFormat="1" x14ac:dyDescent="0.2">
      <c r="A63" s="38"/>
      <c r="B63" s="37"/>
      <c r="C63" s="86">
        <f t="shared" si="12"/>
        <v>40</v>
      </c>
      <c r="D63" s="3" t="s">
        <v>1246</v>
      </c>
      <c r="E63" s="86">
        <f t="shared" si="13"/>
        <v>1</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v>1</v>
      </c>
      <c r="AM63" s="28"/>
      <c r="AN63" s="123"/>
      <c r="AO63" s="28"/>
      <c r="AP63" s="28"/>
      <c r="AQ63" s="28"/>
      <c r="AR63" s="28"/>
      <c r="AS63" s="28"/>
    </row>
    <row r="64" spans="1:47" s="27" customFormat="1" x14ac:dyDescent="0.2">
      <c r="A64" s="38"/>
      <c r="B64" s="37"/>
      <c r="C64" s="36">
        <f t="shared" si="12"/>
        <v>7.6923076923076997E-2</v>
      </c>
      <c r="D64" s="4" t="s">
        <v>2814</v>
      </c>
      <c r="E64" s="36">
        <f t="shared" si="13"/>
        <v>1.9230769230769249E-3</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v>1.9230769230769249E-3</v>
      </c>
      <c r="AN64" s="123"/>
      <c r="AO64" s="28"/>
      <c r="AP64" s="28"/>
      <c r="AQ64" s="28"/>
      <c r="AR64" s="28"/>
      <c r="AS64" s="28"/>
    </row>
    <row r="65" spans="1:54" s="27" customFormat="1" x14ac:dyDescent="0.2">
      <c r="A65" s="38"/>
      <c r="B65" s="37"/>
      <c r="C65" s="86">
        <f t="shared" si="12"/>
        <v>-39.92307692307692</v>
      </c>
      <c r="D65" s="422" t="s">
        <v>2815</v>
      </c>
      <c r="E65" s="413">
        <f t="shared" si="13"/>
        <v>-0.99807692307692308</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v>1.9230769230769249E-3</v>
      </c>
      <c r="AN65" s="123">
        <v>0</v>
      </c>
      <c r="AO65" s="28"/>
      <c r="AP65" s="28"/>
      <c r="AQ65" s="28"/>
      <c r="AR65" s="28"/>
      <c r="AS65" s="28"/>
      <c r="BB65" s="27">
        <v>-1</v>
      </c>
    </row>
    <row r="66" spans="1:54" s="27" customFormat="1" x14ac:dyDescent="0.2">
      <c r="A66" s="38"/>
      <c r="B66" s="37"/>
      <c r="C66" s="86">
        <f t="shared" si="12"/>
        <v>0</v>
      </c>
      <c r="D66" s="3" t="s">
        <v>2816</v>
      </c>
      <c r="E66" s="86">
        <f t="shared" si="13"/>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v>0</v>
      </c>
      <c r="AO66" s="28"/>
      <c r="AP66" s="28"/>
      <c r="AQ66" s="28"/>
      <c r="AR66" s="28"/>
      <c r="AS66" s="28"/>
    </row>
    <row r="67" spans="1:54" s="27" customFormat="1" x14ac:dyDescent="0.2">
      <c r="A67" s="38"/>
      <c r="B67" s="37"/>
      <c r="C67" s="36">
        <f t="shared" si="12"/>
        <v>0</v>
      </c>
      <c r="D67" s="4" t="s">
        <v>2817</v>
      </c>
      <c r="E67" s="36">
        <f t="shared" si="13"/>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v>0</v>
      </c>
      <c r="AO67" s="28"/>
      <c r="AP67" s="28"/>
      <c r="AQ67" s="28"/>
      <c r="AR67" s="28"/>
      <c r="AS67" s="28"/>
    </row>
    <row r="68" spans="1:54" s="27" customFormat="1" x14ac:dyDescent="0.2">
      <c r="A68" s="38"/>
      <c r="B68" s="37"/>
      <c r="C68" s="36">
        <f t="shared" si="12"/>
        <v>0</v>
      </c>
      <c r="D68" s="4">
        <v>1995</v>
      </c>
      <c r="E68" s="36">
        <f t="shared" si="13"/>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v>0</v>
      </c>
      <c r="AO68" s="28"/>
      <c r="AP68" s="28"/>
      <c r="AQ68" s="28"/>
      <c r="AR68" s="28"/>
      <c r="AS68" s="28"/>
    </row>
    <row r="69" spans="1:54" s="27" customFormat="1" x14ac:dyDescent="0.2">
      <c r="A69" s="38"/>
      <c r="B69" s="37"/>
      <c r="C69" s="36">
        <f t="shared" si="12"/>
        <v>0</v>
      </c>
      <c r="D69" s="4" t="s">
        <v>1359</v>
      </c>
      <c r="E69" s="36">
        <f t="shared" si="13"/>
        <v>0</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0</v>
      </c>
      <c r="AP69" s="28"/>
      <c r="AQ69" s="28"/>
      <c r="AR69" s="28"/>
      <c r="AS69" s="28"/>
    </row>
    <row r="70" spans="1:54" s="27" customFormat="1" x14ac:dyDescent="0.2">
      <c r="A70" s="38"/>
      <c r="B70" s="37"/>
      <c r="C70" s="36">
        <f t="shared" si="12"/>
        <v>0</v>
      </c>
      <c r="D70" s="89" t="s">
        <v>1360</v>
      </c>
      <c r="E70" s="36">
        <f t="shared" si="13"/>
        <v>0</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0</v>
      </c>
      <c r="AP70" s="28"/>
      <c r="AQ70" s="28"/>
      <c r="AR70" s="28"/>
      <c r="AS70" s="28"/>
    </row>
    <row r="71" spans="1:54" s="27" customFormat="1" x14ac:dyDescent="0.2">
      <c r="A71" s="38"/>
      <c r="B71" s="37"/>
      <c r="C71" s="36">
        <f t="shared" si="12"/>
        <v>-0.3076923076923076</v>
      </c>
      <c r="D71" s="418" t="s">
        <v>1374</v>
      </c>
      <c r="E71" s="411">
        <f t="shared" si="13"/>
        <v>-7.6923076923076901E-3</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-7.6923076923076901E-3</v>
      </c>
      <c r="AQ71" s="28"/>
      <c r="AR71" s="28"/>
      <c r="AS71" s="28"/>
    </row>
    <row r="72" spans="1:54" s="27" customFormat="1" x14ac:dyDescent="0.2">
      <c r="A72" s="38"/>
      <c r="B72" s="37"/>
      <c r="C72" s="36">
        <f t="shared" si="12"/>
        <v>0.3076923076923076</v>
      </c>
      <c r="D72" s="66" t="s">
        <v>1375</v>
      </c>
      <c r="E72" s="36">
        <f t="shared" si="13"/>
        <v>7.6923076923076901E-3</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v>7.6923076923076901E-3</v>
      </c>
      <c r="AQ72" s="28"/>
      <c r="AR72" s="28"/>
      <c r="AS72" s="28"/>
    </row>
    <row r="73" spans="1:54" s="27" customFormat="1" x14ac:dyDescent="0.2">
      <c r="A73" s="38"/>
      <c r="B73" s="37"/>
      <c r="C73" s="86">
        <f t="shared" si="12"/>
        <v>0</v>
      </c>
      <c r="D73" s="66" t="s">
        <v>1370</v>
      </c>
      <c r="E73" s="86">
        <f t="shared" si="13"/>
        <v>0</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v>-1</v>
      </c>
      <c r="AR73" s="28"/>
      <c r="AS73" s="28"/>
      <c r="AT73" s="27">
        <v>1</v>
      </c>
    </row>
    <row r="74" spans="1:54" s="27" customFormat="1" x14ac:dyDescent="0.2">
      <c r="A74" s="38"/>
      <c r="B74" s="37"/>
      <c r="C74" s="86">
        <f t="shared" si="12"/>
        <v>-20</v>
      </c>
      <c r="D74" s="418" t="s">
        <v>2818</v>
      </c>
      <c r="E74" s="413">
        <f t="shared" ref="E74:E137" si="17">SUM(G74:HT74)</f>
        <v>-0.5</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v>-0.5</v>
      </c>
      <c r="AS74" s="28"/>
    </row>
    <row r="75" spans="1:54" s="27" customFormat="1" x14ac:dyDescent="0.2">
      <c r="A75" s="38"/>
      <c r="B75" s="37"/>
      <c r="C75" s="36">
        <f t="shared" si="12"/>
        <v>-40</v>
      </c>
      <c r="D75" s="418" t="s">
        <v>1425</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-1</v>
      </c>
    </row>
    <row r="76" spans="1:54" s="27" customFormat="1" ht="24" x14ac:dyDescent="0.2">
      <c r="A76" s="38"/>
      <c r="B76" s="37"/>
      <c r="C76" s="36">
        <f t="shared" si="12"/>
        <v>-40</v>
      </c>
      <c r="D76" s="418" t="s">
        <v>2819</v>
      </c>
      <c r="E76" s="411">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x14ac:dyDescent="0.2">
      <c r="A77" s="38"/>
      <c r="B77" s="37"/>
      <c r="C77" s="36">
        <f t="shared" si="12"/>
        <v>19</v>
      </c>
      <c r="D77" s="88" t="s">
        <v>3000</v>
      </c>
      <c r="E77" s="36">
        <f t="shared" si="17"/>
        <v>0.47499999999999998</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0.47499999999999998</v>
      </c>
    </row>
    <row r="78" spans="1:54" s="27" customFormat="1" x14ac:dyDescent="0.2">
      <c r="A78" s="38"/>
      <c r="B78" s="37"/>
      <c r="C78" s="36">
        <f t="shared" si="12"/>
        <v>1</v>
      </c>
      <c r="D78" s="66" t="s">
        <v>3001</v>
      </c>
      <c r="E78" s="36">
        <f t="shared" si="17"/>
        <v>2.5000000000000001E-2</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U78" s="27">
        <v>2.5000000000000001E-2</v>
      </c>
    </row>
    <row r="79" spans="1:54" s="27" customFormat="1" x14ac:dyDescent="0.2">
      <c r="A79" s="38"/>
      <c r="B79" s="37"/>
      <c r="C79" s="86">
        <f t="shared" si="12"/>
        <v>20</v>
      </c>
      <c r="D79" s="3" t="s">
        <v>3002</v>
      </c>
      <c r="E79" s="86">
        <f t="shared" si="17"/>
        <v>0.5</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U79" s="27">
        <v>0.5</v>
      </c>
    </row>
    <row r="80" spans="1:54" s="27" customFormat="1" ht="24" x14ac:dyDescent="0.2">
      <c r="A80" s="38"/>
      <c r="B80" s="37"/>
      <c r="C80" s="36">
        <f t="shared" si="12"/>
        <v>0</v>
      </c>
      <c r="D80" s="66" t="s">
        <v>1452</v>
      </c>
      <c r="E80" s="36">
        <f t="shared" si="17"/>
        <v>0</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57" s="27" customFormat="1" x14ac:dyDescent="0.2">
      <c r="A81" s="38"/>
      <c r="B81" s="37"/>
      <c r="C81" s="86">
        <f t="shared" si="12"/>
        <v>0</v>
      </c>
      <c r="D81" s="3" t="s">
        <v>8734</v>
      </c>
      <c r="E81" s="86">
        <f t="shared" si="17"/>
        <v>0</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57" s="27" customFormat="1" ht="24" x14ac:dyDescent="0.2">
      <c r="A82" s="38"/>
      <c r="B82" s="37"/>
      <c r="C82" s="36">
        <f t="shared" si="12"/>
        <v>0</v>
      </c>
      <c r="D82" s="66" t="s">
        <v>2820</v>
      </c>
      <c r="E82" s="36">
        <f t="shared" si="17"/>
        <v>0</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W82" s="27">
        <v>0</v>
      </c>
    </row>
    <row r="83" spans="1:57" s="27" customFormat="1" x14ac:dyDescent="0.2">
      <c r="A83" s="38"/>
      <c r="B83" s="37"/>
      <c r="C83" s="86">
        <f t="shared" si="12"/>
        <v>36.666666666666679</v>
      </c>
      <c r="D83" s="3" t="s">
        <v>102</v>
      </c>
      <c r="E83" s="86">
        <f t="shared" si="17"/>
        <v>0.91666666666666696</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c r="AW83" s="27">
        <v>0</v>
      </c>
      <c r="BC83" s="27">
        <v>0.91666666666666696</v>
      </c>
    </row>
    <row r="84" spans="1:57" s="27" customFormat="1" x14ac:dyDescent="0.2">
      <c r="A84" s="38"/>
      <c r="B84" s="37"/>
      <c r="C84" s="36">
        <f t="shared" si="12"/>
        <v>20</v>
      </c>
      <c r="D84" s="66" t="s">
        <v>2821</v>
      </c>
      <c r="E84" s="36">
        <f t="shared" si="17"/>
        <v>0.5</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X84" s="27">
        <v>0.5</v>
      </c>
    </row>
    <row r="85" spans="1:57" s="27" customFormat="1" x14ac:dyDescent="0.2">
      <c r="A85" s="38"/>
      <c r="B85" s="37"/>
      <c r="C85" s="36">
        <f t="shared" si="12"/>
        <v>20</v>
      </c>
      <c r="D85" s="66" t="s">
        <v>2822</v>
      </c>
      <c r="E85" s="36">
        <f t="shared" si="17"/>
        <v>0.5</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AX85" s="27">
        <v>0.5</v>
      </c>
    </row>
    <row r="86" spans="1:57" s="27" customFormat="1" ht="24" x14ac:dyDescent="0.2">
      <c r="A86" s="38"/>
      <c r="B86" s="37"/>
      <c r="C86" s="36">
        <f t="shared" si="12"/>
        <v>-40</v>
      </c>
      <c r="D86" s="418" t="s">
        <v>2823</v>
      </c>
      <c r="E86" s="411">
        <f t="shared" si="17"/>
        <v>-1</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AY86" s="27">
        <v>-1</v>
      </c>
    </row>
    <row r="87" spans="1:57" s="27" customFormat="1" x14ac:dyDescent="0.2">
      <c r="A87" s="38"/>
      <c r="B87" s="37"/>
      <c r="C87" s="36">
        <f t="shared" si="12"/>
        <v>40</v>
      </c>
      <c r="D87" s="66" t="s">
        <v>1485</v>
      </c>
      <c r="E87" s="36">
        <f t="shared" si="17"/>
        <v>1</v>
      </c>
      <c r="F87" s="35" t="s">
        <v>228</v>
      </c>
      <c r="G87" s="121"/>
      <c r="Q87" s="100"/>
      <c r="R87" s="100"/>
      <c r="AD87" s="100"/>
      <c r="AE87" s="100"/>
      <c r="AF87" s="100"/>
      <c r="AG87" s="100"/>
      <c r="AH87" s="100"/>
      <c r="AI87" s="100"/>
      <c r="AJ87" s="100"/>
      <c r="AL87" s="100"/>
      <c r="AN87" s="100"/>
      <c r="AY87" s="27">
        <v>1</v>
      </c>
    </row>
    <row r="88" spans="1:57" s="27" customFormat="1" x14ac:dyDescent="0.2">
      <c r="A88" s="38"/>
      <c r="B88" s="37"/>
      <c r="C88" s="86">
        <f t="shared" si="12"/>
        <v>-40</v>
      </c>
      <c r="D88" s="422" t="s">
        <v>1597</v>
      </c>
      <c r="E88" s="413">
        <f t="shared" si="17"/>
        <v>-1</v>
      </c>
      <c r="F88" s="35" t="s">
        <v>228</v>
      </c>
      <c r="G88" s="121"/>
      <c r="Q88" s="100"/>
      <c r="R88" s="100"/>
      <c r="AD88" s="100"/>
      <c r="AE88" s="100"/>
      <c r="AF88" s="100"/>
      <c r="AG88" s="100"/>
      <c r="AH88" s="100"/>
      <c r="AI88" s="100"/>
      <c r="AJ88" s="100"/>
      <c r="AL88" s="100"/>
      <c r="AN88" s="100"/>
      <c r="AZ88" s="27">
        <v>-1</v>
      </c>
    </row>
    <row r="89" spans="1:57" s="27" customFormat="1" x14ac:dyDescent="0.2">
      <c r="A89" s="38"/>
      <c r="B89" s="37"/>
      <c r="C89" s="36">
        <f t="shared" si="12"/>
        <v>40</v>
      </c>
      <c r="D89" s="66" t="s">
        <v>1598</v>
      </c>
      <c r="E89" s="36">
        <f t="shared" si="17"/>
        <v>1</v>
      </c>
      <c r="F89" s="35" t="s">
        <v>228</v>
      </c>
      <c r="G89" s="121"/>
      <c r="Q89" s="100"/>
      <c r="R89" s="100"/>
      <c r="AD89" s="100"/>
      <c r="AE89" s="100"/>
      <c r="AF89" s="100"/>
      <c r="AG89" s="100"/>
      <c r="AH89" s="100"/>
      <c r="AI89" s="100"/>
      <c r="AJ89" s="100"/>
      <c r="AL89" s="100"/>
      <c r="AN89" s="100"/>
      <c r="AZ89" s="27">
        <v>1</v>
      </c>
    </row>
    <row r="90" spans="1:57" s="27" customFormat="1" x14ac:dyDescent="0.2">
      <c r="A90" s="38"/>
      <c r="B90" s="37"/>
      <c r="C90" s="36">
        <f t="shared" si="12"/>
        <v>-40</v>
      </c>
      <c r="D90" s="418" t="s">
        <v>2824</v>
      </c>
      <c r="E90" s="413">
        <f t="shared" si="17"/>
        <v>-1</v>
      </c>
      <c r="F90" s="35" t="s">
        <v>228</v>
      </c>
      <c r="G90" s="121"/>
      <c r="Q90" s="100"/>
      <c r="R90" s="100"/>
      <c r="AD90" s="100"/>
      <c r="AE90" s="100"/>
      <c r="AF90" s="100"/>
      <c r="AG90" s="100"/>
      <c r="AH90" s="100"/>
      <c r="AI90" s="100"/>
      <c r="AJ90" s="100"/>
      <c r="AL90" s="100"/>
      <c r="AN90" s="100"/>
      <c r="BA90" s="27">
        <v>-1</v>
      </c>
    </row>
    <row r="91" spans="1:57" s="27" customFormat="1" x14ac:dyDescent="0.2">
      <c r="A91" s="38"/>
      <c r="B91" s="37"/>
      <c r="C91" s="86">
        <f t="shared" si="12"/>
        <v>80</v>
      </c>
      <c r="D91" s="66" t="s">
        <v>1615</v>
      </c>
      <c r="E91" s="86">
        <f t="shared" si="17"/>
        <v>2</v>
      </c>
      <c r="F91" s="35" t="s">
        <v>228</v>
      </c>
      <c r="G91" s="121"/>
      <c r="Q91" s="100"/>
      <c r="R91" s="100"/>
      <c r="AD91" s="100"/>
      <c r="AE91" s="100"/>
      <c r="AF91" s="100"/>
      <c r="AG91" s="100"/>
      <c r="AH91" s="100"/>
      <c r="AI91" s="100"/>
      <c r="AJ91" s="100"/>
      <c r="AL91" s="100"/>
      <c r="AN91" s="100"/>
      <c r="BA91" s="27">
        <v>1</v>
      </c>
      <c r="BB91" s="27">
        <v>1</v>
      </c>
    </row>
    <row r="92" spans="1:57" s="27" customFormat="1" ht="24" x14ac:dyDescent="0.2">
      <c r="A92" s="38"/>
      <c r="B92" s="37"/>
      <c r="C92" s="36">
        <f t="shared" si="12"/>
        <v>-36.666666666666679</v>
      </c>
      <c r="D92" s="418" t="s">
        <v>2825</v>
      </c>
      <c r="E92" s="413">
        <f t="shared" si="17"/>
        <v>-0.91666666666666696</v>
      </c>
      <c r="F92" s="35" t="s">
        <v>228</v>
      </c>
      <c r="G92" s="121"/>
      <c r="Q92" s="100"/>
      <c r="R92" s="100"/>
      <c r="AD92" s="100"/>
      <c r="AE92" s="100"/>
      <c r="AF92" s="100"/>
      <c r="AG92" s="100"/>
      <c r="AH92" s="100"/>
      <c r="AI92" s="100"/>
      <c r="AJ92" s="100"/>
      <c r="AL92" s="100"/>
      <c r="AN92" s="100"/>
      <c r="BC92" s="27">
        <v>-0.91666666666666696</v>
      </c>
    </row>
    <row r="93" spans="1:57" s="27" customFormat="1" x14ac:dyDescent="0.2">
      <c r="A93" s="38"/>
      <c r="B93" s="37"/>
      <c r="C93" s="86">
        <f t="shared" si="12"/>
        <v>-40</v>
      </c>
      <c r="D93" s="418" t="s">
        <v>1966</v>
      </c>
      <c r="E93" s="413">
        <f t="shared" si="17"/>
        <v>-1</v>
      </c>
      <c r="F93" s="35" t="s">
        <v>228</v>
      </c>
      <c r="G93" s="121"/>
      <c r="Q93" s="100"/>
      <c r="R93" s="100"/>
      <c r="AD93" s="100"/>
      <c r="AE93" s="100"/>
      <c r="AF93" s="100"/>
      <c r="AG93" s="100"/>
      <c r="AH93" s="100"/>
      <c r="AI93" s="100"/>
      <c r="AJ93" s="100"/>
      <c r="AL93" s="100"/>
      <c r="AN93" s="100"/>
      <c r="BD93" s="27">
        <v>-1</v>
      </c>
    </row>
    <row r="94" spans="1:57" s="27" customFormat="1" ht="24" x14ac:dyDescent="0.2">
      <c r="A94" s="38"/>
      <c r="B94" s="37"/>
      <c r="C94" s="36">
        <f t="shared" si="12"/>
        <v>40</v>
      </c>
      <c r="D94" s="66" t="s">
        <v>2826</v>
      </c>
      <c r="E94" s="86">
        <f t="shared" si="17"/>
        <v>1</v>
      </c>
      <c r="F94" s="35" t="s">
        <v>228</v>
      </c>
      <c r="G94" s="121"/>
      <c r="Q94" s="100"/>
      <c r="R94" s="100"/>
      <c r="AD94" s="100"/>
      <c r="AE94" s="100"/>
      <c r="AF94" s="100"/>
      <c r="AG94" s="100"/>
      <c r="AH94" s="100"/>
      <c r="AI94" s="100"/>
      <c r="AJ94" s="100"/>
      <c r="AL94" s="100"/>
      <c r="AN94" s="100"/>
      <c r="BD94" s="27">
        <v>1</v>
      </c>
    </row>
    <row r="95" spans="1:57" s="27" customFormat="1" x14ac:dyDescent="0.2">
      <c r="A95" s="38"/>
      <c r="B95" s="37"/>
      <c r="C95" s="86">
        <f t="shared" si="12"/>
        <v>0</v>
      </c>
      <c r="D95" s="66" t="s">
        <v>2075</v>
      </c>
      <c r="E95" s="86">
        <f t="shared" si="17"/>
        <v>0</v>
      </c>
      <c r="F95" s="35" t="s">
        <v>228</v>
      </c>
      <c r="G95" s="121"/>
      <c r="Q95" s="100"/>
      <c r="R95" s="100"/>
      <c r="AD95" s="100"/>
      <c r="AE95" s="100"/>
      <c r="AF95" s="100"/>
      <c r="AG95" s="100"/>
      <c r="AH95" s="100"/>
      <c r="AI95" s="100"/>
      <c r="AJ95" s="100"/>
      <c r="AL95" s="100"/>
      <c r="AN95" s="100"/>
      <c r="BE95" s="27">
        <v>0</v>
      </c>
    </row>
    <row r="96" spans="1:57" s="27" customFormat="1" x14ac:dyDescent="0.2">
      <c r="A96" s="38"/>
      <c r="B96" s="37"/>
      <c r="C96" s="36">
        <f t="shared" si="12"/>
        <v>0</v>
      </c>
      <c r="D96" s="66" t="s">
        <v>2076</v>
      </c>
      <c r="E96" s="36">
        <f t="shared" si="17"/>
        <v>0</v>
      </c>
      <c r="F96" s="35" t="s">
        <v>228</v>
      </c>
      <c r="G96" s="121"/>
      <c r="Q96" s="100"/>
      <c r="R96" s="100"/>
      <c r="AD96" s="100"/>
      <c r="AE96" s="100"/>
      <c r="AF96" s="100"/>
      <c r="AG96" s="100"/>
      <c r="AH96" s="100"/>
      <c r="AI96" s="100"/>
      <c r="AJ96" s="100"/>
      <c r="AL96" s="100"/>
      <c r="AN96" s="100"/>
      <c r="BE96" s="27">
        <v>0</v>
      </c>
    </row>
    <row r="97" spans="1:63" s="27" customFormat="1" x14ac:dyDescent="0.2">
      <c r="A97" s="38"/>
      <c r="B97" s="37"/>
      <c r="C97" s="36">
        <f t="shared" si="12"/>
        <v>-16.92307692307692</v>
      </c>
      <c r="D97" s="418" t="s">
        <v>2084</v>
      </c>
      <c r="E97" s="411">
        <f t="shared" si="17"/>
        <v>-0.42307692307692302</v>
      </c>
      <c r="F97" s="35" t="s">
        <v>228</v>
      </c>
      <c r="G97" s="121"/>
      <c r="Q97" s="100"/>
      <c r="R97" s="100"/>
      <c r="AD97" s="100"/>
      <c r="AE97" s="100"/>
      <c r="AF97" s="100"/>
      <c r="AG97" s="100"/>
      <c r="AH97" s="100"/>
      <c r="AI97" s="100"/>
      <c r="AJ97" s="100"/>
      <c r="AL97" s="100"/>
      <c r="AN97" s="100"/>
      <c r="BF97" s="27">
        <v>-0.42307692307692302</v>
      </c>
    </row>
    <row r="98" spans="1:63" s="27" customFormat="1" ht="24" x14ac:dyDescent="0.2">
      <c r="A98" s="38"/>
      <c r="B98" s="37"/>
      <c r="C98" s="36">
        <f t="shared" si="12"/>
        <v>18.974358974358953</v>
      </c>
      <c r="D98" s="66" t="s">
        <v>2827</v>
      </c>
      <c r="E98" s="36">
        <f t="shared" si="17"/>
        <v>0.47435897435897384</v>
      </c>
      <c r="F98" s="35" t="s">
        <v>228</v>
      </c>
      <c r="G98" s="121"/>
      <c r="Q98" s="100"/>
      <c r="R98" s="100"/>
      <c r="AD98" s="100"/>
      <c r="AE98" s="100"/>
      <c r="AF98" s="100"/>
      <c r="AG98" s="100"/>
      <c r="AH98" s="100"/>
      <c r="AI98" s="100"/>
      <c r="AJ98" s="100"/>
      <c r="AL98" s="100"/>
      <c r="AN98" s="100"/>
      <c r="BF98" s="27">
        <v>0.14102564102564086</v>
      </c>
      <c r="BG98" s="27">
        <v>0.33333333333333298</v>
      </c>
    </row>
    <row r="99" spans="1:63" s="27" customFormat="1" ht="36" x14ac:dyDescent="0.2">
      <c r="A99" s="38"/>
      <c r="B99" s="37"/>
      <c r="C99" s="36">
        <f t="shared" si="12"/>
        <v>18.974358974358953</v>
      </c>
      <c r="D99" s="3" t="s">
        <v>2828</v>
      </c>
      <c r="E99" s="36">
        <f t="shared" si="17"/>
        <v>0.47435897435897384</v>
      </c>
      <c r="F99" s="35" t="s">
        <v>228</v>
      </c>
      <c r="G99" s="121"/>
      <c r="Q99" s="100"/>
      <c r="R99" s="100"/>
      <c r="AD99" s="100"/>
      <c r="AE99" s="100"/>
      <c r="AF99" s="100"/>
      <c r="AG99" s="100"/>
      <c r="AH99" s="100"/>
      <c r="AI99" s="100"/>
      <c r="AJ99" s="100"/>
      <c r="AL99" s="100"/>
      <c r="AN99" s="100"/>
      <c r="BF99" s="27">
        <v>0.14102564102564086</v>
      </c>
      <c r="BG99" s="27">
        <v>0.33333333333333298</v>
      </c>
    </row>
    <row r="100" spans="1:63" s="27" customFormat="1" x14ac:dyDescent="0.2">
      <c r="A100" s="38"/>
      <c r="B100" s="37"/>
      <c r="C100" s="36">
        <f t="shared" si="12"/>
        <v>18.974358974358953</v>
      </c>
      <c r="D100" s="3" t="s">
        <v>2829</v>
      </c>
      <c r="E100" s="36">
        <f t="shared" si="17"/>
        <v>0.47435897435897384</v>
      </c>
      <c r="F100" s="35" t="s">
        <v>228</v>
      </c>
      <c r="G100" s="121"/>
      <c r="Q100" s="100"/>
      <c r="R100" s="100"/>
      <c r="AD100" s="100"/>
      <c r="AE100" s="100"/>
      <c r="AF100" s="100"/>
      <c r="AG100" s="100"/>
      <c r="AH100" s="100"/>
      <c r="AI100" s="100"/>
      <c r="AJ100" s="100"/>
      <c r="AL100" s="100"/>
      <c r="AN100" s="100"/>
      <c r="BF100" s="27">
        <v>0.14102564102564086</v>
      </c>
      <c r="BG100" s="27">
        <v>0.33333333333333298</v>
      </c>
    </row>
    <row r="101" spans="1:63" s="27" customFormat="1" ht="25.5" x14ac:dyDescent="0.2">
      <c r="A101" s="38"/>
      <c r="B101" s="37"/>
      <c r="C101" s="36">
        <f t="shared" si="12"/>
        <v>-40</v>
      </c>
      <c r="D101" s="420" t="s">
        <v>2080</v>
      </c>
      <c r="E101" s="411">
        <f t="shared" si="17"/>
        <v>-1</v>
      </c>
      <c r="F101" s="35" t="s">
        <v>228</v>
      </c>
      <c r="G101" s="121"/>
      <c r="Q101" s="100"/>
      <c r="R101" s="100"/>
      <c r="AD101" s="100"/>
      <c r="AE101" s="100"/>
      <c r="AF101" s="100"/>
      <c r="AG101" s="100"/>
      <c r="AH101" s="100"/>
      <c r="AI101" s="100"/>
      <c r="AJ101" s="100"/>
      <c r="AL101" s="100"/>
      <c r="AN101" s="100"/>
      <c r="BG101" s="27">
        <v>-1</v>
      </c>
    </row>
    <row r="102" spans="1:63" s="27" customFormat="1" x14ac:dyDescent="0.2">
      <c r="A102" s="38"/>
      <c r="B102" s="37"/>
      <c r="C102" s="36">
        <f t="shared" si="12"/>
        <v>-13.33333333333332</v>
      </c>
      <c r="D102" s="420" t="s">
        <v>2830</v>
      </c>
      <c r="E102" s="411">
        <f t="shared" si="17"/>
        <v>-0.33333333333333298</v>
      </c>
      <c r="F102" s="35" t="s">
        <v>228</v>
      </c>
      <c r="G102" s="121"/>
      <c r="Q102" s="100"/>
      <c r="R102" s="100"/>
      <c r="AD102" s="100"/>
      <c r="AE102" s="100"/>
      <c r="AF102" s="100"/>
      <c r="AG102" s="100"/>
      <c r="AH102" s="100"/>
      <c r="AI102" s="100"/>
      <c r="AJ102" s="100"/>
      <c r="AL102" s="100"/>
      <c r="AN102" s="100"/>
      <c r="BH102" s="27">
        <v>-0.33333333333333298</v>
      </c>
    </row>
    <row r="103" spans="1:63" s="27" customFormat="1" ht="25.5" x14ac:dyDescent="0.2">
      <c r="A103" s="38"/>
      <c r="B103" s="37"/>
      <c r="C103" s="36">
        <f t="shared" si="12"/>
        <v>-13.33333333333332</v>
      </c>
      <c r="D103" s="420" t="s">
        <v>2831</v>
      </c>
      <c r="E103" s="411">
        <f t="shared" si="17"/>
        <v>-0.33333333333333298</v>
      </c>
      <c r="F103" s="35" t="s">
        <v>228</v>
      </c>
      <c r="G103" s="121"/>
      <c r="Q103" s="100"/>
      <c r="R103" s="100"/>
      <c r="AD103" s="100"/>
      <c r="AE103" s="100"/>
      <c r="AF103" s="100"/>
      <c r="AG103" s="100"/>
      <c r="AH103" s="100"/>
      <c r="AI103" s="100"/>
      <c r="AJ103" s="100"/>
      <c r="AL103" s="100"/>
      <c r="AN103" s="100"/>
      <c r="BH103" s="27">
        <v>-0.33333333333333298</v>
      </c>
    </row>
    <row r="104" spans="1:63" s="27" customFormat="1" x14ac:dyDescent="0.2">
      <c r="A104" s="38"/>
      <c r="B104" s="37"/>
      <c r="C104" s="36">
        <f t="shared" si="12"/>
        <v>-13.33333333333332</v>
      </c>
      <c r="D104" s="420" t="s">
        <v>2832</v>
      </c>
      <c r="E104" s="411">
        <f t="shared" si="17"/>
        <v>-0.33333333333333298</v>
      </c>
      <c r="F104" s="35" t="s">
        <v>228</v>
      </c>
      <c r="G104" s="121"/>
      <c r="Q104" s="100"/>
      <c r="R104" s="100"/>
      <c r="AD104" s="100"/>
      <c r="AE104" s="100"/>
      <c r="AF104" s="100"/>
      <c r="AG104" s="100"/>
      <c r="AH104" s="100"/>
      <c r="AI104" s="100"/>
      <c r="AJ104" s="100"/>
      <c r="AL104" s="100"/>
      <c r="AN104" s="100"/>
      <c r="BH104" s="27">
        <v>-0.33333333333333298</v>
      </c>
    </row>
    <row r="105" spans="1:63" s="27" customFormat="1" ht="38.25" x14ac:dyDescent="0.2">
      <c r="A105" s="38"/>
      <c r="B105" s="37"/>
      <c r="C105" s="36">
        <f t="shared" si="12"/>
        <v>40</v>
      </c>
      <c r="D105" s="20" t="s">
        <v>2088</v>
      </c>
      <c r="E105" s="36">
        <f t="shared" si="17"/>
        <v>1</v>
      </c>
      <c r="F105" s="35" t="s">
        <v>228</v>
      </c>
      <c r="G105" s="121"/>
      <c r="Q105" s="100"/>
      <c r="R105" s="100"/>
      <c r="AD105" s="100"/>
      <c r="AE105" s="100"/>
      <c r="AF105" s="100"/>
      <c r="AG105" s="100"/>
      <c r="AH105" s="100"/>
      <c r="AI105" s="100"/>
      <c r="AJ105" s="100"/>
      <c r="AL105" s="100"/>
      <c r="AN105" s="100"/>
      <c r="BH105" s="27">
        <v>1</v>
      </c>
    </row>
    <row r="106" spans="1:63" s="27" customFormat="1" ht="25.5" x14ac:dyDescent="0.2">
      <c r="A106" s="38"/>
      <c r="B106" s="37"/>
      <c r="C106" s="36">
        <f t="shared" si="12"/>
        <v>0</v>
      </c>
      <c r="D106" s="20" t="s">
        <v>2095</v>
      </c>
      <c r="E106" s="36">
        <f t="shared" si="17"/>
        <v>0</v>
      </c>
      <c r="F106" s="35" t="s">
        <v>228</v>
      </c>
      <c r="G106" s="121"/>
      <c r="Q106" s="100"/>
      <c r="R106" s="100"/>
      <c r="AD106" s="100"/>
      <c r="AE106" s="100"/>
      <c r="AF106" s="100"/>
      <c r="AG106" s="100"/>
      <c r="AH106" s="100"/>
      <c r="AI106" s="100"/>
      <c r="AJ106" s="100"/>
      <c r="AL106" s="100"/>
      <c r="AN106" s="100"/>
    </row>
    <row r="107" spans="1:63" s="27" customFormat="1" x14ac:dyDescent="0.2">
      <c r="A107" s="38"/>
      <c r="B107" s="37" t="s">
        <v>8627</v>
      </c>
      <c r="C107" s="36">
        <f t="shared" si="12"/>
        <v>13.319999999999961</v>
      </c>
      <c r="D107" s="20" t="s">
        <v>3003</v>
      </c>
      <c r="E107" s="36">
        <f t="shared" si="17"/>
        <v>0.33299999999999902</v>
      </c>
      <c r="F107" s="35" t="s">
        <v>228</v>
      </c>
      <c r="G107" s="121"/>
      <c r="Q107" s="100"/>
      <c r="R107" s="100"/>
      <c r="AD107" s="100"/>
      <c r="AE107" s="100"/>
      <c r="AF107" s="100"/>
      <c r="AG107" s="100"/>
      <c r="AH107" s="100"/>
      <c r="AI107" s="100"/>
      <c r="AJ107" s="100"/>
      <c r="AL107" s="100"/>
      <c r="AN107" s="100"/>
      <c r="BK107" s="27">
        <v>0.33299999999999902</v>
      </c>
    </row>
    <row r="108" spans="1:63" s="27" customFormat="1" x14ac:dyDescent="0.2">
      <c r="A108" s="38"/>
      <c r="B108" s="37" t="s">
        <v>8626</v>
      </c>
      <c r="C108" s="36">
        <f t="shared" si="12"/>
        <v>13.319999999999961</v>
      </c>
      <c r="D108" s="335" t="s">
        <v>3004</v>
      </c>
      <c r="E108" s="36">
        <f t="shared" si="17"/>
        <v>0.33299999999999902</v>
      </c>
      <c r="F108" s="35" t="s">
        <v>228</v>
      </c>
      <c r="G108" s="121"/>
      <c r="Q108" s="100"/>
      <c r="R108" s="100"/>
      <c r="AD108" s="100"/>
      <c r="AE108" s="100"/>
      <c r="AF108" s="100"/>
      <c r="AG108" s="100"/>
      <c r="AH108" s="100"/>
      <c r="AI108" s="100"/>
      <c r="AJ108" s="100"/>
      <c r="AL108" s="100"/>
      <c r="AN108" s="100"/>
      <c r="BK108" s="27">
        <v>0.33299999999999902</v>
      </c>
    </row>
    <row r="109" spans="1:63" s="27" customFormat="1" x14ac:dyDescent="0.2">
      <c r="A109" s="38"/>
      <c r="B109" s="37" t="s">
        <v>8628</v>
      </c>
      <c r="C109" s="36">
        <f t="shared" si="12"/>
        <v>13.35999999999996</v>
      </c>
      <c r="D109" s="20" t="s">
        <v>3005</v>
      </c>
      <c r="E109" s="36">
        <f t="shared" si="17"/>
        <v>0.33399999999999902</v>
      </c>
      <c r="F109" s="35" t="s">
        <v>228</v>
      </c>
      <c r="G109" s="121"/>
      <c r="Q109" s="100"/>
      <c r="R109" s="100"/>
      <c r="AD109" s="100"/>
      <c r="AE109" s="100"/>
      <c r="AF109" s="100"/>
      <c r="AG109" s="100"/>
      <c r="AH109" s="100"/>
      <c r="AI109" s="100"/>
      <c r="AJ109" s="100"/>
      <c r="AL109" s="100"/>
      <c r="AN109" s="100"/>
      <c r="BK109" s="27">
        <v>0.33399999999999902</v>
      </c>
    </row>
    <row r="110" spans="1:63" s="27" customFormat="1" x14ac:dyDescent="0.2">
      <c r="A110" s="38"/>
      <c r="B110" s="37"/>
      <c r="C110" s="36">
        <f t="shared" si="12"/>
        <v>0</v>
      </c>
      <c r="D110" s="20" t="s">
        <v>8749</v>
      </c>
      <c r="E110" s="36">
        <f t="shared" si="17"/>
        <v>0</v>
      </c>
      <c r="F110" s="35" t="s">
        <v>228</v>
      </c>
      <c r="G110" s="121"/>
      <c r="Q110" s="100"/>
      <c r="R110" s="100"/>
      <c r="AD110" s="100"/>
      <c r="AE110" s="100"/>
      <c r="AF110" s="100"/>
      <c r="AG110" s="100"/>
      <c r="AH110" s="100"/>
      <c r="AI110" s="100"/>
      <c r="AJ110" s="100"/>
      <c r="AL110" s="100"/>
      <c r="AN110" s="100"/>
    </row>
    <row r="111" spans="1:63" s="27" customFormat="1" x14ac:dyDescent="0.2">
      <c r="A111" s="38"/>
      <c r="B111" s="37"/>
      <c r="C111" s="36">
        <f t="shared" si="12"/>
        <v>0</v>
      </c>
      <c r="D111" s="20" t="s">
        <v>8750</v>
      </c>
      <c r="E111" s="36">
        <f t="shared" si="17"/>
        <v>0</v>
      </c>
      <c r="F111" s="35" t="s">
        <v>228</v>
      </c>
      <c r="G111" s="121"/>
      <c r="Q111" s="100"/>
      <c r="R111" s="100"/>
      <c r="AD111" s="100"/>
      <c r="AE111" s="100"/>
      <c r="AF111" s="100"/>
      <c r="AG111" s="100"/>
      <c r="AH111" s="100"/>
      <c r="AI111" s="100"/>
      <c r="AJ111" s="100"/>
      <c r="AL111" s="100"/>
      <c r="AN111" s="100"/>
    </row>
    <row r="112" spans="1:63" s="27" customFormat="1" x14ac:dyDescent="0.2">
      <c r="A112" s="38"/>
      <c r="B112" s="37"/>
      <c r="C112" s="36">
        <f t="shared" si="12"/>
        <v>-40</v>
      </c>
      <c r="D112" s="420" t="s">
        <v>2132</v>
      </c>
      <c r="E112" s="411">
        <f t="shared" si="17"/>
        <v>-1</v>
      </c>
      <c r="F112" s="35" t="s">
        <v>228</v>
      </c>
      <c r="G112" s="121"/>
      <c r="Q112" s="100"/>
      <c r="R112" s="100"/>
      <c r="AD112" s="100"/>
      <c r="AE112" s="100"/>
      <c r="AF112" s="100"/>
      <c r="AG112" s="100"/>
      <c r="AH112" s="100"/>
      <c r="AI112" s="100"/>
      <c r="AJ112" s="100"/>
      <c r="AL112" s="100"/>
      <c r="AN112" s="100"/>
      <c r="BK112" s="27">
        <v>-1</v>
      </c>
    </row>
    <row r="113" spans="1:70" s="27" customFormat="1" ht="38.25" x14ac:dyDescent="0.2">
      <c r="A113" s="38"/>
      <c r="B113" s="37"/>
      <c r="C113" s="36">
        <f t="shared" si="12"/>
        <v>-40</v>
      </c>
      <c r="D113" s="420" t="s">
        <v>2833</v>
      </c>
      <c r="E113" s="411">
        <f t="shared" si="17"/>
        <v>-1</v>
      </c>
      <c r="F113" s="35" t="s">
        <v>228</v>
      </c>
      <c r="G113" s="121"/>
      <c r="Q113" s="100"/>
      <c r="R113" s="100"/>
      <c r="AD113" s="100"/>
      <c r="AE113" s="100"/>
      <c r="AF113" s="100"/>
      <c r="AG113" s="100"/>
      <c r="AH113" s="100"/>
      <c r="AI113" s="100"/>
      <c r="AJ113" s="100"/>
      <c r="AL113" s="100"/>
      <c r="AN113" s="100"/>
      <c r="BL113" s="27">
        <v>-1</v>
      </c>
    </row>
    <row r="114" spans="1:70" s="27" customFormat="1" x14ac:dyDescent="0.2">
      <c r="A114" s="38"/>
      <c r="B114" s="37"/>
      <c r="C114" s="36">
        <f t="shared" si="12"/>
        <v>40</v>
      </c>
      <c r="D114" s="20" t="s">
        <v>186</v>
      </c>
      <c r="E114" s="36">
        <f t="shared" si="17"/>
        <v>1</v>
      </c>
      <c r="F114" s="35" t="s">
        <v>228</v>
      </c>
      <c r="G114" s="121"/>
      <c r="Q114" s="100"/>
      <c r="R114" s="100"/>
      <c r="AD114" s="100"/>
      <c r="AE114" s="100"/>
      <c r="AF114" s="100"/>
      <c r="AG114" s="100"/>
      <c r="AH114" s="100"/>
      <c r="AI114" s="100"/>
      <c r="AJ114" s="100"/>
      <c r="AL114" s="100"/>
      <c r="AN114" s="100"/>
      <c r="BL114" s="27">
        <v>1</v>
      </c>
    </row>
    <row r="115" spans="1:70" s="27" customFormat="1" x14ac:dyDescent="0.2">
      <c r="A115" s="38"/>
      <c r="B115" s="37"/>
      <c r="C115" s="36">
        <f t="shared" si="12"/>
        <v>0</v>
      </c>
      <c r="D115" s="20" t="s">
        <v>1698</v>
      </c>
      <c r="E115" s="36">
        <f t="shared" si="17"/>
        <v>0</v>
      </c>
      <c r="F115" s="35" t="s">
        <v>228</v>
      </c>
      <c r="G115" s="121"/>
      <c r="Q115" s="100"/>
      <c r="R115" s="100"/>
      <c r="AD115" s="100"/>
      <c r="AE115" s="100"/>
      <c r="AF115" s="100"/>
      <c r="AG115" s="100"/>
      <c r="AH115" s="100"/>
      <c r="AI115" s="100"/>
      <c r="AJ115" s="100"/>
      <c r="AL115" s="100"/>
      <c r="AN115" s="100"/>
    </row>
    <row r="116" spans="1:70" s="27" customFormat="1" x14ac:dyDescent="0.2">
      <c r="A116" s="38"/>
      <c r="B116" s="37"/>
      <c r="C116" s="36">
        <f t="shared" si="12"/>
        <v>-40</v>
      </c>
      <c r="D116" s="420" t="s">
        <v>119</v>
      </c>
      <c r="E116" s="411">
        <f t="shared" si="17"/>
        <v>-1</v>
      </c>
      <c r="F116" s="35" t="s">
        <v>228</v>
      </c>
      <c r="G116" s="121"/>
      <c r="Q116" s="100"/>
      <c r="R116" s="100"/>
      <c r="AD116" s="100"/>
      <c r="AE116" s="100"/>
      <c r="AF116" s="100"/>
      <c r="AG116" s="100"/>
      <c r="AH116" s="100"/>
      <c r="AI116" s="100"/>
      <c r="AJ116" s="100"/>
      <c r="AL116" s="100"/>
      <c r="AN116" s="100"/>
      <c r="BN116" s="27">
        <v>-1</v>
      </c>
    </row>
    <row r="117" spans="1:70" s="27" customFormat="1" x14ac:dyDescent="0.2">
      <c r="A117" s="38"/>
      <c r="B117" s="37"/>
      <c r="C117" s="36">
        <f t="shared" si="12"/>
        <v>0</v>
      </c>
      <c r="D117" s="20" t="s">
        <v>8751</v>
      </c>
      <c r="E117" s="36">
        <f t="shared" si="17"/>
        <v>0</v>
      </c>
      <c r="F117" s="35" t="s">
        <v>228</v>
      </c>
      <c r="G117" s="121"/>
      <c r="Q117" s="100"/>
      <c r="R117" s="100"/>
      <c r="AD117" s="100"/>
      <c r="AE117" s="100"/>
      <c r="AF117" s="100"/>
      <c r="AG117" s="100"/>
      <c r="AH117" s="100"/>
      <c r="AI117" s="100"/>
      <c r="AJ117" s="100"/>
      <c r="AL117" s="100"/>
      <c r="AN117" s="100"/>
    </row>
    <row r="118" spans="1:70" s="27" customFormat="1" x14ac:dyDescent="0.2">
      <c r="A118" s="38"/>
      <c r="B118" s="37"/>
      <c r="C118" s="36">
        <f t="shared" si="12"/>
        <v>40</v>
      </c>
      <c r="D118" s="20" t="s">
        <v>2118</v>
      </c>
      <c r="E118" s="36">
        <f t="shared" si="17"/>
        <v>1</v>
      </c>
      <c r="F118" s="35" t="s">
        <v>228</v>
      </c>
      <c r="G118" s="121"/>
      <c r="Q118" s="100"/>
      <c r="R118" s="100"/>
      <c r="AD118" s="100"/>
      <c r="AE118" s="100"/>
      <c r="AF118" s="100"/>
      <c r="AG118" s="100"/>
      <c r="AH118" s="100"/>
      <c r="AI118" s="100"/>
      <c r="AJ118" s="100"/>
      <c r="AL118" s="100"/>
      <c r="AN118" s="100"/>
      <c r="BN118" s="27">
        <v>1</v>
      </c>
    </row>
    <row r="119" spans="1:70" s="27" customFormat="1" ht="25.5" x14ac:dyDescent="0.2">
      <c r="A119" s="38"/>
      <c r="B119" s="37"/>
      <c r="C119" s="36">
        <f t="shared" ref="C119:C182" si="18">E119*D$5</f>
        <v>-40</v>
      </c>
      <c r="D119" s="420" t="s">
        <v>2237</v>
      </c>
      <c r="E119" s="411">
        <f t="shared" si="17"/>
        <v>-1</v>
      </c>
      <c r="F119" s="35" t="s">
        <v>228</v>
      </c>
      <c r="G119" s="121"/>
      <c r="Q119" s="100"/>
      <c r="R119" s="100"/>
      <c r="AD119" s="100"/>
      <c r="AE119" s="100"/>
      <c r="AF119" s="100"/>
      <c r="AG119" s="100"/>
      <c r="AH119" s="100"/>
      <c r="AI119" s="100"/>
      <c r="AJ119" s="100"/>
      <c r="AL119" s="100"/>
      <c r="AN119" s="100"/>
      <c r="BO119" s="27">
        <v>-1</v>
      </c>
    </row>
    <row r="120" spans="1:70" s="27" customFormat="1" x14ac:dyDescent="0.2">
      <c r="A120" s="38"/>
      <c r="B120" s="37"/>
      <c r="C120" s="36">
        <f t="shared" si="18"/>
        <v>60</v>
      </c>
      <c r="D120" s="20" t="s">
        <v>2238</v>
      </c>
      <c r="E120" s="36">
        <f t="shared" si="17"/>
        <v>1.5</v>
      </c>
      <c r="F120" s="35" t="s">
        <v>228</v>
      </c>
      <c r="G120" s="121"/>
      <c r="Q120" s="100"/>
      <c r="R120" s="100"/>
      <c r="AD120" s="100"/>
      <c r="AE120" s="100"/>
      <c r="AF120" s="100"/>
      <c r="AG120" s="100"/>
      <c r="AH120" s="100"/>
      <c r="AI120" s="100"/>
      <c r="AJ120" s="100"/>
      <c r="AL120" s="100"/>
      <c r="AN120" s="100"/>
      <c r="BO120" s="27">
        <v>1</v>
      </c>
      <c r="BP120" s="27">
        <v>0.5</v>
      </c>
    </row>
    <row r="121" spans="1:70" s="27" customFormat="1" ht="25.5" x14ac:dyDescent="0.2">
      <c r="A121" s="38"/>
      <c r="B121" s="37"/>
      <c r="C121" s="36">
        <f t="shared" si="18"/>
        <v>-20</v>
      </c>
      <c r="D121" s="420" t="s">
        <v>2252</v>
      </c>
      <c r="E121" s="411">
        <f t="shared" si="17"/>
        <v>-0.5</v>
      </c>
      <c r="F121" s="35" t="s">
        <v>228</v>
      </c>
      <c r="G121" s="121"/>
      <c r="Q121" s="100"/>
      <c r="R121" s="100"/>
      <c r="AD121" s="100"/>
      <c r="AE121" s="100"/>
      <c r="AF121" s="100"/>
      <c r="AG121" s="100"/>
      <c r="AH121" s="100"/>
      <c r="AI121" s="100"/>
      <c r="AJ121" s="100"/>
      <c r="AL121" s="100"/>
      <c r="AN121" s="100"/>
      <c r="BP121" s="27">
        <v>-0.5</v>
      </c>
    </row>
    <row r="122" spans="1:70" s="27" customFormat="1" x14ac:dyDescent="0.2">
      <c r="A122" s="38"/>
      <c r="B122" s="37"/>
      <c r="C122" s="36">
        <f t="shared" si="18"/>
        <v>-40</v>
      </c>
      <c r="D122" s="420" t="s">
        <v>2271</v>
      </c>
      <c r="E122" s="411">
        <f t="shared" si="17"/>
        <v>-1</v>
      </c>
      <c r="F122" s="35" t="s">
        <v>228</v>
      </c>
      <c r="G122" s="121"/>
      <c r="Q122" s="100"/>
      <c r="R122" s="100"/>
      <c r="AD122" s="100"/>
      <c r="AE122" s="100"/>
      <c r="AF122" s="100"/>
      <c r="AG122" s="100"/>
      <c r="AH122" s="100"/>
      <c r="AI122" s="100"/>
      <c r="AJ122" s="100"/>
      <c r="AL122" s="100"/>
      <c r="AN122" s="100"/>
      <c r="BQ122" s="27">
        <v>-1</v>
      </c>
    </row>
    <row r="123" spans="1:70" s="27" customFormat="1" ht="51" x14ac:dyDescent="0.2">
      <c r="A123" s="38"/>
      <c r="B123" s="37"/>
      <c r="C123" s="36">
        <f t="shared" si="18"/>
        <v>40</v>
      </c>
      <c r="D123" s="20" t="s">
        <v>2834</v>
      </c>
      <c r="E123" s="36">
        <f t="shared" si="17"/>
        <v>1</v>
      </c>
      <c r="F123" s="35" t="s">
        <v>228</v>
      </c>
      <c r="G123" s="121"/>
      <c r="Q123" s="100"/>
      <c r="R123" s="100"/>
      <c r="AD123" s="100"/>
      <c r="AE123" s="100"/>
      <c r="AF123" s="100"/>
      <c r="AG123" s="100"/>
      <c r="AH123" s="100"/>
      <c r="AI123" s="100"/>
      <c r="AJ123" s="100"/>
      <c r="AL123" s="100"/>
      <c r="AN123" s="100"/>
      <c r="BQ123" s="27">
        <v>1</v>
      </c>
    </row>
    <row r="124" spans="1:70" s="27" customFormat="1" ht="25.5" x14ac:dyDescent="0.2">
      <c r="A124" s="38"/>
      <c r="B124" s="37"/>
      <c r="C124" s="36">
        <f t="shared" si="18"/>
        <v>-40</v>
      </c>
      <c r="D124" s="420" t="s">
        <v>2302</v>
      </c>
      <c r="E124" s="411">
        <f t="shared" si="17"/>
        <v>-1</v>
      </c>
      <c r="F124" s="35" t="s">
        <v>228</v>
      </c>
      <c r="G124" s="121"/>
      <c r="Q124" s="100"/>
      <c r="R124" s="100"/>
      <c r="AD124" s="100"/>
      <c r="AE124" s="100"/>
      <c r="AF124" s="100"/>
      <c r="AG124" s="100"/>
      <c r="AH124" s="100"/>
      <c r="AI124" s="100"/>
      <c r="AJ124" s="100"/>
      <c r="AL124" s="100"/>
      <c r="AN124" s="100"/>
      <c r="BR124" s="27">
        <v>-1</v>
      </c>
    </row>
    <row r="125" spans="1:70" s="27" customFormat="1" x14ac:dyDescent="0.2">
      <c r="A125" s="38"/>
      <c r="B125" s="37"/>
      <c r="C125" s="36">
        <f t="shared" si="18"/>
        <v>40</v>
      </c>
      <c r="D125" s="20" t="s">
        <v>2303</v>
      </c>
      <c r="E125" s="36">
        <f t="shared" si="17"/>
        <v>1</v>
      </c>
      <c r="F125" s="35" t="s">
        <v>228</v>
      </c>
      <c r="G125" s="121"/>
      <c r="Q125" s="100"/>
      <c r="R125" s="100"/>
      <c r="AD125" s="100"/>
      <c r="AE125" s="100"/>
      <c r="AF125" s="100"/>
      <c r="AG125" s="100"/>
      <c r="AH125" s="100"/>
      <c r="AI125" s="100"/>
      <c r="AJ125" s="100"/>
      <c r="AL125" s="100"/>
      <c r="AN125" s="100"/>
      <c r="BR125" s="27">
        <v>1</v>
      </c>
    </row>
    <row r="126" spans="1:70" s="27" customFormat="1" ht="25.5" x14ac:dyDescent="0.2">
      <c r="A126" s="38"/>
      <c r="B126" s="37"/>
      <c r="C126" s="36">
        <f t="shared" si="18"/>
        <v>0</v>
      </c>
      <c r="D126" s="20" t="s">
        <v>3006</v>
      </c>
      <c r="E126" s="36">
        <f t="shared" si="17"/>
        <v>0</v>
      </c>
      <c r="F126" s="35" t="s">
        <v>228</v>
      </c>
      <c r="G126" s="121"/>
      <c r="Q126" s="100"/>
      <c r="R126" s="100"/>
      <c r="AD126" s="100"/>
      <c r="AE126" s="100"/>
      <c r="AF126" s="100"/>
      <c r="AG126" s="100"/>
      <c r="AH126" s="100"/>
      <c r="AI126" s="100"/>
      <c r="AJ126" s="100"/>
      <c r="AL126" s="100"/>
      <c r="AN126" s="100"/>
    </row>
    <row r="127" spans="1:70" s="27" customFormat="1" ht="25.5" x14ac:dyDescent="0.2">
      <c r="A127" s="38"/>
      <c r="B127" s="37"/>
      <c r="C127" s="36">
        <f t="shared" si="18"/>
        <v>0</v>
      </c>
      <c r="D127" s="20" t="s">
        <v>3007</v>
      </c>
      <c r="E127" s="36">
        <f t="shared" si="17"/>
        <v>0</v>
      </c>
      <c r="F127" s="35" t="s">
        <v>228</v>
      </c>
      <c r="G127" s="121"/>
      <c r="Q127" s="100"/>
      <c r="R127" s="100"/>
      <c r="AD127" s="100"/>
      <c r="AE127" s="100"/>
      <c r="AF127" s="100"/>
      <c r="AG127" s="100"/>
      <c r="AH127" s="100"/>
      <c r="AI127" s="100"/>
      <c r="AJ127" s="100"/>
      <c r="AL127" s="100"/>
      <c r="AN127" s="100"/>
    </row>
    <row r="128" spans="1:70" s="27" customFormat="1" x14ac:dyDescent="0.2">
      <c r="A128" s="38"/>
      <c r="B128" s="37"/>
      <c r="C128" s="36">
        <f t="shared" si="18"/>
        <v>0</v>
      </c>
      <c r="D128" s="20" t="s">
        <v>8752</v>
      </c>
      <c r="E128" s="36">
        <f t="shared" si="17"/>
        <v>0</v>
      </c>
      <c r="F128" s="35" t="s">
        <v>228</v>
      </c>
      <c r="G128" s="121"/>
      <c r="Q128" s="100"/>
      <c r="R128" s="100"/>
      <c r="AD128" s="100"/>
      <c r="AE128" s="100"/>
      <c r="AF128" s="100"/>
      <c r="AG128" s="100"/>
      <c r="AH128" s="100"/>
      <c r="AI128" s="100"/>
      <c r="AJ128" s="100"/>
      <c r="AL128" s="100"/>
      <c r="AN128" s="100"/>
    </row>
    <row r="129" spans="1:77" s="27" customFormat="1" ht="25.5" x14ac:dyDescent="0.2">
      <c r="A129" s="38"/>
      <c r="B129" s="37"/>
      <c r="C129" s="36">
        <f t="shared" si="18"/>
        <v>0</v>
      </c>
      <c r="D129" s="20" t="s">
        <v>3008</v>
      </c>
      <c r="E129" s="36">
        <f t="shared" si="17"/>
        <v>0</v>
      </c>
      <c r="F129" s="35" t="s">
        <v>228</v>
      </c>
      <c r="G129" s="121"/>
      <c r="Q129" s="100"/>
      <c r="R129" s="100"/>
      <c r="AD129" s="100"/>
      <c r="AE129" s="100"/>
      <c r="AF129" s="100"/>
      <c r="AG129" s="100"/>
      <c r="AH129" s="100"/>
      <c r="AI129" s="100"/>
      <c r="AJ129" s="100"/>
      <c r="AL129" s="100"/>
      <c r="AN129" s="100"/>
    </row>
    <row r="130" spans="1:77" s="27" customFormat="1" ht="25.5" x14ac:dyDescent="0.2">
      <c r="A130" s="38"/>
      <c r="B130" s="37"/>
      <c r="C130" s="36">
        <f t="shared" si="18"/>
        <v>0</v>
      </c>
      <c r="D130" s="20" t="s">
        <v>3009</v>
      </c>
      <c r="E130" s="36">
        <f t="shared" si="17"/>
        <v>0</v>
      </c>
      <c r="F130" s="35" t="s">
        <v>228</v>
      </c>
      <c r="G130" s="121"/>
      <c r="Q130" s="100"/>
      <c r="R130" s="100"/>
      <c r="AD130" s="100"/>
      <c r="AE130" s="100"/>
      <c r="AF130" s="100"/>
      <c r="AG130" s="100"/>
      <c r="AH130" s="100"/>
      <c r="AI130" s="100"/>
      <c r="AJ130" s="100"/>
      <c r="AL130" s="100"/>
      <c r="AN130" s="100"/>
    </row>
    <row r="131" spans="1:77" s="27" customFormat="1" x14ac:dyDescent="0.2">
      <c r="A131" s="38"/>
      <c r="B131" s="37"/>
      <c r="C131" s="36">
        <f t="shared" si="18"/>
        <v>0</v>
      </c>
      <c r="D131" s="20" t="s">
        <v>8753</v>
      </c>
      <c r="E131" s="36">
        <f t="shared" si="17"/>
        <v>0</v>
      </c>
      <c r="F131" s="35" t="s">
        <v>228</v>
      </c>
      <c r="G131" s="121"/>
      <c r="Q131" s="100"/>
      <c r="R131" s="100"/>
      <c r="AD131" s="100"/>
      <c r="AE131" s="100"/>
      <c r="AF131" s="100"/>
      <c r="AG131" s="100"/>
      <c r="AH131" s="100"/>
      <c r="AI131" s="100"/>
      <c r="AJ131" s="100"/>
      <c r="AL131" s="100"/>
      <c r="AN131" s="100"/>
    </row>
    <row r="132" spans="1:77" s="27" customFormat="1" x14ac:dyDescent="0.2">
      <c r="A132" s="38"/>
      <c r="B132" s="37"/>
      <c r="C132" s="36">
        <f t="shared" si="18"/>
        <v>0</v>
      </c>
      <c r="D132" s="20" t="s">
        <v>374</v>
      </c>
      <c r="E132" s="36">
        <f t="shared" si="17"/>
        <v>0</v>
      </c>
      <c r="F132" s="35" t="s">
        <v>228</v>
      </c>
      <c r="G132" s="121"/>
      <c r="Q132" s="100"/>
      <c r="R132" s="100"/>
      <c r="AD132" s="100"/>
      <c r="AE132" s="100"/>
      <c r="AF132" s="100"/>
      <c r="AG132" s="100"/>
      <c r="AH132" s="100"/>
      <c r="AI132" s="100"/>
      <c r="AJ132" s="100"/>
      <c r="AL132" s="100"/>
      <c r="AN132" s="100"/>
    </row>
    <row r="133" spans="1:77" s="27" customFormat="1" x14ac:dyDescent="0.2">
      <c r="A133" s="38"/>
      <c r="B133" s="37"/>
      <c r="C133" s="36">
        <f t="shared" si="18"/>
        <v>0</v>
      </c>
      <c r="D133" s="20" t="s">
        <v>3010</v>
      </c>
      <c r="E133" s="36">
        <f t="shared" si="17"/>
        <v>0</v>
      </c>
      <c r="F133" s="35" t="s">
        <v>228</v>
      </c>
      <c r="G133" s="121"/>
      <c r="Q133" s="100"/>
      <c r="R133" s="100"/>
      <c r="AD133" s="100"/>
      <c r="AE133" s="100"/>
      <c r="AF133" s="100"/>
      <c r="AG133" s="100"/>
      <c r="AH133" s="100"/>
      <c r="AI133" s="100"/>
      <c r="AJ133" s="100"/>
      <c r="AL133" s="100"/>
      <c r="AN133" s="100"/>
    </row>
    <row r="134" spans="1:77" s="27" customFormat="1" x14ac:dyDescent="0.2">
      <c r="A134" s="38"/>
      <c r="B134" s="37"/>
      <c r="C134" s="36">
        <f t="shared" si="18"/>
        <v>0</v>
      </c>
      <c r="D134" s="20" t="s">
        <v>3011</v>
      </c>
      <c r="E134" s="36">
        <f t="shared" si="17"/>
        <v>0</v>
      </c>
      <c r="F134" s="35" t="s">
        <v>228</v>
      </c>
      <c r="G134" s="121"/>
      <c r="Q134" s="100"/>
      <c r="R134" s="100"/>
      <c r="AD134" s="100"/>
      <c r="AE134" s="100"/>
      <c r="AF134" s="100"/>
      <c r="AG134" s="100"/>
      <c r="AH134" s="100"/>
      <c r="AI134" s="100"/>
      <c r="AJ134" s="100"/>
      <c r="AL134" s="100"/>
      <c r="AN134" s="100"/>
    </row>
    <row r="135" spans="1:77" s="27" customFormat="1" x14ac:dyDescent="0.2">
      <c r="A135" s="38"/>
      <c r="B135" s="37"/>
      <c r="C135" s="36">
        <f t="shared" si="18"/>
        <v>0</v>
      </c>
      <c r="D135" s="20" t="s">
        <v>8754</v>
      </c>
      <c r="E135" s="36">
        <f t="shared" si="17"/>
        <v>0</v>
      </c>
      <c r="F135" s="35" t="s">
        <v>228</v>
      </c>
      <c r="G135" s="121"/>
      <c r="Q135" s="100"/>
      <c r="R135" s="100"/>
      <c r="AD135" s="100"/>
      <c r="AE135" s="100"/>
      <c r="AF135" s="100"/>
      <c r="AG135" s="100"/>
      <c r="AH135" s="100"/>
      <c r="AI135" s="100"/>
      <c r="AJ135" s="100"/>
      <c r="AL135" s="100"/>
      <c r="AN135" s="100"/>
    </row>
    <row r="136" spans="1:77" s="27" customFormat="1" x14ac:dyDescent="0.2">
      <c r="A136" s="38"/>
      <c r="B136" s="37"/>
      <c r="C136" s="36">
        <f t="shared" si="18"/>
        <v>-40</v>
      </c>
      <c r="D136" s="420" t="s">
        <v>2397</v>
      </c>
      <c r="E136" s="411">
        <f t="shared" si="17"/>
        <v>-1</v>
      </c>
      <c r="F136" s="35" t="s">
        <v>228</v>
      </c>
      <c r="G136" s="121"/>
      <c r="Q136" s="100"/>
      <c r="R136" s="100"/>
      <c r="AD136" s="100"/>
      <c r="AE136" s="100"/>
      <c r="AF136" s="100"/>
      <c r="AG136" s="100"/>
      <c r="AH136" s="100"/>
      <c r="AI136" s="100"/>
      <c r="AJ136" s="100"/>
      <c r="AL136" s="100"/>
      <c r="AN136" s="100"/>
      <c r="BV136" s="27">
        <v>-1</v>
      </c>
    </row>
    <row r="137" spans="1:77" s="27" customFormat="1" x14ac:dyDescent="0.2">
      <c r="A137" s="38"/>
      <c r="B137" s="37"/>
      <c r="C137" s="36">
        <f t="shared" si="18"/>
        <v>40</v>
      </c>
      <c r="D137" s="20" t="s">
        <v>2398</v>
      </c>
      <c r="E137" s="36">
        <f t="shared" si="17"/>
        <v>1</v>
      </c>
      <c r="F137" s="35" t="s">
        <v>228</v>
      </c>
      <c r="G137" s="121"/>
      <c r="Q137" s="100"/>
      <c r="R137" s="100"/>
      <c r="AD137" s="100"/>
      <c r="AE137" s="100"/>
      <c r="AF137" s="100"/>
      <c r="AG137" s="100"/>
      <c r="AH137" s="100"/>
      <c r="AI137" s="100"/>
      <c r="AJ137" s="100"/>
      <c r="AL137" s="100"/>
      <c r="AN137" s="100"/>
      <c r="BV137" s="27">
        <v>1</v>
      </c>
    </row>
    <row r="138" spans="1:77" s="27" customFormat="1" ht="38.25" x14ac:dyDescent="0.2">
      <c r="A138" s="38"/>
      <c r="B138" s="37"/>
      <c r="C138" s="36">
        <f t="shared" si="18"/>
        <v>-40</v>
      </c>
      <c r="D138" s="420" t="s">
        <v>2419</v>
      </c>
      <c r="E138" s="411">
        <f t="shared" ref="E138:E174" si="19">SUM(G138:HT138)</f>
        <v>-1</v>
      </c>
      <c r="F138" s="35" t="s">
        <v>228</v>
      </c>
      <c r="G138" s="121"/>
      <c r="Q138" s="100"/>
      <c r="R138" s="100"/>
      <c r="AD138" s="100"/>
      <c r="AE138" s="100"/>
      <c r="AF138" s="100"/>
      <c r="AG138" s="100"/>
      <c r="AH138" s="100"/>
      <c r="AI138" s="100"/>
      <c r="AJ138" s="100"/>
      <c r="AL138" s="100"/>
      <c r="AN138" s="100"/>
      <c r="BW138" s="27">
        <v>-1</v>
      </c>
    </row>
    <row r="139" spans="1:77" s="27" customFormat="1" ht="63.75" x14ac:dyDescent="0.2">
      <c r="A139" s="38"/>
      <c r="B139" s="37"/>
      <c r="C139" s="36">
        <f t="shared" si="18"/>
        <v>40</v>
      </c>
      <c r="D139" s="20" t="s">
        <v>2835</v>
      </c>
      <c r="E139" s="36">
        <f t="shared" si="19"/>
        <v>1</v>
      </c>
      <c r="F139" s="35" t="s">
        <v>228</v>
      </c>
      <c r="G139" s="121"/>
      <c r="Q139" s="100"/>
      <c r="R139" s="100"/>
      <c r="AD139" s="100"/>
      <c r="AE139" s="100"/>
      <c r="AF139" s="100"/>
      <c r="AG139" s="100"/>
      <c r="AH139" s="100"/>
      <c r="AI139" s="100"/>
      <c r="AJ139" s="100"/>
      <c r="AL139" s="100"/>
      <c r="AN139" s="100"/>
      <c r="BW139" s="27">
        <v>1</v>
      </c>
    </row>
    <row r="140" spans="1:77" s="27" customFormat="1" ht="25.5" x14ac:dyDescent="0.2">
      <c r="A140" s="38"/>
      <c r="B140" s="37"/>
      <c r="C140" s="36">
        <f t="shared" si="18"/>
        <v>0</v>
      </c>
      <c r="D140" s="20" t="s">
        <v>3012</v>
      </c>
      <c r="E140" s="36">
        <f t="shared" si="19"/>
        <v>0</v>
      </c>
      <c r="F140" s="35" t="s">
        <v>228</v>
      </c>
      <c r="G140" s="121"/>
      <c r="Q140" s="100"/>
      <c r="R140" s="100"/>
      <c r="AD140" s="100"/>
      <c r="AE140" s="100"/>
      <c r="AF140" s="100"/>
      <c r="AG140" s="100"/>
      <c r="AH140" s="100"/>
      <c r="AI140" s="100"/>
      <c r="AJ140" s="100"/>
      <c r="AL140" s="100"/>
      <c r="AN140" s="100"/>
    </row>
    <row r="141" spans="1:77" s="27" customFormat="1" x14ac:dyDescent="0.2">
      <c r="A141" s="38"/>
      <c r="B141" s="37"/>
      <c r="C141" s="36">
        <f t="shared" si="18"/>
        <v>0</v>
      </c>
      <c r="D141" s="20" t="s">
        <v>2448</v>
      </c>
      <c r="E141" s="36">
        <f t="shared" si="19"/>
        <v>0</v>
      </c>
      <c r="F141" s="35" t="s">
        <v>228</v>
      </c>
      <c r="G141" s="121"/>
      <c r="Q141" s="100"/>
      <c r="R141" s="100"/>
      <c r="AD141" s="100"/>
      <c r="AE141" s="100"/>
      <c r="AF141" s="100"/>
      <c r="AG141" s="100"/>
      <c r="AH141" s="100"/>
      <c r="AI141" s="100"/>
      <c r="AJ141" s="100"/>
      <c r="AL141" s="100"/>
      <c r="AN141" s="100"/>
    </row>
    <row r="142" spans="1:77" s="27" customFormat="1" x14ac:dyDescent="0.2">
      <c r="A142" s="38"/>
      <c r="B142" s="37"/>
      <c r="C142" s="36">
        <f t="shared" si="18"/>
        <v>0</v>
      </c>
      <c r="D142" s="20" t="s">
        <v>8755</v>
      </c>
      <c r="E142" s="36">
        <f t="shared" si="19"/>
        <v>0</v>
      </c>
      <c r="F142" s="35" t="s">
        <v>228</v>
      </c>
      <c r="G142" s="121"/>
      <c r="Q142" s="100"/>
      <c r="R142" s="100"/>
      <c r="AD142" s="100"/>
      <c r="AE142" s="100"/>
      <c r="AF142" s="100"/>
      <c r="AG142" s="100"/>
      <c r="AH142" s="100"/>
      <c r="AI142" s="100"/>
      <c r="AJ142" s="100"/>
      <c r="AL142" s="100"/>
      <c r="AN142" s="100"/>
    </row>
    <row r="143" spans="1:77" s="27" customFormat="1" x14ac:dyDescent="0.2">
      <c r="A143" s="38"/>
      <c r="B143" s="37"/>
      <c r="C143" s="36">
        <f t="shared" si="18"/>
        <v>-40</v>
      </c>
      <c r="D143" s="420" t="s">
        <v>2471</v>
      </c>
      <c r="E143" s="411">
        <f t="shared" si="19"/>
        <v>-1</v>
      </c>
      <c r="F143" s="35" t="s">
        <v>228</v>
      </c>
      <c r="G143" s="121"/>
      <c r="Q143" s="100"/>
      <c r="R143" s="100"/>
      <c r="AD143" s="100"/>
      <c r="AE143" s="100"/>
      <c r="AF143" s="100"/>
      <c r="AG143" s="100"/>
      <c r="AH143" s="100"/>
      <c r="AI143" s="100"/>
      <c r="AJ143" s="100"/>
      <c r="AL143" s="100"/>
      <c r="AN143" s="100"/>
      <c r="BY143" s="27">
        <v>-1</v>
      </c>
    </row>
    <row r="144" spans="1:77" s="27" customFormat="1" x14ac:dyDescent="0.2">
      <c r="A144" s="38"/>
      <c r="B144" s="37"/>
      <c r="C144" s="36">
        <f t="shared" si="18"/>
        <v>40</v>
      </c>
      <c r="D144" s="20" t="s">
        <v>2472</v>
      </c>
      <c r="E144" s="36">
        <f t="shared" si="19"/>
        <v>1</v>
      </c>
      <c r="F144" s="35" t="s">
        <v>228</v>
      </c>
      <c r="G144" s="121"/>
      <c r="Q144" s="100"/>
      <c r="R144" s="100"/>
      <c r="AD144" s="100"/>
      <c r="AE144" s="100"/>
      <c r="AF144" s="100"/>
      <c r="AG144" s="100"/>
      <c r="AH144" s="100"/>
      <c r="AI144" s="100"/>
      <c r="AJ144" s="100"/>
      <c r="AL144" s="100"/>
      <c r="AN144" s="100"/>
      <c r="BY144" s="27">
        <v>1</v>
      </c>
    </row>
    <row r="145" spans="1:81" s="27" customFormat="1" x14ac:dyDescent="0.2">
      <c r="A145" s="38"/>
      <c r="B145" s="37"/>
      <c r="C145" s="36">
        <f t="shared" si="18"/>
        <v>-40</v>
      </c>
      <c r="D145" s="420" t="s">
        <v>2837</v>
      </c>
      <c r="E145" s="411">
        <f t="shared" si="19"/>
        <v>-1</v>
      </c>
      <c r="F145" s="35" t="s">
        <v>228</v>
      </c>
      <c r="G145" s="121"/>
      <c r="Q145" s="100"/>
      <c r="R145" s="100"/>
      <c r="AD145" s="100"/>
      <c r="AE145" s="100"/>
      <c r="AF145" s="100"/>
      <c r="AG145" s="100"/>
      <c r="AH145" s="100"/>
      <c r="AI145" s="100"/>
      <c r="AJ145" s="100"/>
      <c r="AL145" s="100"/>
      <c r="AN145" s="100"/>
      <c r="BZ145" s="27">
        <v>-1</v>
      </c>
    </row>
    <row r="146" spans="1:81" s="27" customFormat="1" x14ac:dyDescent="0.2">
      <c r="A146" s="38"/>
      <c r="B146" s="37"/>
      <c r="C146" s="36">
        <f t="shared" si="18"/>
        <v>0</v>
      </c>
      <c r="D146" s="20" t="s">
        <v>2494</v>
      </c>
      <c r="E146" s="36">
        <f t="shared" si="19"/>
        <v>0</v>
      </c>
      <c r="F146" s="35" t="s">
        <v>228</v>
      </c>
      <c r="G146" s="121"/>
      <c r="Q146" s="100"/>
      <c r="R146" s="100"/>
      <c r="AD146" s="100"/>
      <c r="AE146" s="100"/>
      <c r="AF146" s="100"/>
      <c r="AG146" s="100"/>
      <c r="AH146" s="100"/>
      <c r="AI146" s="100"/>
      <c r="AJ146" s="100"/>
      <c r="AL146" s="100"/>
      <c r="AN146" s="100"/>
      <c r="BZ146" s="27">
        <v>1</v>
      </c>
      <c r="CA146" s="27">
        <v>-1</v>
      </c>
    </row>
    <row r="147" spans="1:81" s="27" customFormat="1" x14ac:dyDescent="0.2">
      <c r="A147" s="38"/>
      <c r="B147" s="37"/>
      <c r="C147" s="36">
        <f t="shared" si="18"/>
        <v>28</v>
      </c>
      <c r="D147" s="20" t="s">
        <v>8640</v>
      </c>
      <c r="E147" s="36">
        <f t="shared" si="19"/>
        <v>0.7</v>
      </c>
      <c r="F147" s="35" t="s">
        <v>228</v>
      </c>
      <c r="G147" s="121"/>
      <c r="Q147" s="100"/>
      <c r="R147" s="100"/>
      <c r="AD147" s="100"/>
      <c r="AE147" s="100"/>
      <c r="AF147" s="100"/>
      <c r="AG147" s="100"/>
      <c r="AH147" s="100"/>
      <c r="AI147" s="100"/>
      <c r="AJ147" s="100"/>
      <c r="AL147" s="100"/>
      <c r="AN147" s="100"/>
      <c r="CA147" s="27">
        <v>0.7</v>
      </c>
    </row>
    <row r="148" spans="1:81" s="27" customFormat="1" x14ac:dyDescent="0.2">
      <c r="A148" s="38"/>
      <c r="B148" s="37"/>
      <c r="C148" s="36">
        <f t="shared" si="18"/>
        <v>12</v>
      </c>
      <c r="D148" s="20" t="s">
        <v>3013</v>
      </c>
      <c r="E148" s="36">
        <f t="shared" si="19"/>
        <v>0.3</v>
      </c>
      <c r="F148" s="35" t="s">
        <v>228</v>
      </c>
      <c r="G148" s="121"/>
      <c r="Q148" s="100"/>
      <c r="R148" s="100"/>
      <c r="AD148" s="100"/>
      <c r="AE148" s="100"/>
      <c r="AF148" s="100"/>
      <c r="AG148" s="100"/>
      <c r="AH148" s="100"/>
      <c r="AI148" s="100"/>
      <c r="AJ148" s="100"/>
      <c r="AL148" s="100"/>
      <c r="AN148" s="100"/>
      <c r="CA148" s="27">
        <v>0.3</v>
      </c>
    </row>
    <row r="149" spans="1:81" s="27" customFormat="1" x14ac:dyDescent="0.2">
      <c r="A149" s="38"/>
      <c r="B149" s="37"/>
      <c r="C149" s="36">
        <f t="shared" si="18"/>
        <v>-40</v>
      </c>
      <c r="D149" s="420" t="s">
        <v>2545</v>
      </c>
      <c r="E149" s="411">
        <f t="shared" si="19"/>
        <v>-1</v>
      </c>
      <c r="F149" s="35" t="s">
        <v>228</v>
      </c>
      <c r="G149" s="121"/>
      <c r="Q149" s="100"/>
      <c r="R149" s="100"/>
      <c r="AD149" s="100"/>
      <c r="AE149" s="100"/>
      <c r="AF149" s="100"/>
      <c r="AG149" s="100"/>
      <c r="AH149" s="100"/>
      <c r="AI149" s="100"/>
      <c r="AJ149" s="100"/>
      <c r="AL149" s="100"/>
      <c r="AN149" s="100"/>
      <c r="CB149" s="27">
        <v>-1</v>
      </c>
    </row>
    <row r="150" spans="1:81" s="27" customFormat="1" ht="38.25" x14ac:dyDescent="0.2">
      <c r="A150" s="38"/>
      <c r="B150" s="37"/>
      <c r="C150" s="36">
        <f t="shared" si="18"/>
        <v>10.4</v>
      </c>
      <c r="D150" s="20" t="s">
        <v>8635</v>
      </c>
      <c r="E150" s="36">
        <f t="shared" si="19"/>
        <v>0.26</v>
      </c>
      <c r="F150" s="35" t="s">
        <v>228</v>
      </c>
      <c r="G150" s="121"/>
      <c r="Q150" s="100"/>
      <c r="R150" s="100"/>
      <c r="AD150" s="100"/>
      <c r="AE150" s="100"/>
      <c r="AF150" s="100"/>
      <c r="AG150" s="100"/>
      <c r="AH150" s="100"/>
      <c r="AI150" s="100"/>
      <c r="AJ150" s="100"/>
      <c r="AL150" s="100"/>
      <c r="AN150" s="100"/>
      <c r="CB150" s="27">
        <v>0.26</v>
      </c>
    </row>
    <row r="151" spans="1:81" s="27" customFormat="1" ht="25.5" x14ac:dyDescent="0.2">
      <c r="A151" s="38"/>
      <c r="B151" s="37"/>
      <c r="C151" s="36">
        <f t="shared" si="18"/>
        <v>8</v>
      </c>
      <c r="D151" s="20" t="s">
        <v>8636</v>
      </c>
      <c r="E151" s="36">
        <f t="shared" si="19"/>
        <v>0.2</v>
      </c>
      <c r="F151" s="35" t="s">
        <v>228</v>
      </c>
      <c r="G151" s="121"/>
      <c r="Q151" s="100"/>
      <c r="R151" s="100"/>
      <c r="AD151" s="100"/>
      <c r="AE151" s="100"/>
      <c r="AF151" s="100"/>
      <c r="AG151" s="100"/>
      <c r="AH151" s="100"/>
      <c r="AI151" s="100"/>
      <c r="AJ151" s="100"/>
      <c r="AL151" s="100"/>
      <c r="AN151" s="100"/>
      <c r="CB151" s="27">
        <v>0.2</v>
      </c>
    </row>
    <row r="152" spans="1:81" s="27" customFormat="1" ht="25.5" x14ac:dyDescent="0.2">
      <c r="A152" s="38"/>
      <c r="B152" s="37"/>
      <c r="C152" s="36">
        <f t="shared" si="18"/>
        <v>4</v>
      </c>
      <c r="D152" s="20" t="s">
        <v>8637</v>
      </c>
      <c r="E152" s="36">
        <f t="shared" si="19"/>
        <v>0.1</v>
      </c>
      <c r="F152" s="35" t="s">
        <v>228</v>
      </c>
      <c r="G152" s="121"/>
      <c r="Q152" s="100"/>
      <c r="R152" s="100"/>
      <c r="AD152" s="100"/>
      <c r="AE152" s="100"/>
      <c r="AF152" s="100"/>
      <c r="AG152" s="100"/>
      <c r="AH152" s="100"/>
      <c r="AI152" s="100"/>
      <c r="AJ152" s="100"/>
      <c r="AL152" s="100"/>
      <c r="AN152" s="100"/>
      <c r="CB152" s="27">
        <v>0.1</v>
      </c>
    </row>
    <row r="153" spans="1:81" s="27" customFormat="1" ht="25.5" x14ac:dyDescent="0.2">
      <c r="A153" s="38"/>
      <c r="B153" s="37"/>
      <c r="C153" s="36">
        <f t="shared" si="18"/>
        <v>4</v>
      </c>
      <c r="D153" s="20" t="s">
        <v>8638</v>
      </c>
      <c r="E153" s="36">
        <f t="shared" si="19"/>
        <v>0.1</v>
      </c>
      <c r="F153" s="35" t="s">
        <v>228</v>
      </c>
      <c r="G153" s="121"/>
      <c r="Q153" s="100"/>
      <c r="R153" s="100"/>
      <c r="AD153" s="100"/>
      <c r="AE153" s="100"/>
      <c r="AF153" s="100"/>
      <c r="AG153" s="100"/>
      <c r="AH153" s="100"/>
      <c r="AI153" s="100"/>
      <c r="AJ153" s="100"/>
      <c r="AL153" s="100"/>
      <c r="AN153" s="100"/>
      <c r="CB153" s="27">
        <v>0.1</v>
      </c>
    </row>
    <row r="154" spans="1:81" s="27" customFormat="1" x14ac:dyDescent="0.2">
      <c r="A154" s="38"/>
      <c r="B154" s="37"/>
      <c r="C154" s="36">
        <f t="shared" si="18"/>
        <v>13.600000000000001</v>
      </c>
      <c r="D154" s="20" t="s">
        <v>8639</v>
      </c>
      <c r="E154" s="36">
        <f t="shared" si="19"/>
        <v>0.34</v>
      </c>
      <c r="F154" s="35" t="s">
        <v>228</v>
      </c>
      <c r="G154" s="121"/>
      <c r="Q154" s="100"/>
      <c r="R154" s="100"/>
      <c r="AD154" s="100"/>
      <c r="AE154" s="100"/>
      <c r="AF154" s="100"/>
      <c r="AG154" s="100"/>
      <c r="AH154" s="100"/>
      <c r="AI154" s="100"/>
      <c r="AJ154" s="100"/>
      <c r="AL154" s="100"/>
      <c r="AN154" s="100"/>
      <c r="CB154" s="27">
        <v>0.34</v>
      </c>
    </row>
    <row r="155" spans="1:81" s="27" customFormat="1" x14ac:dyDescent="0.2">
      <c r="A155" s="38"/>
      <c r="B155" s="37"/>
      <c r="C155" s="36">
        <f t="shared" si="18"/>
        <v>0</v>
      </c>
      <c r="D155" s="20"/>
      <c r="E155" s="36">
        <f t="shared" si="19"/>
        <v>0</v>
      </c>
      <c r="F155" s="35" t="s">
        <v>228</v>
      </c>
      <c r="G155" s="121"/>
      <c r="Q155" s="100"/>
      <c r="R155" s="100"/>
      <c r="AD155" s="100"/>
      <c r="AE155" s="100"/>
      <c r="AF155" s="100"/>
      <c r="AG155" s="100"/>
      <c r="AH155" s="100"/>
      <c r="AI155" s="100"/>
      <c r="AJ155" s="100"/>
      <c r="AL155" s="100"/>
      <c r="AN155" s="100"/>
    </row>
    <row r="156" spans="1:81" s="27" customFormat="1" x14ac:dyDescent="0.2">
      <c r="A156" s="38"/>
      <c r="B156" s="37"/>
      <c r="C156" s="36">
        <f t="shared" si="18"/>
        <v>0</v>
      </c>
      <c r="D156" s="20"/>
      <c r="E156" s="36">
        <f t="shared" si="19"/>
        <v>0</v>
      </c>
      <c r="F156" s="35" t="s">
        <v>228</v>
      </c>
      <c r="G156" s="121"/>
      <c r="Q156" s="100"/>
      <c r="R156" s="100"/>
      <c r="AD156" s="100"/>
      <c r="AE156" s="100"/>
      <c r="AF156" s="100"/>
      <c r="AG156" s="100"/>
      <c r="AH156" s="100"/>
      <c r="AI156" s="100"/>
      <c r="AJ156" s="100"/>
      <c r="AL156" s="100"/>
      <c r="AN156" s="100"/>
    </row>
    <row r="157" spans="1:81" s="27" customFormat="1" x14ac:dyDescent="0.2">
      <c r="A157" s="38"/>
      <c r="B157" s="37"/>
      <c r="C157" s="36">
        <f t="shared" si="18"/>
        <v>0</v>
      </c>
      <c r="D157" s="20"/>
      <c r="E157" s="36">
        <f t="shared" si="19"/>
        <v>0</v>
      </c>
      <c r="F157" s="35" t="s">
        <v>228</v>
      </c>
      <c r="G157" s="121"/>
      <c r="Q157" s="100"/>
      <c r="R157" s="100"/>
      <c r="AD157" s="100"/>
      <c r="AE157" s="100"/>
      <c r="AF157" s="100"/>
      <c r="AG157" s="100"/>
      <c r="AH157" s="100"/>
      <c r="AI157" s="100"/>
      <c r="AJ157" s="100"/>
      <c r="AL157" s="100"/>
      <c r="AN157" s="100"/>
    </row>
    <row r="158" spans="1:81" s="27" customFormat="1" x14ac:dyDescent="0.2">
      <c r="A158" s="38"/>
      <c r="B158" s="37"/>
      <c r="C158" s="36">
        <f t="shared" si="18"/>
        <v>0</v>
      </c>
      <c r="D158" s="20"/>
      <c r="E158" s="36">
        <f t="shared" si="19"/>
        <v>0</v>
      </c>
      <c r="F158" s="35" t="s">
        <v>228</v>
      </c>
      <c r="G158" s="121"/>
      <c r="Q158" s="100"/>
      <c r="R158" s="100"/>
      <c r="AD158" s="100"/>
      <c r="AE158" s="100"/>
      <c r="AF158" s="100"/>
      <c r="AG158" s="100"/>
      <c r="AH158" s="100"/>
      <c r="AI158" s="100"/>
      <c r="AJ158" s="100"/>
      <c r="AL158" s="100"/>
      <c r="AN158" s="100"/>
    </row>
    <row r="159" spans="1:81" s="27" customFormat="1" x14ac:dyDescent="0.2">
      <c r="A159" s="38"/>
      <c r="B159" s="37"/>
      <c r="C159" s="36">
        <f t="shared" si="18"/>
        <v>-40</v>
      </c>
      <c r="D159" s="420" t="s">
        <v>204</v>
      </c>
      <c r="E159" s="411">
        <f t="shared" si="19"/>
        <v>-1</v>
      </c>
      <c r="F159" s="35" t="s">
        <v>228</v>
      </c>
      <c r="G159" s="121"/>
      <c r="Q159" s="100"/>
      <c r="R159" s="100"/>
      <c r="AD159" s="100"/>
      <c r="AE159" s="100"/>
      <c r="AF159" s="100"/>
      <c r="AG159" s="100"/>
      <c r="AH159" s="100"/>
      <c r="AI159" s="100"/>
      <c r="AJ159" s="100"/>
      <c r="AL159" s="100"/>
      <c r="AN159" s="100"/>
      <c r="CC159" s="27">
        <v>-1</v>
      </c>
    </row>
    <row r="160" spans="1:81" s="27" customFormat="1" ht="25.5" x14ac:dyDescent="0.2">
      <c r="A160" s="38"/>
      <c r="B160" s="37"/>
      <c r="C160" s="36">
        <f t="shared" si="18"/>
        <v>40</v>
      </c>
      <c r="D160" s="335" t="s">
        <v>3014</v>
      </c>
      <c r="E160" s="36">
        <f t="shared" si="19"/>
        <v>1</v>
      </c>
      <c r="F160" s="35" t="s">
        <v>228</v>
      </c>
      <c r="G160" s="121"/>
      <c r="Q160" s="100"/>
      <c r="R160" s="100"/>
      <c r="AD160" s="100"/>
      <c r="AE160" s="100"/>
      <c r="AF160" s="100"/>
      <c r="AG160" s="100"/>
      <c r="AH160" s="100"/>
      <c r="AI160" s="100"/>
      <c r="AJ160" s="100"/>
      <c r="AL160" s="100"/>
      <c r="AN160" s="100"/>
      <c r="CC160" s="27">
        <v>1</v>
      </c>
    </row>
    <row r="161" spans="1:87" s="27" customFormat="1" x14ac:dyDescent="0.2">
      <c r="A161" s="38"/>
      <c r="B161" s="37"/>
      <c r="C161" s="36">
        <f t="shared" si="18"/>
        <v>-40</v>
      </c>
      <c r="D161" s="420" t="s">
        <v>441</v>
      </c>
      <c r="E161" s="411">
        <f t="shared" si="19"/>
        <v>-1</v>
      </c>
      <c r="F161" s="35" t="s">
        <v>228</v>
      </c>
      <c r="G161" s="121"/>
      <c r="Q161" s="100"/>
      <c r="R161" s="100"/>
      <c r="AD161" s="100"/>
      <c r="AE161" s="100"/>
      <c r="AF161" s="100"/>
      <c r="AG161" s="100"/>
      <c r="AH161" s="100"/>
      <c r="AI161" s="100"/>
      <c r="AJ161" s="100"/>
      <c r="AL161" s="100"/>
      <c r="AN161" s="100"/>
      <c r="CD161" s="27">
        <v>-1</v>
      </c>
    </row>
    <row r="162" spans="1:87" s="27" customFormat="1" x14ac:dyDescent="0.2">
      <c r="A162" s="38"/>
      <c r="B162" s="37"/>
      <c r="C162" s="36">
        <f t="shared" si="18"/>
        <v>40</v>
      </c>
      <c r="D162" s="20" t="s">
        <v>442</v>
      </c>
      <c r="E162" s="36">
        <f t="shared" si="19"/>
        <v>1</v>
      </c>
      <c r="F162" s="35" t="s">
        <v>228</v>
      </c>
      <c r="G162" s="121"/>
      <c r="Q162" s="100"/>
      <c r="R162" s="100"/>
      <c r="AD162" s="100"/>
      <c r="AE162" s="100"/>
      <c r="AF162" s="100"/>
      <c r="AG162" s="100"/>
      <c r="AH162" s="100"/>
      <c r="AI162" s="100"/>
      <c r="AJ162" s="100"/>
      <c r="AL162" s="100"/>
      <c r="AN162" s="100"/>
      <c r="CD162" s="27">
        <v>1</v>
      </c>
    </row>
    <row r="163" spans="1:87" s="27" customFormat="1" x14ac:dyDescent="0.2">
      <c r="A163" s="38"/>
      <c r="B163" s="37"/>
      <c r="C163" s="36">
        <f t="shared" si="18"/>
        <v>-40</v>
      </c>
      <c r="D163" s="420" t="s">
        <v>496</v>
      </c>
      <c r="E163" s="411">
        <f t="shared" si="19"/>
        <v>-1</v>
      </c>
      <c r="F163" s="35" t="s">
        <v>228</v>
      </c>
      <c r="G163" s="121"/>
      <c r="Q163" s="100"/>
      <c r="R163" s="100"/>
      <c r="AD163" s="100"/>
      <c r="AE163" s="100"/>
      <c r="AF163" s="100"/>
      <c r="AG163" s="100"/>
      <c r="AH163" s="100"/>
      <c r="AI163" s="100"/>
      <c r="AJ163" s="100"/>
      <c r="AL163" s="100"/>
      <c r="AN163" s="100"/>
      <c r="CE163" s="27">
        <v>-1</v>
      </c>
    </row>
    <row r="164" spans="1:87" s="27" customFormat="1" x14ac:dyDescent="0.2">
      <c r="A164" s="38"/>
      <c r="B164" s="37"/>
      <c r="C164" s="36">
        <f t="shared" si="18"/>
        <v>40</v>
      </c>
      <c r="D164" s="20" t="s">
        <v>497</v>
      </c>
      <c r="E164" s="36">
        <f t="shared" si="19"/>
        <v>1</v>
      </c>
      <c r="F164" s="35" t="s">
        <v>228</v>
      </c>
      <c r="G164" s="121"/>
      <c r="Q164" s="100"/>
      <c r="R164" s="100"/>
      <c r="AD164" s="100"/>
      <c r="AE164" s="100"/>
      <c r="AF164" s="100"/>
      <c r="AG164" s="100"/>
      <c r="AH164" s="100"/>
      <c r="AI164" s="100"/>
      <c r="AJ164" s="100"/>
      <c r="AL164" s="100"/>
      <c r="AN164" s="100"/>
      <c r="CE164" s="27">
        <v>1</v>
      </c>
    </row>
    <row r="165" spans="1:87" s="27" customFormat="1" x14ac:dyDescent="0.2">
      <c r="A165" s="38"/>
      <c r="B165" s="37"/>
      <c r="C165" s="36">
        <f t="shared" si="18"/>
        <v>-40</v>
      </c>
      <c r="D165" s="420" t="s">
        <v>535</v>
      </c>
      <c r="E165" s="411">
        <f t="shared" si="19"/>
        <v>-1</v>
      </c>
      <c r="F165" s="35" t="s">
        <v>228</v>
      </c>
      <c r="G165" s="121"/>
      <c r="Q165" s="100"/>
      <c r="R165" s="100"/>
      <c r="AD165" s="100"/>
      <c r="AE165" s="100"/>
      <c r="AF165" s="100"/>
      <c r="AG165" s="100"/>
      <c r="AH165" s="100"/>
      <c r="AI165" s="100"/>
      <c r="AJ165" s="100"/>
      <c r="AL165" s="100"/>
      <c r="AN165" s="100"/>
      <c r="CF165" s="27">
        <v>-1</v>
      </c>
    </row>
    <row r="166" spans="1:87" s="27" customFormat="1" ht="25.5" x14ac:dyDescent="0.2">
      <c r="A166" s="38"/>
      <c r="B166" s="37"/>
      <c r="C166" s="36">
        <f t="shared" si="18"/>
        <v>-8</v>
      </c>
      <c r="D166" s="420" t="s">
        <v>2840</v>
      </c>
      <c r="E166" s="411">
        <f t="shared" si="19"/>
        <v>-0.2</v>
      </c>
      <c r="F166" s="35" t="s">
        <v>228</v>
      </c>
      <c r="G166" s="121"/>
      <c r="Q166" s="100"/>
      <c r="R166" s="100"/>
      <c r="AD166" s="100"/>
      <c r="AE166" s="100"/>
      <c r="AF166" s="100"/>
      <c r="AG166" s="100"/>
      <c r="AH166" s="100"/>
      <c r="AI166" s="100"/>
      <c r="AJ166" s="100"/>
      <c r="AL166" s="100"/>
      <c r="AN166" s="100"/>
      <c r="CG166" s="27">
        <v>-0.2</v>
      </c>
    </row>
    <row r="167" spans="1:87" s="27" customFormat="1" x14ac:dyDescent="0.2">
      <c r="A167" s="38"/>
      <c r="B167" s="37"/>
      <c r="C167" s="36">
        <f t="shared" si="18"/>
        <v>-8</v>
      </c>
      <c r="D167" s="420" t="s">
        <v>2841</v>
      </c>
      <c r="E167" s="411">
        <f t="shared" si="19"/>
        <v>-0.2</v>
      </c>
      <c r="F167" s="35" t="s">
        <v>228</v>
      </c>
      <c r="G167" s="121"/>
      <c r="Q167" s="100"/>
      <c r="R167" s="100"/>
      <c r="AD167" s="100"/>
      <c r="AE167" s="100"/>
      <c r="AF167" s="100"/>
      <c r="AG167" s="100"/>
      <c r="AH167" s="100"/>
      <c r="AI167" s="100"/>
      <c r="AJ167" s="100"/>
      <c r="AL167" s="100"/>
      <c r="AN167" s="100"/>
      <c r="CG167" s="27">
        <v>-0.2</v>
      </c>
    </row>
    <row r="168" spans="1:87" s="27" customFormat="1" x14ac:dyDescent="0.2">
      <c r="A168" s="38"/>
      <c r="B168" s="37"/>
      <c r="C168" s="36">
        <f t="shared" si="18"/>
        <v>-8</v>
      </c>
      <c r="D168" s="420" t="s">
        <v>2842</v>
      </c>
      <c r="E168" s="411">
        <f t="shared" si="19"/>
        <v>-0.2</v>
      </c>
      <c r="F168" s="35" t="s">
        <v>228</v>
      </c>
      <c r="G168" s="121"/>
      <c r="Q168" s="100"/>
      <c r="R168" s="100"/>
      <c r="AD168" s="100"/>
      <c r="AE168" s="100"/>
      <c r="AF168" s="100"/>
      <c r="AG168" s="100"/>
      <c r="AH168" s="100"/>
      <c r="AI168" s="100"/>
      <c r="AJ168" s="100"/>
      <c r="AL168" s="100"/>
      <c r="AN168" s="100"/>
      <c r="CG168" s="27">
        <v>-0.2</v>
      </c>
    </row>
    <row r="169" spans="1:87" s="27" customFormat="1" x14ac:dyDescent="0.2">
      <c r="A169" s="38"/>
      <c r="B169" s="37"/>
      <c r="C169" s="36">
        <f t="shared" si="18"/>
        <v>-8</v>
      </c>
      <c r="D169" s="420" t="s">
        <v>2843</v>
      </c>
      <c r="E169" s="411">
        <f t="shared" si="19"/>
        <v>-0.2</v>
      </c>
      <c r="F169" s="35" t="s">
        <v>228</v>
      </c>
      <c r="G169" s="121"/>
      <c r="Q169" s="100"/>
      <c r="R169" s="100"/>
      <c r="AD169" s="100"/>
      <c r="AE169" s="100"/>
      <c r="AF169" s="100"/>
      <c r="AG169" s="100"/>
      <c r="AH169" s="100"/>
      <c r="AI169" s="100"/>
      <c r="AJ169" s="100"/>
      <c r="AL169" s="100"/>
      <c r="AN169" s="100"/>
      <c r="CG169" s="27">
        <v>-0.2</v>
      </c>
    </row>
    <row r="170" spans="1:87" s="27" customFormat="1" x14ac:dyDescent="0.2">
      <c r="A170" s="38"/>
      <c r="B170" s="37"/>
      <c r="C170" s="36">
        <f t="shared" si="18"/>
        <v>-8</v>
      </c>
      <c r="D170" s="420" t="s">
        <v>2844</v>
      </c>
      <c r="E170" s="411">
        <f t="shared" si="19"/>
        <v>-0.2</v>
      </c>
      <c r="F170" s="35" t="s">
        <v>228</v>
      </c>
      <c r="G170" s="121"/>
      <c r="Q170" s="100"/>
      <c r="R170" s="100"/>
      <c r="AD170" s="100"/>
      <c r="AE170" s="100"/>
      <c r="AF170" s="100"/>
      <c r="AG170" s="100"/>
      <c r="AH170" s="100"/>
      <c r="AI170" s="100"/>
      <c r="AJ170" s="100"/>
      <c r="AL170" s="100"/>
      <c r="AN170" s="100"/>
      <c r="CG170" s="27">
        <v>-0.2</v>
      </c>
    </row>
    <row r="171" spans="1:87" s="27" customFormat="1" x14ac:dyDescent="0.2">
      <c r="A171" s="38"/>
      <c r="B171" s="37"/>
      <c r="C171" s="36">
        <f t="shared" si="18"/>
        <v>40</v>
      </c>
      <c r="D171" s="20" t="s">
        <v>560</v>
      </c>
      <c r="E171" s="36">
        <f t="shared" si="19"/>
        <v>1</v>
      </c>
      <c r="F171" s="35" t="s">
        <v>228</v>
      </c>
      <c r="G171" s="121"/>
      <c r="Q171" s="100"/>
      <c r="R171" s="100"/>
      <c r="AD171" s="100"/>
      <c r="AE171" s="100"/>
      <c r="AF171" s="100"/>
      <c r="AG171" s="100"/>
      <c r="AH171" s="100"/>
      <c r="AI171" s="100"/>
      <c r="AJ171" s="100"/>
      <c r="AL171" s="100"/>
      <c r="AN171" s="100"/>
      <c r="CG171" s="27">
        <v>1</v>
      </c>
    </row>
    <row r="172" spans="1:87" s="27" customFormat="1" x14ac:dyDescent="0.2">
      <c r="A172" s="38"/>
      <c r="B172" s="37"/>
      <c r="C172" s="36">
        <f t="shared" si="18"/>
        <v>-40</v>
      </c>
      <c r="D172" s="420" t="s">
        <v>598</v>
      </c>
      <c r="E172" s="411">
        <f t="shared" si="19"/>
        <v>-1</v>
      </c>
      <c r="F172" s="35" t="s">
        <v>228</v>
      </c>
      <c r="G172" s="121"/>
      <c r="Q172" s="100"/>
      <c r="R172" s="100"/>
      <c r="AD172" s="100"/>
      <c r="AE172" s="100"/>
      <c r="AF172" s="100"/>
      <c r="AG172" s="100"/>
      <c r="AH172" s="100"/>
      <c r="AI172" s="100"/>
      <c r="AJ172" s="100"/>
      <c r="AL172" s="100"/>
      <c r="AN172" s="100"/>
      <c r="CH172" s="27">
        <v>-1</v>
      </c>
    </row>
    <row r="173" spans="1:87" s="27" customFormat="1" x14ac:dyDescent="0.2">
      <c r="A173" s="38"/>
      <c r="B173" s="37"/>
      <c r="C173" s="36">
        <f t="shared" si="18"/>
        <v>-40</v>
      </c>
      <c r="D173" s="420" t="s">
        <v>106</v>
      </c>
      <c r="E173" s="411">
        <f t="shared" si="19"/>
        <v>-1</v>
      </c>
      <c r="F173" s="35" t="s">
        <v>228</v>
      </c>
      <c r="G173" s="121"/>
      <c r="Q173" s="100"/>
      <c r="R173" s="100"/>
      <c r="AD173" s="100"/>
      <c r="AE173" s="100"/>
      <c r="AF173" s="100"/>
      <c r="AG173" s="100"/>
      <c r="AH173" s="100"/>
      <c r="AI173" s="100"/>
      <c r="AJ173" s="100"/>
      <c r="AL173" s="100"/>
      <c r="AN173" s="100"/>
      <c r="CI173" s="27">
        <v>-1</v>
      </c>
    </row>
    <row r="174" spans="1:87" s="27" customFormat="1" x14ac:dyDescent="0.2">
      <c r="A174" s="38"/>
      <c r="B174" s="37"/>
      <c r="C174" s="36">
        <f t="shared" si="18"/>
        <v>40</v>
      </c>
      <c r="D174" s="20" t="s">
        <v>431</v>
      </c>
      <c r="E174" s="36">
        <f t="shared" si="19"/>
        <v>1</v>
      </c>
      <c r="F174" s="35" t="s">
        <v>228</v>
      </c>
      <c r="G174" s="121"/>
      <c r="Q174" s="100"/>
      <c r="R174" s="100"/>
      <c r="AD174" s="100"/>
      <c r="AE174" s="100"/>
      <c r="AF174" s="100"/>
      <c r="AG174" s="100"/>
      <c r="AH174" s="100"/>
      <c r="AI174" s="100"/>
      <c r="AJ174" s="100"/>
      <c r="AL174" s="100"/>
      <c r="AN174" s="100"/>
      <c r="CI174" s="27">
        <v>1</v>
      </c>
    </row>
    <row r="175" spans="1:87" s="27" customFormat="1" x14ac:dyDescent="0.2">
      <c r="A175" s="38"/>
      <c r="B175" s="37"/>
      <c r="C175" s="36">
        <f t="shared" si="18"/>
        <v>0</v>
      </c>
      <c r="D175" s="20"/>
      <c r="E175" s="36">
        <f t="shared" ref="E175:E183" si="20">SUM(G175:HS175)</f>
        <v>0</v>
      </c>
      <c r="Q175" s="100"/>
      <c r="R175" s="100"/>
      <c r="AD175" s="100"/>
      <c r="AE175" s="100"/>
      <c r="AF175" s="100"/>
      <c r="AG175" s="100"/>
      <c r="AH175" s="100"/>
      <c r="AI175" s="100"/>
      <c r="AJ175" s="100"/>
      <c r="AL175" s="100"/>
      <c r="AN175" s="100"/>
    </row>
    <row r="176" spans="1:87" s="27" customFormat="1" x14ac:dyDescent="0.2">
      <c r="A176" s="38"/>
      <c r="B176" s="37"/>
      <c r="C176" s="36">
        <f t="shared" si="18"/>
        <v>0</v>
      </c>
      <c r="D176" s="20"/>
      <c r="E176" s="36">
        <f t="shared" si="20"/>
        <v>0</v>
      </c>
      <c r="Q176" s="100"/>
      <c r="R176" s="100"/>
      <c r="AD176" s="100"/>
      <c r="AE176" s="100"/>
      <c r="AF176" s="100"/>
      <c r="AG176" s="100"/>
      <c r="AH176" s="100"/>
      <c r="AI176" s="100"/>
      <c r="AJ176" s="100"/>
      <c r="AL176" s="100"/>
      <c r="AN176" s="100"/>
    </row>
    <row r="177" spans="1:41" s="27" customFormat="1" x14ac:dyDescent="0.2">
      <c r="A177" s="38"/>
      <c r="B177" s="37"/>
      <c r="C177" s="36">
        <f t="shared" si="18"/>
        <v>0</v>
      </c>
      <c r="D177" s="20"/>
      <c r="E177" s="36">
        <f t="shared" si="20"/>
        <v>0</v>
      </c>
      <c r="Q177" s="100"/>
      <c r="R177" s="100"/>
      <c r="AD177" s="100"/>
      <c r="AE177" s="100"/>
      <c r="AF177" s="100"/>
      <c r="AG177" s="100"/>
      <c r="AH177" s="100"/>
      <c r="AI177" s="100"/>
      <c r="AJ177" s="100"/>
      <c r="AL177" s="100"/>
      <c r="AN177" s="100"/>
    </row>
    <row r="178" spans="1:41" s="27" customFormat="1" x14ac:dyDescent="0.2">
      <c r="A178" s="38"/>
      <c r="B178" s="37"/>
      <c r="C178" s="36">
        <f t="shared" si="18"/>
        <v>0</v>
      </c>
      <c r="D178" s="20"/>
      <c r="E178" s="36">
        <f t="shared" si="20"/>
        <v>0</v>
      </c>
      <c r="Q178" s="100"/>
      <c r="R178" s="100"/>
      <c r="AD178" s="100"/>
      <c r="AE178" s="100"/>
      <c r="AF178" s="100"/>
      <c r="AG178" s="100"/>
      <c r="AH178" s="100"/>
      <c r="AI178" s="100"/>
      <c r="AJ178" s="100"/>
      <c r="AL178" s="100"/>
      <c r="AN178" s="100"/>
    </row>
    <row r="179" spans="1:41" s="27" customFormat="1" x14ac:dyDescent="0.2">
      <c r="A179" s="38"/>
      <c r="B179" s="37"/>
      <c r="C179" s="36">
        <f t="shared" si="18"/>
        <v>0</v>
      </c>
      <c r="D179" s="20"/>
      <c r="E179" s="36">
        <f t="shared" si="20"/>
        <v>0</v>
      </c>
      <c r="Q179" s="100"/>
      <c r="R179" s="100"/>
      <c r="AD179" s="100"/>
      <c r="AE179" s="100"/>
      <c r="AF179" s="100"/>
      <c r="AG179" s="100"/>
      <c r="AH179" s="100"/>
      <c r="AI179" s="100"/>
      <c r="AJ179" s="100"/>
      <c r="AL179" s="100"/>
      <c r="AN179" s="100"/>
    </row>
    <row r="180" spans="1:41" s="27" customFormat="1" x14ac:dyDescent="0.2">
      <c r="A180" s="38"/>
      <c r="B180" s="37"/>
      <c r="C180" s="36">
        <f t="shared" si="18"/>
        <v>0</v>
      </c>
      <c r="D180" s="20"/>
      <c r="E180" s="36">
        <f t="shared" si="20"/>
        <v>0</v>
      </c>
      <c r="Q180" s="100"/>
      <c r="R180" s="100"/>
      <c r="AD180" s="100"/>
      <c r="AE180" s="100"/>
      <c r="AF180" s="100"/>
      <c r="AG180" s="100"/>
      <c r="AH180" s="100"/>
      <c r="AI180" s="100"/>
      <c r="AJ180" s="100"/>
      <c r="AL180" s="100"/>
      <c r="AN180" s="100"/>
    </row>
    <row r="181" spans="1:41" s="27" customFormat="1" x14ac:dyDescent="0.2">
      <c r="A181" s="38"/>
      <c r="B181" s="37"/>
      <c r="C181" s="36">
        <f t="shared" si="18"/>
        <v>0</v>
      </c>
      <c r="D181" s="20"/>
      <c r="E181" s="36">
        <f t="shared" si="20"/>
        <v>0</v>
      </c>
      <c r="Q181" s="100"/>
      <c r="R181" s="100"/>
      <c r="AD181" s="100"/>
      <c r="AE181" s="100"/>
      <c r="AF181" s="100"/>
      <c r="AG181" s="100"/>
      <c r="AH181" s="100"/>
      <c r="AI181" s="100"/>
      <c r="AJ181" s="100"/>
      <c r="AL181" s="100"/>
      <c r="AN181" s="100"/>
    </row>
    <row r="182" spans="1:41" s="27" customFormat="1" x14ac:dyDescent="0.2">
      <c r="A182" s="38"/>
      <c r="B182" s="37"/>
      <c r="C182" s="36">
        <f t="shared" si="18"/>
        <v>0</v>
      </c>
      <c r="D182" s="20"/>
      <c r="E182" s="36">
        <f t="shared" si="20"/>
        <v>0</v>
      </c>
      <c r="Q182" s="100"/>
      <c r="R182" s="100"/>
      <c r="AD182" s="100"/>
      <c r="AE182" s="100"/>
      <c r="AF182" s="100"/>
      <c r="AG182" s="100"/>
      <c r="AH182" s="100"/>
      <c r="AI182" s="100"/>
      <c r="AJ182" s="100"/>
      <c r="AL182" s="100"/>
      <c r="AN182" s="100"/>
    </row>
    <row r="183" spans="1:41" s="27" customFormat="1" x14ac:dyDescent="0.2">
      <c r="A183" s="38"/>
      <c r="B183" s="37"/>
      <c r="C183" s="36">
        <f t="shared" ref="C183:C203" si="21">E183*D$5</f>
        <v>0</v>
      </c>
      <c r="D183" s="20"/>
      <c r="E183" s="36">
        <f t="shared" si="20"/>
        <v>0</v>
      </c>
      <c r="Q183" s="100"/>
      <c r="R183" s="100"/>
      <c r="AD183" s="100"/>
      <c r="AE183" s="100"/>
      <c r="AF183" s="100"/>
      <c r="AG183" s="100"/>
      <c r="AH183" s="100"/>
      <c r="AI183" s="100"/>
      <c r="AJ183" s="100"/>
      <c r="AL183" s="100"/>
      <c r="AN183" s="100"/>
    </row>
    <row r="184" spans="1:41" s="27" customFormat="1" x14ac:dyDescent="0.2">
      <c r="A184" s="38"/>
      <c r="B184" s="37"/>
      <c r="C184" s="36">
        <f t="shared" si="21"/>
        <v>0</v>
      </c>
      <c r="D184" s="20"/>
      <c r="E184" s="36">
        <f t="shared" ref="E184:E203" si="22">SUM(G184:HT184)</f>
        <v>0</v>
      </c>
      <c r="R184" s="100"/>
      <c r="S184" s="100"/>
      <c r="AE184" s="100"/>
      <c r="AF184" s="100"/>
      <c r="AG184" s="100"/>
      <c r="AH184" s="100"/>
      <c r="AI184" s="100"/>
      <c r="AJ184" s="100"/>
      <c r="AK184" s="100"/>
      <c r="AM184" s="100"/>
      <c r="AO184" s="100"/>
    </row>
    <row r="185" spans="1:41" s="27" customFormat="1" x14ac:dyDescent="0.2">
      <c r="A185" s="38"/>
      <c r="B185" s="37"/>
      <c r="C185" s="36">
        <f t="shared" si="21"/>
        <v>0</v>
      </c>
      <c r="D185" s="20"/>
      <c r="E185" s="36">
        <f t="shared" si="22"/>
        <v>0</v>
      </c>
      <c r="R185" s="100"/>
      <c r="S185" s="100"/>
      <c r="AE185" s="100"/>
      <c r="AF185" s="100"/>
      <c r="AG185" s="100"/>
      <c r="AH185" s="100"/>
      <c r="AI185" s="100"/>
      <c r="AJ185" s="100"/>
      <c r="AK185" s="100"/>
      <c r="AM185" s="100"/>
      <c r="AO185" s="100"/>
    </row>
    <row r="186" spans="1:41" s="27" customFormat="1" x14ac:dyDescent="0.2">
      <c r="A186" s="38"/>
      <c r="B186" s="37"/>
      <c r="C186" s="36">
        <f t="shared" si="21"/>
        <v>0</v>
      </c>
      <c r="D186" s="20"/>
      <c r="E186" s="36">
        <f t="shared" si="22"/>
        <v>0</v>
      </c>
      <c r="R186" s="100"/>
      <c r="S186" s="100"/>
      <c r="AE186" s="100"/>
      <c r="AF186" s="100"/>
      <c r="AG186" s="100"/>
      <c r="AH186" s="100"/>
      <c r="AI186" s="100"/>
      <c r="AJ186" s="100"/>
      <c r="AK186" s="100"/>
      <c r="AM186" s="100"/>
      <c r="AO186" s="100"/>
    </row>
    <row r="187" spans="1:41" s="27" customFormat="1" x14ac:dyDescent="0.2">
      <c r="A187" s="38"/>
      <c r="B187" s="37"/>
      <c r="C187" s="36">
        <f t="shared" si="21"/>
        <v>0</v>
      </c>
      <c r="D187" s="20"/>
      <c r="E187" s="36">
        <f t="shared" si="22"/>
        <v>0</v>
      </c>
      <c r="R187" s="100"/>
      <c r="S187" s="100"/>
      <c r="AE187" s="100"/>
      <c r="AF187" s="100"/>
      <c r="AG187" s="100"/>
      <c r="AH187" s="100"/>
      <c r="AI187" s="100"/>
      <c r="AJ187" s="100"/>
      <c r="AK187" s="100"/>
      <c r="AM187" s="100"/>
      <c r="AO187" s="100"/>
    </row>
    <row r="188" spans="1:41" s="27" customFormat="1" x14ac:dyDescent="0.2">
      <c r="A188" s="38"/>
      <c r="B188" s="37"/>
      <c r="C188" s="36">
        <f t="shared" si="21"/>
        <v>0</v>
      </c>
      <c r="D188" s="20"/>
      <c r="E188" s="36">
        <f t="shared" si="22"/>
        <v>0</v>
      </c>
      <c r="R188" s="100"/>
      <c r="S188" s="100"/>
      <c r="AE188" s="100"/>
      <c r="AF188" s="100"/>
      <c r="AG188" s="100"/>
      <c r="AH188" s="100"/>
      <c r="AI188" s="100"/>
      <c r="AJ188" s="100"/>
      <c r="AK188" s="100"/>
      <c r="AM188" s="100"/>
      <c r="AO188" s="100"/>
    </row>
    <row r="189" spans="1:41" s="27" customFormat="1" x14ac:dyDescent="0.2">
      <c r="A189" s="38"/>
      <c r="B189" s="37"/>
      <c r="C189" s="36">
        <f t="shared" si="21"/>
        <v>0</v>
      </c>
      <c r="D189" s="20"/>
      <c r="E189" s="36">
        <f t="shared" si="22"/>
        <v>0</v>
      </c>
      <c r="R189" s="100"/>
      <c r="S189" s="100"/>
      <c r="AE189" s="100"/>
      <c r="AF189" s="100"/>
      <c r="AG189" s="100"/>
      <c r="AH189" s="100"/>
      <c r="AI189" s="100"/>
      <c r="AJ189" s="100"/>
      <c r="AK189" s="100"/>
      <c r="AM189" s="100"/>
      <c r="AO189" s="100"/>
    </row>
    <row r="190" spans="1:41" s="27" customFormat="1" x14ac:dyDescent="0.2">
      <c r="A190" s="38"/>
      <c r="B190" s="37"/>
      <c r="C190" s="36">
        <f t="shared" si="21"/>
        <v>0</v>
      </c>
      <c r="D190" s="20"/>
      <c r="E190" s="36">
        <f t="shared" si="22"/>
        <v>0</v>
      </c>
      <c r="R190" s="100"/>
      <c r="S190" s="100"/>
      <c r="AE190" s="100"/>
      <c r="AF190" s="100"/>
      <c r="AG190" s="100"/>
      <c r="AH190" s="100"/>
      <c r="AI190" s="100"/>
      <c r="AJ190" s="100"/>
      <c r="AK190" s="100"/>
      <c r="AM190" s="100"/>
      <c r="AO190" s="100"/>
    </row>
    <row r="191" spans="1:41" s="27" customFormat="1" x14ac:dyDescent="0.2">
      <c r="A191" s="38"/>
      <c r="B191" s="37"/>
      <c r="C191" s="36">
        <f t="shared" si="21"/>
        <v>0</v>
      </c>
      <c r="D191" s="20"/>
      <c r="E191" s="36">
        <f t="shared" si="22"/>
        <v>0</v>
      </c>
      <c r="R191" s="100"/>
      <c r="S191" s="100"/>
      <c r="AE191" s="100"/>
      <c r="AF191" s="100"/>
      <c r="AG191" s="100"/>
      <c r="AH191" s="100"/>
      <c r="AI191" s="100"/>
      <c r="AJ191" s="100"/>
      <c r="AK191" s="100"/>
      <c r="AM191" s="100"/>
      <c r="AO191" s="100"/>
    </row>
    <row r="192" spans="1:41" s="27" customFormat="1" x14ac:dyDescent="0.2">
      <c r="A192" s="38"/>
      <c r="B192" s="37"/>
      <c r="C192" s="36">
        <f t="shared" si="21"/>
        <v>0</v>
      </c>
      <c r="D192" s="20"/>
      <c r="E192" s="36">
        <f t="shared" si="22"/>
        <v>0</v>
      </c>
      <c r="R192" s="100"/>
      <c r="S192" s="100"/>
      <c r="AE192" s="100"/>
      <c r="AF192" s="100"/>
      <c r="AG192" s="100"/>
      <c r="AH192" s="100"/>
      <c r="AI192" s="100"/>
      <c r="AJ192" s="100"/>
      <c r="AK192" s="100"/>
      <c r="AM192" s="100"/>
      <c r="AO192" s="100"/>
    </row>
    <row r="193" spans="1:41" s="27" customFormat="1" x14ac:dyDescent="0.2">
      <c r="A193" s="38"/>
      <c r="B193" s="37"/>
      <c r="C193" s="36">
        <f t="shared" si="21"/>
        <v>0</v>
      </c>
      <c r="D193" s="20"/>
      <c r="E193" s="36">
        <f t="shared" si="22"/>
        <v>0</v>
      </c>
      <c r="R193" s="100"/>
      <c r="S193" s="100"/>
      <c r="AE193" s="100"/>
      <c r="AF193" s="100"/>
      <c r="AG193" s="100"/>
      <c r="AH193" s="100"/>
      <c r="AI193" s="100"/>
      <c r="AJ193" s="100"/>
      <c r="AK193" s="100"/>
      <c r="AM193" s="100"/>
      <c r="AO193" s="100"/>
    </row>
    <row r="194" spans="1:41" s="27" customFormat="1" x14ac:dyDescent="0.2">
      <c r="A194" s="38"/>
      <c r="B194" s="37"/>
      <c r="C194" s="36">
        <f t="shared" si="21"/>
        <v>0</v>
      </c>
      <c r="D194" s="20"/>
      <c r="E194" s="36">
        <f t="shared" si="22"/>
        <v>0</v>
      </c>
      <c r="R194" s="100"/>
      <c r="S194" s="100"/>
      <c r="AE194" s="100"/>
      <c r="AF194" s="100"/>
      <c r="AG194" s="100"/>
      <c r="AH194" s="100"/>
      <c r="AI194" s="100"/>
      <c r="AJ194" s="100"/>
      <c r="AK194" s="100"/>
      <c r="AM194" s="100"/>
      <c r="AO194" s="100"/>
    </row>
    <row r="195" spans="1:41" s="27" customFormat="1" x14ac:dyDescent="0.2">
      <c r="A195" s="38"/>
      <c r="B195" s="37"/>
      <c r="C195" s="36">
        <f t="shared" si="21"/>
        <v>0</v>
      </c>
      <c r="D195" s="20"/>
      <c r="E195" s="36">
        <f t="shared" si="22"/>
        <v>0</v>
      </c>
      <c r="R195" s="100"/>
      <c r="S195" s="100"/>
      <c r="AE195" s="100"/>
      <c r="AF195" s="100"/>
      <c r="AG195" s="100"/>
      <c r="AH195" s="100"/>
      <c r="AI195" s="100"/>
      <c r="AJ195" s="100"/>
      <c r="AK195" s="100"/>
      <c r="AM195" s="100"/>
      <c r="AO195" s="100"/>
    </row>
    <row r="196" spans="1:41" s="27" customFormat="1" x14ac:dyDescent="0.2">
      <c r="A196" s="38"/>
      <c r="B196" s="37"/>
      <c r="C196" s="36">
        <f t="shared" si="21"/>
        <v>0</v>
      </c>
      <c r="D196" s="20"/>
      <c r="E196" s="36">
        <f t="shared" si="22"/>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W164"/>
  <sheetViews>
    <sheetView zoomScaleNormal="120" workbookViewId="0">
      <pane xSplit="6" topLeftCell="G1" activePane="topRight" state="frozen"/>
      <selection pane="topRight" activeCell="M28" sqref="M28"/>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40.85546875" style="16" bestFit="1" customWidth="1"/>
    <col min="5" max="5" width="11.140625" style="15" bestFit="1" customWidth="1"/>
    <col min="6" max="6" width="6.85546875" style="13" customWidth="1"/>
    <col min="7" max="7" width="13" style="13" customWidth="1"/>
    <col min="8" max="18" width="11.5703125" style="81" bestFit="1" customWidth="1"/>
    <col min="19" max="19" width="19" style="81" bestFit="1" customWidth="1"/>
    <col min="20" max="23" width="11.5703125" style="81" bestFit="1" customWidth="1"/>
    <col min="24" max="25" width="19" style="81" bestFit="1" customWidth="1"/>
    <col min="26" max="82" width="8.5703125" style="81" bestFit="1" customWidth="1"/>
    <col min="83" max="172" width="13" style="13" customWidth="1"/>
    <col min="173" max="173" width="13" style="14" customWidth="1"/>
    <col min="174" max="179" width="13" style="13" customWidth="1"/>
    <col min="180" max="16384" width="14.42578125" style="13"/>
  </cols>
  <sheetData>
    <row r="1" spans="1:179" ht="13.5" thickBot="1" x14ac:dyDescent="0.25">
      <c r="E1" s="551" t="s">
        <v>82</v>
      </c>
      <c r="F1" s="551"/>
      <c r="G1" s="63"/>
      <c r="H1" s="117" t="s">
        <v>1456</v>
      </c>
      <c r="I1" s="117" t="s">
        <v>1456</v>
      </c>
      <c r="J1" s="117" t="s">
        <v>1456</v>
      </c>
      <c r="K1" s="117" t="s">
        <v>1456</v>
      </c>
      <c r="L1" s="117" t="s">
        <v>1456</v>
      </c>
      <c r="M1" s="95" t="s">
        <v>1456</v>
      </c>
      <c r="N1" s="95" t="s">
        <v>1456</v>
      </c>
      <c r="O1" s="95" t="s">
        <v>1456</v>
      </c>
      <c r="P1" s="95" t="s">
        <v>1456</v>
      </c>
      <c r="Q1" s="95" t="s">
        <v>1456</v>
      </c>
      <c r="R1" s="95" t="s">
        <v>1456</v>
      </c>
      <c r="S1" s="95" t="s">
        <v>2531</v>
      </c>
      <c r="T1" s="95" t="s">
        <v>1456</v>
      </c>
      <c r="U1" s="95" t="s">
        <v>1456</v>
      </c>
      <c r="V1" s="95" t="s">
        <v>1456</v>
      </c>
      <c r="W1" s="95" t="s">
        <v>1456</v>
      </c>
      <c r="X1" s="95" t="s">
        <v>2531</v>
      </c>
      <c r="Y1" s="95" t="s">
        <v>2531</v>
      </c>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14"/>
    </row>
    <row r="2" spans="1:179" s="62" customFormat="1" ht="12.75" customHeight="1" thickTop="1" x14ac:dyDescent="0.25">
      <c r="A2" s="552" t="s">
        <v>20</v>
      </c>
      <c r="B2" s="555" t="s">
        <v>21</v>
      </c>
      <c r="C2" s="556"/>
      <c r="D2" s="577" t="s">
        <v>3055</v>
      </c>
      <c r="E2" s="560" t="s">
        <v>22</v>
      </c>
      <c r="F2" s="561"/>
      <c r="G2" s="63"/>
      <c r="H2" s="117" t="s">
        <v>1935</v>
      </c>
      <c r="I2" s="117" t="s">
        <v>2369</v>
      </c>
      <c r="J2" s="117" t="s">
        <v>2377</v>
      </c>
      <c r="K2" s="117" t="s">
        <v>2379</v>
      </c>
      <c r="L2" s="117" t="s">
        <v>2399</v>
      </c>
      <c r="M2" s="59" t="s">
        <v>2432</v>
      </c>
      <c r="N2" s="59" t="s">
        <v>2441</v>
      </c>
      <c r="O2" s="59" t="s">
        <v>2459</v>
      </c>
      <c r="P2" s="59" t="s">
        <v>2474</v>
      </c>
      <c r="Q2" s="59" t="s">
        <v>2485</v>
      </c>
      <c r="R2" s="59" t="s">
        <v>2501</v>
      </c>
      <c r="S2" s="59" t="s">
        <v>2530</v>
      </c>
      <c r="T2" s="59" t="s">
        <v>3034</v>
      </c>
      <c r="U2" s="59" t="s">
        <v>3035</v>
      </c>
      <c r="V2" s="59" t="s">
        <v>2526</v>
      </c>
      <c r="W2" s="59" t="s">
        <v>2539</v>
      </c>
      <c r="X2" s="59" t="s">
        <v>2590</v>
      </c>
      <c r="Y2" s="59" t="s">
        <v>2601</v>
      </c>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row>
    <row r="3" spans="1:179" s="62" customFormat="1" ht="12.75" customHeight="1" x14ac:dyDescent="0.2">
      <c r="A3" s="553"/>
      <c r="B3" s="562" t="s">
        <v>23</v>
      </c>
      <c r="C3" s="563"/>
      <c r="D3" s="578"/>
      <c r="E3" s="564" t="s">
        <v>24</v>
      </c>
      <c r="F3" s="565"/>
      <c r="G3" s="63"/>
      <c r="H3" s="6" t="s">
        <v>3037</v>
      </c>
      <c r="I3" s="8" t="s">
        <v>3038</v>
      </c>
      <c r="J3" s="8" t="s">
        <v>3039</v>
      </c>
      <c r="K3" s="8" t="s">
        <v>3040</v>
      </c>
      <c r="L3" s="8" t="s">
        <v>3041</v>
      </c>
      <c r="M3" s="8" t="s">
        <v>3042</v>
      </c>
      <c r="N3" s="8" t="s">
        <v>3043</v>
      </c>
      <c r="O3" s="8" t="s">
        <v>3044</v>
      </c>
      <c r="P3" s="8" t="s">
        <v>3045</v>
      </c>
      <c r="Q3" s="8" t="s">
        <v>3046</v>
      </c>
      <c r="R3" s="8" t="s">
        <v>3047</v>
      </c>
      <c r="S3" s="8" t="s">
        <v>3048</v>
      </c>
      <c r="T3" s="8" t="s">
        <v>3049</v>
      </c>
      <c r="U3" s="8" t="s">
        <v>3050</v>
      </c>
      <c r="V3" s="8" t="s">
        <v>3051</v>
      </c>
      <c r="W3" s="8" t="s">
        <v>3052</v>
      </c>
      <c r="X3" s="8" t="s">
        <v>3053</v>
      </c>
      <c r="Y3" s="8" t="s">
        <v>3191</v>
      </c>
      <c r="Z3" s="8"/>
      <c r="AA3" s="8"/>
      <c r="AB3" s="6"/>
      <c r="AC3" s="6"/>
      <c r="AD3" s="6"/>
      <c r="AE3" s="6"/>
      <c r="AF3" s="6"/>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row>
    <row r="4" spans="1:179" s="62" customFormat="1" ht="12.75" customHeight="1" x14ac:dyDescent="0.2">
      <c r="A4" s="553"/>
      <c r="B4" s="566"/>
      <c r="C4" s="567"/>
      <c r="D4" s="578"/>
      <c r="E4" s="568" t="s">
        <v>25</v>
      </c>
      <c r="F4" s="569"/>
      <c r="G4" s="63"/>
      <c r="H4" s="7">
        <v>39336</v>
      </c>
      <c r="I4" s="12">
        <v>42593</v>
      </c>
      <c r="J4" s="12">
        <v>42719</v>
      </c>
      <c r="K4" s="12">
        <v>42752</v>
      </c>
      <c r="L4" s="12">
        <v>43119</v>
      </c>
      <c r="M4" s="12">
        <v>43698</v>
      </c>
      <c r="N4" s="12">
        <v>44060</v>
      </c>
      <c r="O4" s="12">
        <v>44118</v>
      </c>
      <c r="P4" s="12">
        <v>44175</v>
      </c>
      <c r="Q4" s="5">
        <v>44463</v>
      </c>
      <c r="R4" s="58">
        <v>44476</v>
      </c>
      <c r="S4" s="58">
        <v>45247</v>
      </c>
      <c r="T4" s="5">
        <v>45401</v>
      </c>
      <c r="U4" s="5">
        <v>45432</v>
      </c>
      <c r="V4" s="5">
        <v>45509</v>
      </c>
      <c r="W4" s="5">
        <v>45642</v>
      </c>
      <c r="X4" s="5">
        <v>45975</v>
      </c>
      <c r="Y4" s="5">
        <v>46146</v>
      </c>
      <c r="Z4" s="5"/>
      <c r="AA4" s="5"/>
      <c r="AB4" s="5"/>
      <c r="AC4" s="5"/>
      <c r="AD4" s="5"/>
      <c r="AE4" s="5"/>
      <c r="AF4" s="5"/>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row>
    <row r="5" spans="1:179" s="57" customFormat="1" ht="27.75" customHeight="1" x14ac:dyDescent="0.2">
      <c r="A5" s="553"/>
      <c r="B5" s="570" t="s">
        <v>26</v>
      </c>
      <c r="C5" s="571"/>
      <c r="D5" s="61">
        <v>637.41999999999996</v>
      </c>
      <c r="E5" s="539" t="s">
        <v>27</v>
      </c>
      <c r="F5" s="540"/>
      <c r="G5" s="60"/>
      <c r="H5" s="117" t="s">
        <v>63</v>
      </c>
      <c r="I5" s="117" t="s">
        <v>63</v>
      </c>
      <c r="J5" s="117" t="s">
        <v>63</v>
      </c>
      <c r="K5" s="117" t="s">
        <v>63</v>
      </c>
      <c r="L5" s="117" t="s">
        <v>63</v>
      </c>
      <c r="M5" s="59" t="s">
        <v>63</v>
      </c>
      <c r="N5" s="59" t="s">
        <v>63</v>
      </c>
      <c r="O5" s="59" t="s">
        <v>63</v>
      </c>
      <c r="P5" s="59" t="s">
        <v>63</v>
      </c>
      <c r="Q5" s="59" t="s">
        <v>63</v>
      </c>
      <c r="R5" s="59" t="s">
        <v>63</v>
      </c>
      <c r="S5" s="59" t="s">
        <v>3054</v>
      </c>
      <c r="T5" s="59" t="s">
        <v>63</v>
      </c>
      <c r="U5" s="59" t="s">
        <v>63</v>
      </c>
      <c r="V5" s="59" t="s">
        <v>63</v>
      </c>
      <c r="W5" s="59" t="s">
        <v>63</v>
      </c>
      <c r="X5" s="59" t="s">
        <v>3054</v>
      </c>
      <c r="Y5" s="59" t="s">
        <v>3054</v>
      </c>
      <c r="Z5" s="59"/>
      <c r="AA5" s="59"/>
      <c r="AB5" s="59"/>
      <c r="AC5" s="59"/>
      <c r="AD5" s="59"/>
      <c r="AE5" s="59"/>
      <c r="AF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row>
    <row r="6" spans="1:179" s="55" customFormat="1" ht="14.25" customHeight="1" thickBot="1" x14ac:dyDescent="0.25">
      <c r="A6" s="554"/>
      <c r="B6" s="541" t="s">
        <v>28</v>
      </c>
      <c r="C6" s="544">
        <v>637.41999999999996</v>
      </c>
      <c r="D6" s="575" t="s">
        <v>90</v>
      </c>
      <c r="E6" s="544">
        <f>SUBTOTAL(9,E9:E161)</f>
        <v>0</v>
      </c>
      <c r="F6" s="548" t="s">
        <v>29</v>
      </c>
      <c r="G6" s="56"/>
      <c r="H6" s="56"/>
      <c r="I6" s="56"/>
      <c r="J6" s="56" t="str">
        <f t="shared" ref="J6:O6" si="0">IF(J7=0,"","RECHECK")</f>
        <v/>
      </c>
      <c r="K6" s="56" t="str">
        <f t="shared" si="0"/>
        <v/>
      </c>
      <c r="L6" s="56" t="str">
        <f t="shared" si="0"/>
        <v/>
      </c>
      <c r="M6" s="56" t="str">
        <f t="shared" si="0"/>
        <v/>
      </c>
      <c r="N6" s="56" t="str">
        <f t="shared" si="0"/>
        <v/>
      </c>
      <c r="O6" s="56" t="str">
        <f t="shared" si="0"/>
        <v/>
      </c>
      <c r="P6" s="56"/>
      <c r="Q6" s="56" t="str">
        <f t="shared" ref="Q6:AV6" si="1">IF(Q7=0,"","RECHECK")</f>
        <v/>
      </c>
      <c r="R6" s="56" t="str">
        <f t="shared" si="1"/>
        <v/>
      </c>
      <c r="S6" s="56" t="str">
        <f t="shared" si="1"/>
        <v/>
      </c>
      <c r="T6" s="56" t="str">
        <f t="shared" si="1"/>
        <v/>
      </c>
      <c r="U6" s="56" t="str">
        <f t="shared" si="1"/>
        <v/>
      </c>
      <c r="V6" s="56" t="str">
        <f t="shared" si="1"/>
        <v/>
      </c>
      <c r="W6" s="56" t="str">
        <f t="shared" si="1"/>
        <v/>
      </c>
      <c r="X6" s="56" t="str">
        <f t="shared" si="1"/>
        <v/>
      </c>
      <c r="Y6" s="56" t="str">
        <f t="shared" si="1"/>
        <v/>
      </c>
      <c r="Z6" s="56"/>
      <c r="AA6" s="56" t="str">
        <f t="shared" si="1"/>
        <v/>
      </c>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ref="AW6:CB6" si="2">IF(AW7=0,"","RECHECK")</f>
        <v/>
      </c>
      <c r="AX6" s="56" t="str">
        <f t="shared" si="2"/>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ref="CC6:DH6" si="3">IF(CC7=0,"","RECHECK")</f>
        <v/>
      </c>
      <c r="CD6" s="56" t="str">
        <f t="shared" si="3"/>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ref="DI6:EN6" si="4">IF(DI7=0,"","RECHECK")</f>
        <v/>
      </c>
      <c r="DJ6" s="56" t="str">
        <f t="shared" si="4"/>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ref="EO6:FP6" si="5">IF(EO7=0,"","RECHECK")</f>
        <v/>
      </c>
      <c r="EP6" s="56" t="str">
        <f t="shared" si="5"/>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row>
    <row r="7" spans="1:179" s="53" customFormat="1" ht="14.25" thickTop="1" thickBot="1" x14ac:dyDescent="0.25">
      <c r="A7" s="54"/>
      <c r="B7" s="542"/>
      <c r="C7" s="545"/>
      <c r="D7" s="576"/>
      <c r="E7" s="545"/>
      <c r="F7" s="549"/>
      <c r="G7" s="535">
        <f t="shared" ref="G7:AL7" si="6">SUBTOTAL(9,G10:G162)</f>
        <v>0</v>
      </c>
      <c r="H7" s="533">
        <f t="shared" si="6"/>
        <v>0</v>
      </c>
      <c r="I7" s="533">
        <f t="shared" si="6"/>
        <v>0</v>
      </c>
      <c r="J7" s="533">
        <f t="shared" si="6"/>
        <v>0</v>
      </c>
      <c r="K7" s="533">
        <f t="shared" si="6"/>
        <v>0</v>
      </c>
      <c r="L7" s="533">
        <f t="shared" si="6"/>
        <v>0</v>
      </c>
      <c r="M7" s="533">
        <f t="shared" si="6"/>
        <v>0</v>
      </c>
      <c r="N7" s="533">
        <f t="shared" si="6"/>
        <v>0</v>
      </c>
      <c r="O7" s="533">
        <f t="shared" si="6"/>
        <v>0</v>
      </c>
      <c r="P7" s="533">
        <f t="shared" si="6"/>
        <v>0</v>
      </c>
      <c r="Q7" s="533">
        <f t="shared" si="6"/>
        <v>0</v>
      </c>
      <c r="R7" s="533">
        <f t="shared" si="6"/>
        <v>0</v>
      </c>
      <c r="S7" s="533">
        <f t="shared" si="6"/>
        <v>0</v>
      </c>
      <c r="T7" s="533">
        <f t="shared" si="6"/>
        <v>0</v>
      </c>
      <c r="U7" s="533">
        <f t="shared" si="6"/>
        <v>0</v>
      </c>
      <c r="V7" s="533">
        <f t="shared" si="6"/>
        <v>0</v>
      </c>
      <c r="W7" s="533">
        <f t="shared" si="6"/>
        <v>0</v>
      </c>
      <c r="X7" s="533">
        <f t="shared" si="6"/>
        <v>0</v>
      </c>
      <c r="Y7" s="533">
        <f t="shared" si="6"/>
        <v>0</v>
      </c>
      <c r="Z7" s="533">
        <f t="shared" si="6"/>
        <v>0</v>
      </c>
      <c r="AA7" s="533">
        <f t="shared" si="6"/>
        <v>0</v>
      </c>
      <c r="AB7" s="533">
        <f t="shared" si="6"/>
        <v>0</v>
      </c>
      <c r="AC7" s="533">
        <f t="shared" si="6"/>
        <v>0</v>
      </c>
      <c r="AD7" s="533">
        <f t="shared" si="6"/>
        <v>0</v>
      </c>
      <c r="AE7" s="533">
        <f t="shared" si="6"/>
        <v>0</v>
      </c>
      <c r="AF7" s="533">
        <f t="shared" si="6"/>
        <v>0</v>
      </c>
      <c r="AG7" s="533">
        <f t="shared" si="6"/>
        <v>0</v>
      </c>
      <c r="AH7" s="533">
        <f t="shared" si="6"/>
        <v>0</v>
      </c>
      <c r="AI7" s="533">
        <f t="shared" si="6"/>
        <v>0</v>
      </c>
      <c r="AJ7" s="533">
        <f t="shared" si="6"/>
        <v>0</v>
      </c>
      <c r="AK7" s="533">
        <f t="shared" si="6"/>
        <v>0</v>
      </c>
      <c r="AL7" s="533">
        <f t="shared" si="6"/>
        <v>0</v>
      </c>
      <c r="AM7" s="533">
        <f t="shared" ref="AM7:BR7" si="7">SUBTOTAL(9,AM10:AM162)</f>
        <v>0</v>
      </c>
      <c r="AN7" s="533">
        <f t="shared" si="7"/>
        <v>0</v>
      </c>
      <c r="AO7" s="533">
        <f t="shared" si="7"/>
        <v>0</v>
      </c>
      <c r="AP7" s="533">
        <f t="shared" si="7"/>
        <v>0</v>
      </c>
      <c r="AQ7" s="533">
        <f t="shared" si="7"/>
        <v>0</v>
      </c>
      <c r="AR7" s="533">
        <f t="shared" si="7"/>
        <v>0</v>
      </c>
      <c r="AS7" s="533">
        <f t="shared" si="7"/>
        <v>0</v>
      </c>
      <c r="AT7" s="533">
        <f t="shared" si="7"/>
        <v>0</v>
      </c>
      <c r="AU7" s="533">
        <f t="shared" si="7"/>
        <v>0</v>
      </c>
      <c r="AV7" s="533">
        <f t="shared" si="7"/>
        <v>0</v>
      </c>
      <c r="AW7" s="533">
        <f t="shared" si="7"/>
        <v>0</v>
      </c>
      <c r="AX7" s="533">
        <f t="shared" si="7"/>
        <v>0</v>
      </c>
      <c r="AY7" s="533">
        <f t="shared" si="7"/>
        <v>0</v>
      </c>
      <c r="AZ7" s="533">
        <f t="shared" si="7"/>
        <v>0</v>
      </c>
      <c r="BA7" s="533">
        <f t="shared" si="7"/>
        <v>0</v>
      </c>
      <c r="BB7" s="533">
        <f t="shared" si="7"/>
        <v>0</v>
      </c>
      <c r="BC7" s="533">
        <f t="shared" si="7"/>
        <v>0</v>
      </c>
      <c r="BD7" s="533">
        <f t="shared" si="7"/>
        <v>0</v>
      </c>
      <c r="BE7" s="533">
        <f t="shared" si="7"/>
        <v>0</v>
      </c>
      <c r="BF7" s="533">
        <f t="shared" si="7"/>
        <v>0</v>
      </c>
      <c r="BG7" s="533">
        <f t="shared" si="7"/>
        <v>0</v>
      </c>
      <c r="BH7" s="533">
        <f t="shared" si="7"/>
        <v>0</v>
      </c>
      <c r="BI7" s="533">
        <f t="shared" si="7"/>
        <v>0</v>
      </c>
      <c r="BJ7" s="533">
        <f t="shared" si="7"/>
        <v>0</v>
      </c>
      <c r="BK7" s="533">
        <f t="shared" si="7"/>
        <v>0</v>
      </c>
      <c r="BL7" s="533">
        <f t="shared" si="7"/>
        <v>0</v>
      </c>
      <c r="BM7" s="533">
        <f t="shared" si="7"/>
        <v>0</v>
      </c>
      <c r="BN7" s="533">
        <f t="shared" si="7"/>
        <v>0</v>
      </c>
      <c r="BO7" s="533">
        <f t="shared" si="7"/>
        <v>0</v>
      </c>
      <c r="BP7" s="533">
        <f t="shared" si="7"/>
        <v>0</v>
      </c>
      <c r="BQ7" s="533">
        <f t="shared" si="7"/>
        <v>0</v>
      </c>
      <c r="BR7" s="533">
        <f t="shared" si="7"/>
        <v>0</v>
      </c>
      <c r="BS7" s="533">
        <f t="shared" ref="BS7:CX7" si="8">SUBTOTAL(9,BS10:BS162)</f>
        <v>0</v>
      </c>
      <c r="BT7" s="533">
        <f t="shared" si="8"/>
        <v>0</v>
      </c>
      <c r="BU7" s="533">
        <f t="shared" si="8"/>
        <v>0</v>
      </c>
      <c r="BV7" s="533">
        <f t="shared" si="8"/>
        <v>0</v>
      </c>
      <c r="BW7" s="533">
        <f t="shared" si="8"/>
        <v>0</v>
      </c>
      <c r="BX7" s="533">
        <f t="shared" si="8"/>
        <v>0</v>
      </c>
      <c r="BY7" s="533">
        <f t="shared" si="8"/>
        <v>0</v>
      </c>
      <c r="BZ7" s="533">
        <f t="shared" si="8"/>
        <v>0</v>
      </c>
      <c r="CA7" s="533">
        <f t="shared" si="8"/>
        <v>0</v>
      </c>
      <c r="CB7" s="533">
        <f t="shared" si="8"/>
        <v>0</v>
      </c>
      <c r="CC7" s="533">
        <f t="shared" si="8"/>
        <v>0</v>
      </c>
      <c r="CD7" s="533">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ref="CY7:ED7" si="9">SUBTOTAL(9,CY10:CY162)</f>
        <v>0</v>
      </c>
      <c r="CZ7" s="537">
        <f t="shared" si="9"/>
        <v>0</v>
      </c>
      <c r="DA7" s="537">
        <f t="shared" si="9"/>
        <v>0</v>
      </c>
      <c r="DB7" s="537">
        <f t="shared" si="9"/>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ref="EE7:FJ7" si="10">SUBTOTAL(9,EE10:EE162)</f>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si="10"/>
        <v>0</v>
      </c>
      <c r="ES7" s="537">
        <f t="shared" si="10"/>
        <v>0</v>
      </c>
      <c r="ET7" s="537">
        <f t="shared" si="10"/>
        <v>0</v>
      </c>
      <c r="EU7" s="537">
        <f t="shared" si="10"/>
        <v>0</v>
      </c>
      <c r="EV7" s="537">
        <f t="shared" si="10"/>
        <v>0</v>
      </c>
      <c r="EW7" s="537">
        <f t="shared" si="10"/>
        <v>0</v>
      </c>
      <c r="EX7" s="537">
        <f t="shared" si="10"/>
        <v>0</v>
      </c>
      <c r="EY7" s="537">
        <f t="shared" si="10"/>
        <v>0</v>
      </c>
      <c r="EZ7" s="537">
        <f t="shared" si="10"/>
        <v>0</v>
      </c>
      <c r="FA7" s="537">
        <f t="shared" si="10"/>
        <v>0</v>
      </c>
      <c r="FB7" s="537">
        <f t="shared" si="10"/>
        <v>0</v>
      </c>
      <c r="FC7" s="537">
        <f t="shared" si="10"/>
        <v>0</v>
      </c>
      <c r="FD7" s="537">
        <f t="shared" si="10"/>
        <v>0</v>
      </c>
      <c r="FE7" s="537">
        <f t="shared" si="10"/>
        <v>0</v>
      </c>
      <c r="FF7" s="537">
        <f t="shared" si="10"/>
        <v>0</v>
      </c>
      <c r="FG7" s="537">
        <f t="shared" si="10"/>
        <v>0</v>
      </c>
      <c r="FH7" s="537">
        <f t="shared" si="10"/>
        <v>0</v>
      </c>
      <c r="FI7" s="537">
        <f t="shared" si="10"/>
        <v>0</v>
      </c>
      <c r="FJ7" s="537">
        <f t="shared" si="10"/>
        <v>0</v>
      </c>
      <c r="FK7" s="537">
        <f t="shared" ref="FK7:FP7" si="11">SUBTOTAL(9,FK10:FK162)</f>
        <v>0</v>
      </c>
      <c r="FL7" s="537">
        <f t="shared" si="11"/>
        <v>0</v>
      </c>
      <c r="FM7" s="537">
        <f t="shared" si="11"/>
        <v>0</v>
      </c>
      <c r="FN7" s="537">
        <f t="shared" si="11"/>
        <v>0</v>
      </c>
      <c r="FO7" s="537">
        <f t="shared" si="11"/>
        <v>0</v>
      </c>
      <c r="FP7" s="537">
        <f t="shared" si="11"/>
        <v>0</v>
      </c>
    </row>
    <row r="8" spans="1:179" s="26" customFormat="1" ht="14.25" thickTop="1" thickBot="1" x14ac:dyDescent="0.25">
      <c r="A8" s="52" t="s">
        <v>30</v>
      </c>
      <c r="B8" s="543"/>
      <c r="C8" s="51" t="s">
        <v>31</v>
      </c>
      <c r="D8" s="50" t="s">
        <v>32</v>
      </c>
      <c r="E8" s="49" t="s">
        <v>130</v>
      </c>
      <c r="F8" s="550"/>
      <c r="G8" s="536"/>
      <c r="H8" s="534"/>
      <c r="I8" s="534"/>
      <c r="J8" s="534"/>
      <c r="K8" s="534"/>
      <c r="L8" s="534"/>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row>
    <row r="9" spans="1:179" s="40" customFormat="1" ht="12.75" customHeight="1" thickTop="1" x14ac:dyDescent="0.2">
      <c r="A9" s="48"/>
      <c r="B9" s="47"/>
      <c r="C9" s="45"/>
      <c r="D9" s="92"/>
      <c r="E9" s="45"/>
      <c r="F9" s="44"/>
      <c r="G9" s="43"/>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row>
    <row r="10" spans="1:179" s="27" customFormat="1" x14ac:dyDescent="0.2">
      <c r="A10" s="38"/>
      <c r="B10" s="39"/>
      <c r="C10" s="90" t="s">
        <v>182</v>
      </c>
      <c r="D10" s="3" t="s">
        <v>1980</v>
      </c>
      <c r="E10" s="91">
        <f t="shared" ref="E10:E41" si="12">SUM(G10:HI10)</f>
        <v>-1</v>
      </c>
      <c r="F10" s="35"/>
      <c r="G10" s="129"/>
      <c r="H10" s="298">
        <v>-1</v>
      </c>
      <c r="I10" s="298"/>
      <c r="J10" s="298"/>
      <c r="K10" s="298"/>
      <c r="L10" s="298"/>
      <c r="M10" s="298"/>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row>
    <row r="11" spans="1:179" s="27" customFormat="1" x14ac:dyDescent="0.2">
      <c r="A11" s="38"/>
      <c r="B11" s="39"/>
      <c r="C11" s="90" t="s">
        <v>182</v>
      </c>
      <c r="D11" s="104" t="s">
        <v>3020</v>
      </c>
      <c r="E11" s="91">
        <f t="shared" si="12"/>
        <v>1</v>
      </c>
      <c r="F11" s="35"/>
      <c r="G11" s="129"/>
      <c r="H11" s="298">
        <v>1</v>
      </c>
      <c r="I11" s="298"/>
      <c r="J11" s="298"/>
      <c r="K11" s="301"/>
      <c r="L11" s="298"/>
      <c r="M11" s="298"/>
      <c r="N11" s="299"/>
      <c r="O11" s="299"/>
      <c r="P11" s="299"/>
      <c r="Q11" s="302"/>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row>
    <row r="12" spans="1:179" s="27" customFormat="1" x14ac:dyDescent="0.2">
      <c r="A12" s="38"/>
      <c r="B12" s="39"/>
      <c r="C12" s="90" t="s">
        <v>182</v>
      </c>
      <c r="D12" s="104" t="s">
        <v>361</v>
      </c>
      <c r="E12" s="91">
        <f t="shared" si="12"/>
        <v>-1</v>
      </c>
      <c r="F12" s="35"/>
      <c r="G12" s="129"/>
      <c r="H12" s="298"/>
      <c r="I12" s="301">
        <v>-1</v>
      </c>
      <c r="J12" s="300"/>
      <c r="K12" s="300"/>
      <c r="L12" s="300"/>
      <c r="M12" s="298"/>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row>
    <row r="13" spans="1:179" s="27" customFormat="1" x14ac:dyDescent="0.2">
      <c r="A13" s="38"/>
      <c r="B13" s="39"/>
      <c r="C13" s="90" t="s">
        <v>182</v>
      </c>
      <c r="D13" s="104" t="s">
        <v>2371</v>
      </c>
      <c r="E13" s="91">
        <f t="shared" si="12"/>
        <v>1</v>
      </c>
      <c r="F13" s="35"/>
      <c r="G13" s="129"/>
      <c r="H13" s="298"/>
      <c r="I13" s="300">
        <v>1</v>
      </c>
      <c r="J13" s="300"/>
      <c r="K13" s="300"/>
      <c r="L13" s="301"/>
      <c r="M13" s="298"/>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row>
    <row r="14" spans="1:179" s="27" customFormat="1" x14ac:dyDescent="0.2">
      <c r="A14" s="38"/>
      <c r="B14" s="39"/>
      <c r="C14" s="90" t="s">
        <v>182</v>
      </c>
      <c r="D14" s="3" t="s">
        <v>2075</v>
      </c>
      <c r="E14" s="91">
        <f t="shared" si="12"/>
        <v>-1</v>
      </c>
      <c r="F14" s="35"/>
      <c r="G14" s="129"/>
      <c r="H14" s="298"/>
      <c r="I14" s="300"/>
      <c r="J14" s="300">
        <v>-1</v>
      </c>
      <c r="K14" s="300"/>
      <c r="L14" s="300"/>
      <c r="M14" s="298"/>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row>
    <row r="15" spans="1:179" s="27" customFormat="1" x14ac:dyDescent="0.2">
      <c r="A15" s="38"/>
      <c r="B15" s="39"/>
      <c r="C15" s="90" t="s">
        <v>182</v>
      </c>
      <c r="D15" s="3" t="s">
        <v>2076</v>
      </c>
      <c r="E15" s="91">
        <f t="shared" si="12"/>
        <v>0</v>
      </c>
      <c r="F15" s="35"/>
      <c r="G15" s="121"/>
      <c r="H15" s="300"/>
      <c r="I15" s="300"/>
      <c r="J15" s="300">
        <v>1</v>
      </c>
      <c r="K15" s="300"/>
      <c r="L15" s="300">
        <v>-1</v>
      </c>
      <c r="M15" s="298"/>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row>
    <row r="16" spans="1:179" s="27" customFormat="1" x14ac:dyDescent="0.2">
      <c r="A16" s="38"/>
      <c r="B16" s="39"/>
      <c r="C16" s="90" t="s">
        <v>182</v>
      </c>
      <c r="D16" s="9" t="s">
        <v>3021</v>
      </c>
      <c r="E16" s="91">
        <f t="shared" si="12"/>
        <v>0</v>
      </c>
      <c r="F16" s="35"/>
      <c r="G16" s="121"/>
      <c r="H16" s="301"/>
      <c r="I16" s="301"/>
      <c r="J16" s="301"/>
      <c r="K16" s="300"/>
      <c r="L16" s="301"/>
      <c r="M16" s="297"/>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c r="BD16" s="299"/>
      <c r="BE16" s="299"/>
      <c r="BF16" s="299"/>
      <c r="BG16" s="299"/>
      <c r="BH16" s="299"/>
      <c r="BI16" s="299"/>
      <c r="BJ16" s="299"/>
      <c r="BK16" s="299"/>
      <c r="BL16" s="299"/>
      <c r="BM16" s="299"/>
      <c r="BN16" s="299"/>
      <c r="BO16" s="299"/>
      <c r="BP16" s="299"/>
      <c r="BQ16" s="299"/>
      <c r="BR16" s="299"/>
      <c r="BS16" s="299"/>
      <c r="BT16" s="299"/>
      <c r="BU16" s="299"/>
      <c r="BV16" s="299"/>
      <c r="BW16" s="299"/>
      <c r="BX16" s="299"/>
      <c r="BY16" s="299"/>
      <c r="BZ16" s="299"/>
      <c r="CA16" s="299"/>
      <c r="CB16" s="299"/>
      <c r="CC16" s="299"/>
      <c r="CD16" s="299"/>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row>
    <row r="17" spans="1:172" s="27" customFormat="1" ht="13.5" customHeight="1" x14ac:dyDescent="0.2">
      <c r="A17" s="38"/>
      <c r="B17" s="39"/>
      <c r="C17" s="90" t="s">
        <v>182</v>
      </c>
      <c r="D17" s="93" t="s">
        <v>2382</v>
      </c>
      <c r="E17" s="91">
        <f t="shared" si="12"/>
        <v>0</v>
      </c>
      <c r="F17" s="35"/>
      <c r="G17" s="121"/>
      <c r="H17" s="297"/>
      <c r="I17" s="301"/>
      <c r="J17" s="301"/>
      <c r="K17" s="301"/>
      <c r="L17" s="301"/>
      <c r="M17" s="298"/>
      <c r="N17" s="302"/>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row>
    <row r="18" spans="1:172" s="27" customFormat="1" x14ac:dyDescent="0.2">
      <c r="A18" s="38"/>
      <c r="B18" s="39"/>
      <c r="C18" s="90" t="s">
        <v>182</v>
      </c>
      <c r="D18" s="9" t="s">
        <v>2287</v>
      </c>
      <c r="E18" s="91">
        <f t="shared" si="12"/>
        <v>1</v>
      </c>
      <c r="F18" s="35"/>
      <c r="G18" s="121"/>
      <c r="H18" s="297"/>
      <c r="I18" s="301"/>
      <c r="J18" s="301"/>
      <c r="K18" s="301"/>
      <c r="L18" s="301">
        <v>1</v>
      </c>
      <c r="M18" s="297"/>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row>
    <row r="19" spans="1:172" s="27" customFormat="1" x14ac:dyDescent="0.2">
      <c r="A19" s="38"/>
      <c r="B19" s="39"/>
      <c r="C19" s="90" t="s">
        <v>182</v>
      </c>
      <c r="D19" s="9" t="s">
        <v>3022</v>
      </c>
      <c r="E19" s="91">
        <f t="shared" si="12"/>
        <v>-1</v>
      </c>
      <c r="F19" s="35"/>
      <c r="G19" s="121"/>
      <c r="H19" s="297"/>
      <c r="I19" s="301"/>
      <c r="J19" s="301"/>
      <c r="K19" s="301"/>
      <c r="L19" s="301"/>
      <c r="M19" s="297">
        <v>-1</v>
      </c>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299"/>
      <c r="CD19" s="299"/>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row>
    <row r="20" spans="1:172" s="27" customFormat="1" x14ac:dyDescent="0.2">
      <c r="A20" s="38"/>
      <c r="B20" s="39"/>
      <c r="C20" s="90" t="s">
        <v>182</v>
      </c>
      <c r="D20" s="9" t="s">
        <v>2435</v>
      </c>
      <c r="E20" s="91">
        <f t="shared" si="12"/>
        <v>1</v>
      </c>
      <c r="F20" s="35"/>
      <c r="G20" s="121"/>
      <c r="H20" s="297"/>
      <c r="I20" s="301"/>
      <c r="J20" s="301"/>
      <c r="K20" s="301"/>
      <c r="L20" s="301"/>
      <c r="M20" s="297">
        <v>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row>
    <row r="21" spans="1:172" s="27" customFormat="1" x14ac:dyDescent="0.2">
      <c r="A21" s="38"/>
      <c r="B21" s="39"/>
      <c r="C21" s="90" t="s">
        <v>182</v>
      </c>
      <c r="D21" s="9" t="s">
        <v>3023</v>
      </c>
      <c r="E21" s="91">
        <f t="shared" si="12"/>
        <v>0</v>
      </c>
      <c r="F21" s="35"/>
      <c r="G21" s="121"/>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row>
    <row r="22" spans="1:172" s="27" customFormat="1" x14ac:dyDescent="0.2">
      <c r="B22" s="39"/>
      <c r="C22" s="90" t="s">
        <v>182</v>
      </c>
      <c r="D22" s="3" t="s">
        <v>2443</v>
      </c>
      <c r="E22" s="91">
        <f t="shared" si="12"/>
        <v>0</v>
      </c>
      <c r="F22" s="35"/>
      <c r="G22" s="121"/>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2"/>
      <c r="BK22" s="302"/>
      <c r="BL22" s="302"/>
      <c r="BM22" s="302"/>
      <c r="BN22" s="302"/>
      <c r="BO22" s="302"/>
      <c r="BP22" s="302"/>
      <c r="BQ22" s="302"/>
      <c r="BR22" s="302"/>
      <c r="BS22" s="302"/>
      <c r="BT22" s="302"/>
      <c r="BU22" s="302"/>
      <c r="BV22" s="302"/>
      <c r="BW22" s="302"/>
      <c r="BX22" s="302"/>
      <c r="BY22" s="302"/>
      <c r="BZ22" s="302"/>
      <c r="CA22" s="302"/>
      <c r="CB22" s="302"/>
      <c r="CC22" s="302"/>
      <c r="CD22" s="302"/>
    </row>
    <row r="23" spans="1:172" s="27" customFormat="1" x14ac:dyDescent="0.2">
      <c r="B23" s="39"/>
      <c r="C23" s="90" t="s">
        <v>182</v>
      </c>
      <c r="D23" s="93" t="s">
        <v>2448</v>
      </c>
      <c r="E23" s="91">
        <f t="shared" si="12"/>
        <v>0</v>
      </c>
      <c r="F23" s="35"/>
      <c r="G23" s="121"/>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2"/>
      <c r="BK23" s="302"/>
      <c r="BL23" s="302"/>
      <c r="BM23" s="302"/>
      <c r="BN23" s="302"/>
      <c r="BO23" s="302"/>
      <c r="BP23" s="302"/>
      <c r="BQ23" s="302"/>
      <c r="BR23" s="302"/>
      <c r="BS23" s="302"/>
      <c r="BT23" s="302"/>
      <c r="BU23" s="302"/>
      <c r="BV23" s="302"/>
      <c r="BW23" s="302"/>
      <c r="BX23" s="302"/>
      <c r="BY23" s="302"/>
      <c r="BZ23" s="302"/>
      <c r="CA23" s="302"/>
      <c r="CB23" s="302"/>
      <c r="CC23" s="302"/>
      <c r="CD23" s="302"/>
    </row>
    <row r="24" spans="1:172" s="27" customFormat="1" x14ac:dyDescent="0.2">
      <c r="B24" s="39"/>
      <c r="C24" s="90" t="s">
        <v>182</v>
      </c>
      <c r="D24" s="3" t="s">
        <v>3024</v>
      </c>
      <c r="E24" s="91">
        <f t="shared" si="12"/>
        <v>-1</v>
      </c>
      <c r="F24" s="35"/>
      <c r="G24" s="121"/>
      <c r="H24" s="302"/>
      <c r="I24" s="302"/>
      <c r="J24" s="302"/>
      <c r="K24" s="302"/>
      <c r="L24" s="302"/>
      <c r="M24" s="302"/>
      <c r="N24" s="302"/>
      <c r="O24" s="302"/>
      <c r="P24" s="302">
        <v>-1</v>
      </c>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2"/>
      <c r="BK24" s="302"/>
      <c r="BL24" s="302"/>
      <c r="BM24" s="302"/>
      <c r="BN24" s="302"/>
      <c r="BO24" s="302"/>
      <c r="BP24" s="302"/>
      <c r="BQ24" s="302"/>
      <c r="BR24" s="302"/>
      <c r="BS24" s="302"/>
      <c r="BT24" s="302"/>
      <c r="BU24" s="302"/>
      <c r="BV24" s="302"/>
      <c r="BW24" s="302"/>
      <c r="BX24" s="302"/>
      <c r="BY24" s="302"/>
      <c r="BZ24" s="302"/>
      <c r="CA24" s="302"/>
      <c r="CB24" s="302"/>
      <c r="CC24" s="302"/>
      <c r="CD24" s="302"/>
    </row>
    <row r="25" spans="1:172" s="27" customFormat="1" x14ac:dyDescent="0.2">
      <c r="B25" s="39"/>
      <c r="C25" s="90" t="s">
        <v>182</v>
      </c>
      <c r="D25" s="3" t="s">
        <v>3025</v>
      </c>
      <c r="E25" s="91">
        <f t="shared" si="12"/>
        <v>1</v>
      </c>
      <c r="F25" s="35"/>
      <c r="G25" s="121"/>
      <c r="H25" s="302"/>
      <c r="I25" s="302"/>
      <c r="J25" s="302"/>
      <c r="K25" s="302"/>
      <c r="L25" s="302"/>
      <c r="M25" s="302"/>
      <c r="N25" s="302"/>
      <c r="O25" s="302"/>
      <c r="P25" s="302">
        <v>1</v>
      </c>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2"/>
      <c r="BK25" s="302"/>
      <c r="BL25" s="302"/>
      <c r="BM25" s="302"/>
      <c r="BN25" s="302"/>
      <c r="BO25" s="302"/>
      <c r="BP25" s="302"/>
      <c r="BQ25" s="302"/>
      <c r="BR25" s="302"/>
      <c r="BS25" s="302"/>
      <c r="BT25" s="302"/>
      <c r="BU25" s="302"/>
      <c r="BV25" s="302"/>
      <c r="BW25" s="302"/>
      <c r="BX25" s="302"/>
      <c r="BY25" s="302"/>
      <c r="BZ25" s="302"/>
      <c r="CA25" s="302"/>
      <c r="CB25" s="302"/>
      <c r="CC25" s="302"/>
      <c r="CD25" s="302"/>
    </row>
    <row r="26" spans="1:172" s="27" customFormat="1" x14ac:dyDescent="0.2">
      <c r="B26" s="39"/>
      <c r="C26" s="90" t="s">
        <v>182</v>
      </c>
      <c r="D26" s="93" t="s">
        <v>3026</v>
      </c>
      <c r="E26" s="91">
        <f t="shared" si="12"/>
        <v>-1</v>
      </c>
      <c r="F26" s="35"/>
      <c r="G26" s="121"/>
      <c r="H26" s="302"/>
      <c r="I26" s="302"/>
      <c r="J26" s="302"/>
      <c r="K26" s="302"/>
      <c r="L26" s="302"/>
      <c r="M26" s="302"/>
      <c r="N26" s="302"/>
      <c r="O26" s="302"/>
      <c r="P26" s="302"/>
      <c r="Q26" s="302"/>
      <c r="R26" s="302">
        <v>-1</v>
      </c>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c r="BW26" s="302"/>
      <c r="BX26" s="302"/>
      <c r="BY26" s="302"/>
      <c r="BZ26" s="302"/>
      <c r="CA26" s="302"/>
      <c r="CB26" s="302"/>
      <c r="CC26" s="302"/>
      <c r="CD26" s="302"/>
    </row>
    <row r="27" spans="1:172" s="27" customFormat="1" x14ac:dyDescent="0.2">
      <c r="B27" s="39"/>
      <c r="C27" s="90" t="s">
        <v>182</v>
      </c>
      <c r="D27" s="93" t="s">
        <v>3027</v>
      </c>
      <c r="E27" s="91">
        <f t="shared" si="12"/>
        <v>1</v>
      </c>
      <c r="F27" s="35"/>
      <c r="G27" s="121"/>
      <c r="H27" s="302"/>
      <c r="I27" s="302"/>
      <c r="J27" s="302"/>
      <c r="K27" s="302"/>
      <c r="L27" s="302"/>
      <c r="M27" s="302"/>
      <c r="N27" s="302"/>
      <c r="O27" s="302"/>
      <c r="P27" s="302"/>
      <c r="Q27" s="302"/>
      <c r="R27" s="302">
        <v>1</v>
      </c>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row>
    <row r="28" spans="1:172" s="27" customFormat="1" x14ac:dyDescent="0.2">
      <c r="B28" s="39"/>
      <c r="C28" s="90" t="s">
        <v>182</v>
      </c>
      <c r="D28" s="3" t="s">
        <v>2483</v>
      </c>
      <c r="E28" s="91">
        <f t="shared" si="12"/>
        <v>-1</v>
      </c>
      <c r="F28" s="35"/>
      <c r="G28" s="121"/>
      <c r="H28" s="302"/>
      <c r="I28" s="302"/>
      <c r="J28" s="302"/>
      <c r="K28" s="302"/>
      <c r="L28" s="302"/>
      <c r="M28" s="302"/>
      <c r="N28" s="302"/>
      <c r="O28" s="302"/>
      <c r="P28" s="302"/>
      <c r="Q28" s="302"/>
      <c r="R28" s="302"/>
      <c r="S28" s="302">
        <v>-1</v>
      </c>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2"/>
      <c r="BK28" s="302"/>
      <c r="BL28" s="302"/>
      <c r="BM28" s="302"/>
      <c r="BN28" s="302"/>
      <c r="BO28" s="302"/>
      <c r="BP28" s="302"/>
      <c r="BQ28" s="302"/>
      <c r="BR28" s="302"/>
      <c r="BS28" s="302"/>
      <c r="BT28" s="302"/>
      <c r="BU28" s="302"/>
      <c r="BV28" s="302"/>
      <c r="BW28" s="302"/>
      <c r="BX28" s="302"/>
      <c r="BY28" s="302"/>
      <c r="BZ28" s="302"/>
      <c r="CA28" s="302"/>
      <c r="CB28" s="302"/>
      <c r="CC28" s="302"/>
      <c r="CD28" s="302"/>
    </row>
    <row r="29" spans="1:172" s="27" customFormat="1" x14ac:dyDescent="0.2">
      <c r="B29" s="39"/>
      <c r="C29" s="90" t="s">
        <v>182</v>
      </c>
      <c r="D29" s="9" t="s">
        <v>3028</v>
      </c>
      <c r="E29" s="91">
        <f t="shared" si="12"/>
        <v>1</v>
      </c>
      <c r="F29" s="35"/>
      <c r="G29" s="121"/>
      <c r="H29" s="302"/>
      <c r="I29" s="302"/>
      <c r="J29" s="302"/>
      <c r="K29" s="302"/>
      <c r="L29" s="302"/>
      <c r="M29" s="302"/>
      <c r="N29" s="302"/>
      <c r="O29" s="302"/>
      <c r="P29" s="302"/>
      <c r="Q29" s="302"/>
      <c r="R29" s="302"/>
      <c r="S29" s="302">
        <v>1</v>
      </c>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row>
    <row r="30" spans="1:172" s="27" customFormat="1" x14ac:dyDescent="0.2">
      <c r="B30" s="39"/>
      <c r="C30" s="90" t="s">
        <v>182</v>
      </c>
      <c r="D30" s="9" t="s">
        <v>1549</v>
      </c>
      <c r="E30" s="91">
        <f t="shared" si="12"/>
        <v>-2</v>
      </c>
      <c r="F30" s="35"/>
      <c r="G30" s="121"/>
      <c r="H30" s="302"/>
      <c r="I30" s="302"/>
      <c r="J30" s="302"/>
      <c r="K30" s="302"/>
      <c r="L30" s="302"/>
      <c r="M30" s="302"/>
      <c r="N30" s="302"/>
      <c r="O30" s="302"/>
      <c r="P30" s="302"/>
      <c r="Q30" s="302"/>
      <c r="R30" s="302"/>
      <c r="S30" s="302"/>
      <c r="T30" s="302">
        <v>-1</v>
      </c>
      <c r="U30" s="302">
        <v>-1</v>
      </c>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row>
    <row r="31" spans="1:172" s="27" customFormat="1" x14ac:dyDescent="0.2">
      <c r="B31" s="39"/>
      <c r="C31" s="90" t="s">
        <v>182</v>
      </c>
      <c r="D31" s="3" t="s">
        <v>3029</v>
      </c>
      <c r="E31" s="91">
        <f t="shared" si="12"/>
        <v>1</v>
      </c>
      <c r="F31" s="35"/>
      <c r="G31" s="121"/>
      <c r="H31" s="302"/>
      <c r="I31" s="302"/>
      <c r="J31" s="302"/>
      <c r="K31" s="302"/>
      <c r="L31" s="302"/>
      <c r="M31" s="302"/>
      <c r="N31" s="302"/>
      <c r="O31" s="302"/>
      <c r="P31" s="302"/>
      <c r="Q31" s="302"/>
      <c r="R31" s="302"/>
      <c r="S31" s="302"/>
      <c r="T31" s="302">
        <v>1</v>
      </c>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row>
    <row r="32" spans="1:172" s="27" customFormat="1" x14ac:dyDescent="0.2">
      <c r="B32" s="39"/>
      <c r="C32" s="90" t="s">
        <v>182</v>
      </c>
      <c r="D32" s="9" t="s">
        <v>3030</v>
      </c>
      <c r="E32" s="91">
        <f t="shared" si="12"/>
        <v>1</v>
      </c>
      <c r="F32" s="35"/>
      <c r="G32" s="121"/>
      <c r="H32" s="302"/>
      <c r="I32" s="302"/>
      <c r="J32" s="302"/>
      <c r="K32" s="302"/>
      <c r="L32" s="302"/>
      <c r="M32" s="302"/>
      <c r="N32" s="302"/>
      <c r="O32" s="302"/>
      <c r="P32" s="302"/>
      <c r="Q32" s="302"/>
      <c r="R32" s="302"/>
      <c r="S32" s="302"/>
      <c r="T32" s="302"/>
      <c r="U32" s="302">
        <v>1</v>
      </c>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row>
    <row r="33" spans="2:82" s="27" customFormat="1" x14ac:dyDescent="0.2">
      <c r="B33" s="39"/>
      <c r="C33" s="90" t="s">
        <v>182</v>
      </c>
      <c r="D33" s="9" t="s">
        <v>2514</v>
      </c>
      <c r="E33" s="91">
        <f t="shared" si="12"/>
        <v>-1</v>
      </c>
      <c r="F33" s="35"/>
      <c r="G33" s="121"/>
      <c r="H33" s="302"/>
      <c r="I33" s="302"/>
      <c r="J33" s="302"/>
      <c r="K33" s="302"/>
      <c r="L33" s="302"/>
      <c r="M33" s="302"/>
      <c r="N33" s="302"/>
      <c r="O33" s="302"/>
      <c r="P33" s="302"/>
      <c r="Q33" s="302"/>
      <c r="R33" s="302"/>
      <c r="S33" s="302"/>
      <c r="T33" s="302"/>
      <c r="U33" s="302"/>
      <c r="V33" s="302">
        <v>-1</v>
      </c>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row>
    <row r="34" spans="2:82" s="27" customFormat="1" x14ac:dyDescent="0.2">
      <c r="B34" s="39"/>
      <c r="C34" s="90" t="s">
        <v>182</v>
      </c>
      <c r="D34" s="9" t="s">
        <v>3031</v>
      </c>
      <c r="E34" s="91">
        <f t="shared" si="12"/>
        <v>1</v>
      </c>
      <c r="F34" s="35"/>
      <c r="G34" s="121"/>
      <c r="H34" s="302"/>
      <c r="I34" s="302"/>
      <c r="J34" s="302"/>
      <c r="K34" s="302"/>
      <c r="L34" s="302"/>
      <c r="M34" s="302"/>
      <c r="N34" s="302"/>
      <c r="O34" s="302"/>
      <c r="P34" s="302"/>
      <c r="Q34" s="302"/>
      <c r="R34" s="302"/>
      <c r="S34" s="302"/>
      <c r="T34" s="302"/>
      <c r="U34" s="302"/>
      <c r="V34" s="302">
        <v>1</v>
      </c>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row>
    <row r="35" spans="2:82" s="27" customFormat="1" x14ac:dyDescent="0.2">
      <c r="B35" s="39"/>
      <c r="C35" s="90" t="s">
        <v>182</v>
      </c>
      <c r="D35" s="9" t="s">
        <v>3032</v>
      </c>
      <c r="E35" s="91">
        <f t="shared" si="12"/>
        <v>-1</v>
      </c>
      <c r="F35" s="35"/>
      <c r="G35" s="121"/>
      <c r="H35" s="302"/>
      <c r="I35" s="302"/>
      <c r="J35" s="302"/>
      <c r="K35" s="302"/>
      <c r="L35" s="302"/>
      <c r="M35" s="302"/>
      <c r="N35" s="302"/>
      <c r="O35" s="302"/>
      <c r="P35" s="302"/>
      <c r="Q35" s="302"/>
      <c r="R35" s="302"/>
      <c r="S35" s="302"/>
      <c r="T35" s="302"/>
      <c r="U35" s="302"/>
      <c r="V35" s="302"/>
      <c r="W35" s="302">
        <v>-1</v>
      </c>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c r="BW35" s="302"/>
      <c r="BX35" s="302"/>
      <c r="BY35" s="302"/>
      <c r="BZ35" s="302"/>
      <c r="CA35" s="302"/>
      <c r="CB35" s="302"/>
      <c r="CC35" s="302"/>
      <c r="CD35" s="302"/>
    </row>
    <row r="36" spans="2:82" s="27" customFormat="1" x14ac:dyDescent="0.2">
      <c r="B36" s="39"/>
      <c r="C36" s="90" t="s">
        <v>182</v>
      </c>
      <c r="D36" s="3" t="s">
        <v>2542</v>
      </c>
      <c r="E36" s="91">
        <f t="shared" si="12"/>
        <v>1</v>
      </c>
      <c r="F36" s="35"/>
      <c r="G36" s="121"/>
      <c r="H36" s="302"/>
      <c r="I36" s="302"/>
      <c r="J36" s="302"/>
      <c r="K36" s="302"/>
      <c r="L36" s="302"/>
      <c r="M36" s="302"/>
      <c r="N36" s="302"/>
      <c r="O36" s="302"/>
      <c r="P36" s="302"/>
      <c r="Q36" s="302"/>
      <c r="R36" s="302"/>
      <c r="S36" s="302"/>
      <c r="T36" s="302"/>
      <c r="U36" s="302"/>
      <c r="V36" s="302"/>
      <c r="W36" s="302">
        <v>1</v>
      </c>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row>
    <row r="37" spans="2:82" s="27" customFormat="1" x14ac:dyDescent="0.2">
      <c r="B37" s="39"/>
      <c r="C37" s="90" t="s">
        <v>182</v>
      </c>
      <c r="D37" s="9" t="s">
        <v>2592</v>
      </c>
      <c r="E37" s="91">
        <f t="shared" si="12"/>
        <v>-1</v>
      </c>
      <c r="F37" s="35"/>
      <c r="G37" s="121"/>
      <c r="H37" s="302"/>
      <c r="I37" s="302"/>
      <c r="J37" s="302"/>
      <c r="K37" s="302"/>
      <c r="L37" s="302"/>
      <c r="M37" s="302"/>
      <c r="N37" s="302"/>
      <c r="O37" s="302"/>
      <c r="P37" s="302"/>
      <c r="Q37" s="302"/>
      <c r="R37" s="302"/>
      <c r="S37" s="302"/>
      <c r="T37" s="302"/>
      <c r="U37" s="302"/>
      <c r="V37" s="302"/>
      <c r="W37" s="302"/>
      <c r="X37" s="302">
        <v>-1</v>
      </c>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row>
    <row r="38" spans="2:82" s="27" customFormat="1" x14ac:dyDescent="0.2">
      <c r="B38" s="39"/>
      <c r="C38" s="90" t="s">
        <v>182</v>
      </c>
      <c r="D38" s="3" t="s">
        <v>2593</v>
      </c>
      <c r="E38" s="91">
        <f t="shared" si="12"/>
        <v>0</v>
      </c>
      <c r="F38" s="35"/>
      <c r="G38" s="121"/>
      <c r="H38" s="302"/>
      <c r="I38" s="302"/>
      <c r="J38" s="302"/>
      <c r="K38" s="302"/>
      <c r="L38" s="302"/>
      <c r="M38" s="302"/>
      <c r="N38" s="302"/>
      <c r="O38" s="302"/>
      <c r="P38" s="302"/>
      <c r="Q38" s="302"/>
      <c r="R38" s="302"/>
      <c r="S38" s="302"/>
      <c r="T38" s="302"/>
      <c r="U38" s="302"/>
      <c r="V38" s="302"/>
      <c r="W38" s="302"/>
      <c r="X38" s="302">
        <v>1</v>
      </c>
      <c r="Y38" s="302">
        <v>-1</v>
      </c>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302"/>
      <c r="BO38" s="302"/>
      <c r="BP38" s="302"/>
      <c r="BQ38" s="302"/>
      <c r="BR38" s="302"/>
      <c r="BS38" s="302"/>
      <c r="BT38" s="302"/>
      <c r="BU38" s="302"/>
      <c r="BV38" s="302"/>
      <c r="BW38" s="302"/>
      <c r="BX38" s="302"/>
      <c r="BY38" s="302"/>
      <c r="BZ38" s="302"/>
      <c r="CA38" s="302"/>
      <c r="CB38" s="302"/>
      <c r="CC38" s="302"/>
      <c r="CD38" s="302"/>
    </row>
    <row r="39" spans="2:82" s="27" customFormat="1" x14ac:dyDescent="0.2">
      <c r="B39" s="39"/>
      <c r="C39" s="90" t="s">
        <v>182</v>
      </c>
      <c r="D39" s="3" t="s">
        <v>8603</v>
      </c>
      <c r="E39" s="91">
        <f t="shared" si="12"/>
        <v>1</v>
      </c>
      <c r="F39" s="35"/>
      <c r="G39" s="121"/>
      <c r="H39" s="302"/>
      <c r="I39" s="302"/>
      <c r="J39" s="302"/>
      <c r="K39" s="302"/>
      <c r="L39" s="302"/>
      <c r="M39" s="302"/>
      <c r="N39" s="302"/>
      <c r="O39" s="302"/>
      <c r="P39" s="302"/>
      <c r="Q39" s="302"/>
      <c r="R39" s="302"/>
      <c r="S39" s="302"/>
      <c r="T39" s="302"/>
      <c r="U39" s="302"/>
      <c r="V39" s="302"/>
      <c r="W39" s="302"/>
      <c r="X39" s="302"/>
      <c r="Y39" s="302">
        <v>1</v>
      </c>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302"/>
      <c r="BO39" s="302"/>
      <c r="BP39" s="302"/>
      <c r="BQ39" s="302"/>
      <c r="BR39" s="302"/>
      <c r="BS39" s="302"/>
      <c r="BT39" s="302"/>
      <c r="BU39" s="302"/>
      <c r="BV39" s="302"/>
      <c r="BW39" s="302"/>
      <c r="BX39" s="302"/>
      <c r="BY39" s="302"/>
      <c r="BZ39" s="302"/>
      <c r="CA39" s="302"/>
      <c r="CB39" s="302"/>
      <c r="CC39" s="302"/>
      <c r="CD39" s="302"/>
    </row>
    <row r="40" spans="2:82" s="27" customFormat="1" x14ac:dyDescent="0.2">
      <c r="B40" s="39"/>
      <c r="C40" s="90">
        <f t="shared" ref="C40:C59" si="13">E40*D$5</f>
        <v>0</v>
      </c>
      <c r="D40" s="93"/>
      <c r="E40" s="91">
        <f t="shared" si="12"/>
        <v>0</v>
      </c>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302"/>
      <c r="BO40" s="302"/>
      <c r="BP40" s="302"/>
      <c r="BQ40" s="302"/>
      <c r="BR40" s="302"/>
      <c r="BS40" s="302"/>
      <c r="BT40" s="302"/>
      <c r="BU40" s="302"/>
      <c r="BV40" s="302"/>
      <c r="BW40" s="302"/>
      <c r="BX40" s="302"/>
      <c r="BY40" s="302"/>
      <c r="BZ40" s="302"/>
      <c r="CA40" s="302"/>
      <c r="CB40" s="302"/>
      <c r="CC40" s="302"/>
      <c r="CD40" s="302"/>
    </row>
    <row r="41" spans="2:82" s="27" customFormat="1" x14ac:dyDescent="0.2">
      <c r="B41" s="37"/>
      <c r="C41" s="90">
        <f t="shared" si="13"/>
        <v>0</v>
      </c>
      <c r="D41" s="3"/>
      <c r="E41" s="91">
        <f t="shared" si="12"/>
        <v>0</v>
      </c>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s="302"/>
      <c r="BP41" s="302"/>
      <c r="BQ41" s="302"/>
      <c r="BR41" s="302"/>
      <c r="BS41" s="302"/>
      <c r="BT41" s="302"/>
      <c r="BU41" s="302"/>
      <c r="BV41" s="302"/>
      <c r="BW41" s="302"/>
      <c r="BX41" s="302"/>
      <c r="BY41" s="302"/>
      <c r="BZ41" s="302"/>
      <c r="CA41" s="302"/>
      <c r="CB41" s="302"/>
      <c r="CC41" s="302"/>
      <c r="CD41" s="302"/>
    </row>
    <row r="42" spans="2:82" s="27" customFormat="1" x14ac:dyDescent="0.2">
      <c r="B42" s="37"/>
      <c r="C42" s="90">
        <f t="shared" si="13"/>
        <v>0</v>
      </c>
      <c r="D42" s="3"/>
      <c r="E42" s="91">
        <f t="shared" ref="E42:E73" si="14">SUM(G42:HI42)</f>
        <v>0</v>
      </c>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row>
    <row r="43" spans="2:82" s="27" customFormat="1" x14ac:dyDescent="0.2">
      <c r="B43" s="37"/>
      <c r="C43" s="90">
        <f t="shared" si="13"/>
        <v>0</v>
      </c>
      <c r="D43" s="3"/>
      <c r="E43" s="91">
        <f t="shared" si="14"/>
        <v>0</v>
      </c>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302"/>
      <c r="BO43" s="302"/>
      <c r="BP43" s="302"/>
      <c r="BQ43" s="302"/>
      <c r="BR43" s="302"/>
      <c r="BS43" s="302"/>
      <c r="BT43" s="302"/>
      <c r="BU43" s="302"/>
      <c r="BV43" s="302"/>
      <c r="BW43" s="302"/>
      <c r="BX43" s="302"/>
      <c r="BY43" s="302"/>
      <c r="BZ43" s="302"/>
      <c r="CA43" s="302"/>
      <c r="CB43" s="302"/>
      <c r="CC43" s="302"/>
      <c r="CD43" s="302"/>
    </row>
    <row r="44" spans="2:82" s="27" customFormat="1" x14ac:dyDescent="0.2">
      <c r="B44" s="37"/>
      <c r="C44" s="90">
        <f t="shared" si="13"/>
        <v>0</v>
      </c>
      <c r="D44" s="3"/>
      <c r="E44" s="91">
        <f t="shared" si="14"/>
        <v>0</v>
      </c>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row>
    <row r="45" spans="2:82" s="27" customFormat="1" x14ac:dyDescent="0.2">
      <c r="B45" s="37"/>
      <c r="C45" s="90">
        <f t="shared" si="13"/>
        <v>0</v>
      </c>
      <c r="D45" s="3"/>
      <c r="E45" s="91">
        <f t="shared" si="14"/>
        <v>0</v>
      </c>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row>
    <row r="46" spans="2:82" s="27" customFormat="1" x14ac:dyDescent="0.2">
      <c r="B46" s="37"/>
      <c r="C46" s="90">
        <f t="shared" si="13"/>
        <v>0</v>
      </c>
      <c r="D46" s="3"/>
      <c r="E46" s="91">
        <f t="shared" si="14"/>
        <v>0</v>
      </c>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row>
    <row r="47" spans="2:82" s="27" customFormat="1" x14ac:dyDescent="0.2">
      <c r="B47" s="37"/>
      <c r="C47" s="90">
        <f t="shared" si="13"/>
        <v>0</v>
      </c>
      <c r="D47" s="93"/>
      <c r="E47" s="91">
        <f t="shared" si="14"/>
        <v>0</v>
      </c>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row>
    <row r="48" spans="2:82" s="27" customFormat="1" x14ac:dyDescent="0.2">
      <c r="B48" s="37"/>
      <c r="C48" s="90">
        <f t="shared" si="13"/>
        <v>0</v>
      </c>
      <c r="D48" s="93"/>
      <c r="E48" s="91">
        <f t="shared" si="14"/>
        <v>0</v>
      </c>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row>
    <row r="49" spans="2:82" s="27" customFormat="1" x14ac:dyDescent="0.2">
      <c r="B49" s="37"/>
      <c r="C49" s="90">
        <f t="shared" si="13"/>
        <v>0</v>
      </c>
      <c r="D49" s="3"/>
      <c r="E49" s="91">
        <f t="shared" si="14"/>
        <v>0</v>
      </c>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302"/>
      <c r="BO49" s="302"/>
      <c r="BP49" s="302"/>
      <c r="BQ49" s="302"/>
      <c r="BR49" s="302"/>
      <c r="BS49" s="302"/>
      <c r="BT49" s="302"/>
      <c r="BU49" s="302"/>
      <c r="BV49" s="302"/>
      <c r="BW49" s="302"/>
      <c r="BX49" s="302"/>
      <c r="BY49" s="302"/>
      <c r="BZ49" s="302"/>
      <c r="CA49" s="302"/>
      <c r="CB49" s="302"/>
      <c r="CC49" s="302"/>
      <c r="CD49" s="302"/>
    </row>
    <row r="50" spans="2:82" s="27" customFormat="1" x14ac:dyDescent="0.2">
      <c r="B50" s="37"/>
      <c r="C50" s="90">
        <f t="shared" si="13"/>
        <v>0</v>
      </c>
      <c r="D50" s="93"/>
      <c r="E50" s="91">
        <f t="shared" si="14"/>
        <v>0</v>
      </c>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302"/>
      <c r="BO50" s="302"/>
      <c r="BP50" s="302"/>
      <c r="BQ50" s="302"/>
      <c r="BR50" s="302"/>
      <c r="BS50" s="302"/>
      <c r="BT50" s="302"/>
      <c r="BU50" s="302"/>
      <c r="BV50" s="302"/>
      <c r="BW50" s="302"/>
      <c r="BX50" s="302"/>
      <c r="BY50" s="302"/>
      <c r="BZ50" s="302"/>
      <c r="CA50" s="302"/>
      <c r="CB50" s="302"/>
      <c r="CC50" s="302"/>
      <c r="CD50" s="302"/>
    </row>
    <row r="51" spans="2:82" s="27" customFormat="1" x14ac:dyDescent="0.2">
      <c r="B51" s="37"/>
      <c r="C51" s="90">
        <f t="shared" si="13"/>
        <v>0</v>
      </c>
      <c r="D51" s="3"/>
      <c r="E51" s="91">
        <f t="shared" si="14"/>
        <v>0</v>
      </c>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302"/>
      <c r="BO51" s="302"/>
      <c r="BP51" s="302"/>
      <c r="BQ51" s="302"/>
      <c r="BR51" s="302"/>
      <c r="BS51" s="302"/>
      <c r="BT51" s="302"/>
      <c r="BU51" s="302"/>
      <c r="BV51" s="302"/>
      <c r="BW51" s="302"/>
      <c r="BX51" s="302"/>
      <c r="BY51" s="302"/>
      <c r="BZ51" s="302"/>
      <c r="CA51" s="302"/>
      <c r="CB51" s="302"/>
      <c r="CC51" s="302"/>
      <c r="CD51" s="302"/>
    </row>
    <row r="52" spans="2:82" s="27" customFormat="1" x14ac:dyDescent="0.2">
      <c r="B52" s="37"/>
      <c r="C52" s="90">
        <f t="shared" si="13"/>
        <v>0</v>
      </c>
      <c r="D52" s="93"/>
      <c r="E52" s="91">
        <f t="shared" si="14"/>
        <v>0</v>
      </c>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302"/>
      <c r="BO52" s="302"/>
      <c r="BP52" s="302"/>
      <c r="BQ52" s="302"/>
      <c r="BR52" s="302"/>
      <c r="BS52" s="302"/>
      <c r="BT52" s="302"/>
      <c r="BU52" s="302"/>
      <c r="BV52" s="302"/>
      <c r="BW52" s="302"/>
      <c r="BX52" s="302"/>
      <c r="BY52" s="302"/>
      <c r="BZ52" s="302"/>
      <c r="CA52" s="302"/>
      <c r="CB52" s="302"/>
      <c r="CC52" s="302"/>
      <c r="CD52" s="302"/>
    </row>
    <row r="53" spans="2:82" s="27" customFormat="1" x14ac:dyDescent="0.2">
      <c r="B53" s="37"/>
      <c r="C53" s="90">
        <f t="shared" si="13"/>
        <v>0</v>
      </c>
      <c r="D53" s="93"/>
      <c r="E53" s="91">
        <f t="shared" si="14"/>
        <v>0</v>
      </c>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row>
    <row r="54" spans="2:82" s="27" customFormat="1" x14ac:dyDescent="0.2">
      <c r="B54" s="37"/>
      <c r="C54" s="90">
        <f t="shared" si="13"/>
        <v>0</v>
      </c>
      <c r="D54" s="3"/>
      <c r="E54" s="91">
        <f t="shared" si="14"/>
        <v>0</v>
      </c>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c r="BP54" s="302"/>
      <c r="BQ54" s="302"/>
      <c r="BR54" s="302"/>
      <c r="BS54" s="302"/>
      <c r="BT54" s="302"/>
      <c r="BU54" s="302"/>
      <c r="BV54" s="302"/>
      <c r="BW54" s="302"/>
      <c r="BX54" s="302"/>
      <c r="BY54" s="302"/>
      <c r="BZ54" s="302"/>
      <c r="CA54" s="302"/>
      <c r="CB54" s="302"/>
      <c r="CC54" s="302"/>
      <c r="CD54" s="302"/>
    </row>
    <row r="55" spans="2:82" s="27" customFormat="1" x14ac:dyDescent="0.2">
      <c r="B55" s="37"/>
      <c r="C55" s="90">
        <f t="shared" si="13"/>
        <v>0</v>
      </c>
      <c r="D55" s="93"/>
      <c r="E55" s="91">
        <f t="shared" si="14"/>
        <v>0</v>
      </c>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c r="BY55" s="302"/>
      <c r="BZ55" s="302"/>
      <c r="CA55" s="302"/>
      <c r="CB55" s="302"/>
      <c r="CC55" s="302"/>
      <c r="CD55" s="302"/>
    </row>
    <row r="56" spans="2:82" s="27" customFormat="1" x14ac:dyDescent="0.2">
      <c r="B56" s="37"/>
      <c r="C56" s="90">
        <f t="shared" si="13"/>
        <v>0</v>
      </c>
      <c r="D56" s="93"/>
      <c r="E56" s="91">
        <f t="shared" si="14"/>
        <v>0</v>
      </c>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c r="BY56" s="302"/>
      <c r="BZ56" s="302"/>
      <c r="CA56" s="302"/>
      <c r="CB56" s="302"/>
      <c r="CC56" s="302"/>
      <c r="CD56" s="302"/>
    </row>
    <row r="57" spans="2:82" s="27" customFormat="1" x14ac:dyDescent="0.2">
      <c r="B57" s="37"/>
      <c r="C57" s="90">
        <f t="shared" si="13"/>
        <v>0</v>
      </c>
      <c r="D57" s="9"/>
      <c r="E57" s="91">
        <f t="shared" si="14"/>
        <v>0</v>
      </c>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c r="BY57" s="302"/>
      <c r="BZ57" s="302"/>
      <c r="CA57" s="302"/>
      <c r="CB57" s="302"/>
      <c r="CC57" s="302"/>
      <c r="CD57" s="302"/>
    </row>
    <row r="58" spans="2:82" s="27" customFormat="1" x14ac:dyDescent="0.2">
      <c r="B58" s="37"/>
      <c r="C58" s="90">
        <f t="shared" si="13"/>
        <v>0</v>
      </c>
      <c r="D58" s="93"/>
      <c r="E58" s="91">
        <f t="shared" si="14"/>
        <v>0</v>
      </c>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c r="BY58" s="302"/>
      <c r="BZ58" s="302"/>
      <c r="CA58" s="302"/>
      <c r="CB58" s="302"/>
      <c r="CC58" s="302"/>
      <c r="CD58" s="302"/>
    </row>
    <row r="59" spans="2:82" s="27" customFormat="1" x14ac:dyDescent="0.2">
      <c r="B59" s="37"/>
      <c r="C59" s="36">
        <f t="shared" si="13"/>
        <v>0</v>
      </c>
      <c r="D59" s="20"/>
      <c r="E59" s="36">
        <f t="shared" si="14"/>
        <v>0</v>
      </c>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c r="BY59" s="302"/>
      <c r="BZ59" s="302"/>
      <c r="CA59" s="302"/>
      <c r="CB59" s="302"/>
      <c r="CC59" s="302"/>
      <c r="CD59" s="302"/>
    </row>
    <row r="60" spans="2:82" s="27" customFormat="1" x14ac:dyDescent="0.2">
      <c r="B60" s="37"/>
      <c r="C60" s="36">
        <f t="shared" ref="C60:C91" si="15">E60*D$5</f>
        <v>0</v>
      </c>
      <c r="D60" s="20"/>
      <c r="E60" s="36">
        <f t="shared" si="14"/>
        <v>0</v>
      </c>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c r="BY60" s="302"/>
      <c r="BZ60" s="302"/>
      <c r="CA60" s="302"/>
      <c r="CB60" s="302"/>
      <c r="CC60" s="302"/>
      <c r="CD60" s="302"/>
    </row>
    <row r="61" spans="2:82" s="27" customFormat="1" x14ac:dyDescent="0.2">
      <c r="B61" s="37"/>
      <c r="C61" s="36">
        <f t="shared" si="15"/>
        <v>0</v>
      </c>
      <c r="D61" s="20"/>
      <c r="E61" s="36">
        <f t="shared" si="14"/>
        <v>0</v>
      </c>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c r="CA61" s="302"/>
      <c r="CB61" s="302"/>
      <c r="CC61" s="302"/>
      <c r="CD61" s="302"/>
    </row>
    <row r="62" spans="2:82" s="27" customFormat="1" x14ac:dyDescent="0.2">
      <c r="B62" s="37"/>
      <c r="C62" s="36">
        <f t="shared" si="15"/>
        <v>0</v>
      </c>
      <c r="D62" s="20"/>
      <c r="E62" s="36">
        <f t="shared" si="14"/>
        <v>0</v>
      </c>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c r="CB62" s="302"/>
      <c r="CC62" s="302"/>
      <c r="CD62" s="302"/>
    </row>
    <row r="63" spans="2:82" s="27" customFormat="1" x14ac:dyDescent="0.2">
      <c r="B63" s="37"/>
      <c r="C63" s="36">
        <f t="shared" si="15"/>
        <v>0</v>
      </c>
      <c r="D63" s="20"/>
      <c r="E63" s="36">
        <f t="shared" si="14"/>
        <v>0</v>
      </c>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c r="CC63" s="302"/>
      <c r="CD63" s="302"/>
    </row>
    <row r="64" spans="2:82" s="27" customFormat="1" x14ac:dyDescent="0.2">
      <c r="B64" s="37"/>
      <c r="C64" s="36">
        <f t="shared" si="15"/>
        <v>0</v>
      </c>
      <c r="D64" s="20"/>
      <c r="E64" s="36">
        <f t="shared" si="14"/>
        <v>0</v>
      </c>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c r="CC64" s="302"/>
      <c r="CD64" s="302"/>
    </row>
    <row r="65" spans="2:82" s="27" customFormat="1" x14ac:dyDescent="0.2">
      <c r="B65" s="37"/>
      <c r="C65" s="36">
        <f t="shared" si="15"/>
        <v>0</v>
      </c>
      <c r="D65" s="20"/>
      <c r="E65" s="36">
        <f t="shared" si="14"/>
        <v>0</v>
      </c>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c r="CD65" s="302"/>
    </row>
    <row r="66" spans="2:82" s="27" customFormat="1" x14ac:dyDescent="0.2">
      <c r="B66" s="37"/>
      <c r="C66" s="36">
        <f t="shared" si="15"/>
        <v>0</v>
      </c>
      <c r="D66" s="20"/>
      <c r="E66" s="36">
        <f t="shared" si="14"/>
        <v>0</v>
      </c>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row>
    <row r="67" spans="2:82" s="27" customFormat="1" x14ac:dyDescent="0.2">
      <c r="B67" s="37"/>
      <c r="C67" s="36">
        <f t="shared" si="15"/>
        <v>0</v>
      </c>
      <c r="D67" s="20"/>
      <c r="E67" s="36">
        <f t="shared" si="14"/>
        <v>0</v>
      </c>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row>
    <row r="68" spans="2:82" s="27" customFormat="1" x14ac:dyDescent="0.2">
      <c r="B68" s="37"/>
      <c r="C68" s="36">
        <f t="shared" si="15"/>
        <v>0</v>
      </c>
      <c r="D68" s="20"/>
      <c r="E68" s="36">
        <f t="shared" si="14"/>
        <v>0</v>
      </c>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row>
    <row r="69" spans="2:82" s="27" customFormat="1" x14ac:dyDescent="0.2">
      <c r="B69" s="37"/>
      <c r="C69" s="36">
        <f t="shared" si="15"/>
        <v>0</v>
      </c>
      <c r="D69" s="20"/>
      <c r="E69" s="36">
        <f t="shared" si="14"/>
        <v>0</v>
      </c>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row>
    <row r="70" spans="2:82" s="27" customFormat="1" x14ac:dyDescent="0.2">
      <c r="B70" s="37"/>
      <c r="C70" s="36">
        <f t="shared" si="15"/>
        <v>0</v>
      </c>
      <c r="D70" s="20"/>
      <c r="E70" s="36">
        <f t="shared" si="14"/>
        <v>0</v>
      </c>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row>
    <row r="71" spans="2:82" s="27" customFormat="1" x14ac:dyDescent="0.2">
      <c r="B71" s="37"/>
      <c r="C71" s="36">
        <f t="shared" si="15"/>
        <v>0</v>
      </c>
      <c r="D71" s="20"/>
      <c r="E71" s="36">
        <f t="shared" si="14"/>
        <v>0</v>
      </c>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row>
    <row r="72" spans="2:82" s="27" customFormat="1" x14ac:dyDescent="0.2">
      <c r="B72" s="37"/>
      <c r="C72" s="36">
        <f t="shared" si="15"/>
        <v>0</v>
      </c>
      <c r="D72" s="20"/>
      <c r="E72" s="36">
        <f t="shared" si="14"/>
        <v>0</v>
      </c>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row>
    <row r="73" spans="2:82" s="27" customFormat="1" x14ac:dyDescent="0.2">
      <c r="B73" s="37"/>
      <c r="C73" s="36">
        <f t="shared" si="15"/>
        <v>0</v>
      </c>
      <c r="D73" s="20"/>
      <c r="E73" s="36">
        <f t="shared" si="14"/>
        <v>0</v>
      </c>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row>
    <row r="74" spans="2:82" s="27" customFormat="1" x14ac:dyDescent="0.2">
      <c r="B74" s="37"/>
      <c r="C74" s="36">
        <f t="shared" si="15"/>
        <v>0</v>
      </c>
      <c r="D74" s="20"/>
      <c r="E74" s="36">
        <f t="shared" ref="E74:E105" si="16">SUM(G74:HI74)</f>
        <v>0</v>
      </c>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row>
    <row r="75" spans="2:82" s="27" customFormat="1" x14ac:dyDescent="0.2">
      <c r="B75" s="37"/>
      <c r="C75" s="36">
        <f t="shared" si="15"/>
        <v>0</v>
      </c>
      <c r="D75" s="20"/>
      <c r="E75" s="36">
        <f t="shared" si="16"/>
        <v>0</v>
      </c>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row>
    <row r="76" spans="2:82" s="27" customFormat="1" x14ac:dyDescent="0.2">
      <c r="B76" s="37"/>
      <c r="C76" s="36">
        <f t="shared" si="15"/>
        <v>0</v>
      </c>
      <c r="D76" s="20"/>
      <c r="E76" s="36">
        <f t="shared" si="16"/>
        <v>0</v>
      </c>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row>
    <row r="77" spans="2:82" s="27" customFormat="1" x14ac:dyDescent="0.2">
      <c r="B77" s="37"/>
      <c r="C77" s="36">
        <f t="shared" si="15"/>
        <v>0</v>
      </c>
      <c r="D77" s="20"/>
      <c r="E77" s="36">
        <f t="shared" si="16"/>
        <v>0</v>
      </c>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row>
    <row r="78" spans="2:82" s="27" customFormat="1" x14ac:dyDescent="0.2">
      <c r="B78" s="37"/>
      <c r="C78" s="36">
        <f t="shared" si="15"/>
        <v>0</v>
      </c>
      <c r="D78" s="20"/>
      <c r="E78" s="36">
        <f t="shared" si="16"/>
        <v>0</v>
      </c>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row>
    <row r="79" spans="2:82" s="27" customFormat="1" x14ac:dyDescent="0.2">
      <c r="B79" s="37"/>
      <c r="C79" s="36">
        <f t="shared" si="15"/>
        <v>0</v>
      </c>
      <c r="D79" s="20"/>
      <c r="E79" s="36">
        <f t="shared" si="16"/>
        <v>0</v>
      </c>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row>
    <row r="80" spans="2:82" s="27" customFormat="1" x14ac:dyDescent="0.2">
      <c r="B80" s="37"/>
      <c r="C80" s="36">
        <f t="shared" si="15"/>
        <v>0</v>
      </c>
      <c r="D80" s="20"/>
      <c r="E80" s="36">
        <f t="shared" si="16"/>
        <v>0</v>
      </c>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row>
    <row r="81" spans="2:82" s="27" customFormat="1" x14ac:dyDescent="0.2">
      <c r="B81" s="37"/>
      <c r="C81" s="36">
        <f t="shared" si="15"/>
        <v>0</v>
      </c>
      <c r="D81" s="20"/>
      <c r="E81" s="36">
        <f t="shared" si="16"/>
        <v>0</v>
      </c>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row>
    <row r="82" spans="2:82" s="27" customFormat="1" x14ac:dyDescent="0.2">
      <c r="B82" s="37"/>
      <c r="C82" s="36">
        <f t="shared" si="15"/>
        <v>0</v>
      </c>
      <c r="D82" s="20"/>
      <c r="E82" s="36">
        <f t="shared" si="16"/>
        <v>0</v>
      </c>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row>
    <row r="83" spans="2:82" s="27" customFormat="1" x14ac:dyDescent="0.2">
      <c r="B83" s="37"/>
      <c r="C83" s="36">
        <f t="shared" si="15"/>
        <v>0</v>
      </c>
      <c r="D83" s="20"/>
      <c r="E83" s="36">
        <f t="shared" si="16"/>
        <v>0</v>
      </c>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row>
    <row r="84" spans="2:82" s="27" customFormat="1" x14ac:dyDescent="0.2">
      <c r="B84" s="37"/>
      <c r="C84" s="36">
        <f t="shared" si="15"/>
        <v>0</v>
      </c>
      <c r="D84" s="20"/>
      <c r="E84" s="36">
        <f t="shared" si="16"/>
        <v>0</v>
      </c>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row>
    <row r="85" spans="2:82" s="27" customFormat="1" x14ac:dyDescent="0.2">
      <c r="B85" s="37"/>
      <c r="C85" s="36">
        <f t="shared" si="15"/>
        <v>0</v>
      </c>
      <c r="D85" s="20"/>
      <c r="E85" s="36">
        <f t="shared" si="16"/>
        <v>0</v>
      </c>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row>
    <row r="86" spans="2:82" s="27" customFormat="1" x14ac:dyDescent="0.2">
      <c r="B86" s="37"/>
      <c r="C86" s="36">
        <f t="shared" si="15"/>
        <v>0</v>
      </c>
      <c r="D86" s="20"/>
      <c r="E86" s="36">
        <f t="shared" si="16"/>
        <v>0</v>
      </c>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row>
    <row r="87" spans="2:82" s="27" customFormat="1" x14ac:dyDescent="0.2">
      <c r="B87" s="37"/>
      <c r="C87" s="36">
        <f t="shared" si="15"/>
        <v>0</v>
      </c>
      <c r="D87" s="20"/>
      <c r="E87" s="36">
        <f t="shared" si="16"/>
        <v>0</v>
      </c>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row>
    <row r="88" spans="2:82" s="27" customFormat="1" x14ac:dyDescent="0.2">
      <c r="B88" s="37"/>
      <c r="C88" s="36">
        <f t="shared" si="15"/>
        <v>0</v>
      </c>
      <c r="D88" s="20"/>
      <c r="E88" s="36">
        <f t="shared" si="16"/>
        <v>0</v>
      </c>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row>
    <row r="89" spans="2:82" s="27" customFormat="1" x14ac:dyDescent="0.2">
      <c r="B89" s="37"/>
      <c r="C89" s="36">
        <f t="shared" si="15"/>
        <v>0</v>
      </c>
      <c r="D89" s="20"/>
      <c r="E89" s="36">
        <f t="shared" si="16"/>
        <v>0</v>
      </c>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row>
    <row r="90" spans="2:82" s="27" customFormat="1" x14ac:dyDescent="0.2">
      <c r="B90" s="37"/>
      <c r="C90" s="36">
        <f t="shared" si="15"/>
        <v>0</v>
      </c>
      <c r="D90" s="20"/>
      <c r="E90" s="36">
        <f t="shared" si="16"/>
        <v>0</v>
      </c>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row>
    <row r="91" spans="2:82" s="27" customFormat="1" x14ac:dyDescent="0.2">
      <c r="B91" s="37"/>
      <c r="C91" s="36">
        <f t="shared" si="15"/>
        <v>0</v>
      </c>
      <c r="D91" s="20"/>
      <c r="E91" s="36">
        <f t="shared" si="16"/>
        <v>0</v>
      </c>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row>
    <row r="92" spans="2:82" s="27" customFormat="1" x14ac:dyDescent="0.2">
      <c r="B92" s="37"/>
      <c r="C92" s="36">
        <f t="shared" ref="C92:C123" si="17">E92*D$5</f>
        <v>0</v>
      </c>
      <c r="D92" s="20"/>
      <c r="E92" s="36">
        <f t="shared" si="16"/>
        <v>0</v>
      </c>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row>
    <row r="93" spans="2:82" s="27" customFormat="1" x14ac:dyDescent="0.2">
      <c r="B93" s="37"/>
      <c r="C93" s="36">
        <f t="shared" si="17"/>
        <v>0</v>
      </c>
      <c r="D93" s="20"/>
      <c r="E93" s="36">
        <f t="shared" si="16"/>
        <v>0</v>
      </c>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row>
    <row r="94" spans="2:82" s="27" customFormat="1" x14ac:dyDescent="0.2">
      <c r="B94" s="37"/>
      <c r="C94" s="36">
        <f t="shared" si="17"/>
        <v>0</v>
      </c>
      <c r="D94" s="20"/>
      <c r="E94" s="36">
        <f t="shared" si="16"/>
        <v>0</v>
      </c>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row>
    <row r="95" spans="2:82" s="27" customFormat="1" x14ac:dyDescent="0.2">
      <c r="B95" s="37"/>
      <c r="C95" s="36">
        <f t="shared" si="17"/>
        <v>0</v>
      </c>
      <c r="D95" s="20"/>
      <c r="E95" s="36">
        <f t="shared" si="16"/>
        <v>0</v>
      </c>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row>
    <row r="96" spans="2:82" s="27" customFormat="1" x14ac:dyDescent="0.2">
      <c r="B96" s="37"/>
      <c r="C96" s="36">
        <f t="shared" si="17"/>
        <v>0</v>
      </c>
      <c r="D96" s="20"/>
      <c r="E96" s="36">
        <f t="shared" si="16"/>
        <v>0</v>
      </c>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row>
    <row r="97" spans="2:82" s="27" customFormat="1" x14ac:dyDescent="0.2">
      <c r="B97" s="37"/>
      <c r="C97" s="36">
        <f t="shared" si="17"/>
        <v>0</v>
      </c>
      <c r="D97" s="20"/>
      <c r="E97" s="36">
        <f t="shared" si="16"/>
        <v>0</v>
      </c>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row>
    <row r="98" spans="2:82" s="27" customFormat="1" x14ac:dyDescent="0.2">
      <c r="B98" s="37"/>
      <c r="C98" s="36">
        <f t="shared" si="17"/>
        <v>0</v>
      </c>
      <c r="D98" s="20"/>
      <c r="E98" s="36">
        <f t="shared" si="16"/>
        <v>0</v>
      </c>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row>
    <row r="99" spans="2:82" s="27" customFormat="1" x14ac:dyDescent="0.2">
      <c r="B99" s="37"/>
      <c r="C99" s="36">
        <f t="shared" si="17"/>
        <v>0</v>
      </c>
      <c r="D99" s="20"/>
      <c r="E99" s="36">
        <f t="shared" si="16"/>
        <v>0</v>
      </c>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row>
    <row r="100" spans="2:82" s="27" customFormat="1" x14ac:dyDescent="0.2">
      <c r="B100" s="37"/>
      <c r="C100" s="36">
        <f t="shared" si="17"/>
        <v>0</v>
      </c>
      <c r="D100" s="20"/>
      <c r="E100" s="36">
        <f t="shared" si="16"/>
        <v>0</v>
      </c>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row>
    <row r="101" spans="2:82" s="27" customFormat="1" x14ac:dyDescent="0.2">
      <c r="B101" s="37"/>
      <c r="C101" s="36">
        <f t="shared" si="17"/>
        <v>0</v>
      </c>
      <c r="D101" s="20"/>
      <c r="E101" s="36">
        <f t="shared" si="16"/>
        <v>0</v>
      </c>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row>
    <row r="102" spans="2:82" s="27" customFormat="1" x14ac:dyDescent="0.2">
      <c r="B102" s="37"/>
      <c r="C102" s="36">
        <f t="shared" si="17"/>
        <v>0</v>
      </c>
      <c r="D102" s="20"/>
      <c r="E102" s="36">
        <f t="shared" si="16"/>
        <v>0</v>
      </c>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row>
    <row r="103" spans="2:82" s="27" customFormat="1" x14ac:dyDescent="0.2">
      <c r="B103" s="37"/>
      <c r="C103" s="36">
        <f t="shared" si="17"/>
        <v>0</v>
      </c>
      <c r="D103" s="20"/>
      <c r="E103" s="36">
        <f t="shared" si="16"/>
        <v>0</v>
      </c>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row>
    <row r="104" spans="2:82" s="27" customFormat="1" x14ac:dyDescent="0.2">
      <c r="B104" s="37"/>
      <c r="C104" s="36">
        <f t="shared" si="17"/>
        <v>0</v>
      </c>
      <c r="D104" s="20"/>
      <c r="E104" s="36">
        <f t="shared" si="16"/>
        <v>0</v>
      </c>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row>
    <row r="105" spans="2:82" s="27" customFormat="1" x14ac:dyDescent="0.2">
      <c r="B105" s="37"/>
      <c r="C105" s="36">
        <f t="shared" si="17"/>
        <v>0</v>
      </c>
      <c r="D105" s="20"/>
      <c r="E105" s="36">
        <f t="shared" si="16"/>
        <v>0</v>
      </c>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row>
    <row r="106" spans="2:82" s="27" customFormat="1" x14ac:dyDescent="0.2">
      <c r="B106" s="37"/>
      <c r="C106" s="36">
        <f t="shared" si="17"/>
        <v>0</v>
      </c>
      <c r="D106" s="20"/>
      <c r="E106" s="36">
        <f t="shared" ref="E106:E137" si="18">SUM(G106:HI106)</f>
        <v>0</v>
      </c>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row>
    <row r="107" spans="2:82" s="27" customFormat="1" x14ac:dyDescent="0.2">
      <c r="B107" s="37"/>
      <c r="C107" s="36">
        <f t="shared" si="17"/>
        <v>0</v>
      </c>
      <c r="D107" s="20"/>
      <c r="E107" s="36">
        <f t="shared" si="18"/>
        <v>0</v>
      </c>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row>
    <row r="108" spans="2:82" s="27" customFormat="1" x14ac:dyDescent="0.2">
      <c r="B108" s="37"/>
      <c r="C108" s="36">
        <f t="shared" si="17"/>
        <v>0</v>
      </c>
      <c r="D108" s="20"/>
      <c r="E108" s="36">
        <f t="shared" si="18"/>
        <v>0</v>
      </c>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row>
    <row r="109" spans="2:82" s="27" customFormat="1" x14ac:dyDescent="0.2">
      <c r="B109" s="37"/>
      <c r="C109" s="36">
        <f t="shared" si="17"/>
        <v>0</v>
      </c>
      <c r="D109" s="20"/>
      <c r="E109" s="36">
        <f t="shared" si="18"/>
        <v>0</v>
      </c>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row>
    <row r="110" spans="2:82" s="27" customFormat="1" x14ac:dyDescent="0.2">
      <c r="B110" s="37"/>
      <c r="C110" s="36">
        <f t="shared" si="17"/>
        <v>0</v>
      </c>
      <c r="D110" s="20"/>
      <c r="E110" s="36">
        <f t="shared" si="18"/>
        <v>0</v>
      </c>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row>
    <row r="111" spans="2:82" s="27" customFormat="1" x14ac:dyDescent="0.2">
      <c r="B111" s="37"/>
      <c r="C111" s="36">
        <f t="shared" si="17"/>
        <v>0</v>
      </c>
      <c r="D111" s="20"/>
      <c r="E111" s="36">
        <f t="shared" si="18"/>
        <v>0</v>
      </c>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row>
    <row r="112" spans="2:82" s="27" customFormat="1" x14ac:dyDescent="0.2">
      <c r="B112" s="37"/>
      <c r="C112" s="36">
        <f t="shared" si="17"/>
        <v>0</v>
      </c>
      <c r="D112" s="20"/>
      <c r="E112" s="36">
        <f t="shared" si="18"/>
        <v>0</v>
      </c>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row>
    <row r="113" spans="2:82" s="27" customFormat="1" x14ac:dyDescent="0.2">
      <c r="B113" s="37"/>
      <c r="C113" s="36">
        <f t="shared" si="17"/>
        <v>0</v>
      </c>
      <c r="D113" s="20"/>
      <c r="E113" s="36">
        <f t="shared" si="18"/>
        <v>0</v>
      </c>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row>
    <row r="114" spans="2:82" s="27" customFormat="1" x14ac:dyDescent="0.2">
      <c r="B114" s="37"/>
      <c r="C114" s="36">
        <f t="shared" si="17"/>
        <v>0</v>
      </c>
      <c r="D114" s="20"/>
      <c r="E114" s="36">
        <f t="shared" si="18"/>
        <v>0</v>
      </c>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row>
    <row r="115" spans="2:82" s="27" customFormat="1" x14ac:dyDescent="0.2">
      <c r="B115" s="37"/>
      <c r="C115" s="36">
        <f t="shared" si="17"/>
        <v>0</v>
      </c>
      <c r="D115" s="20"/>
      <c r="E115" s="36">
        <f t="shared" si="18"/>
        <v>0</v>
      </c>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row>
    <row r="116" spans="2:82" s="27" customFormat="1" x14ac:dyDescent="0.2">
      <c r="B116" s="37"/>
      <c r="C116" s="36">
        <f t="shared" si="17"/>
        <v>0</v>
      </c>
      <c r="D116" s="20"/>
      <c r="E116" s="36">
        <f t="shared" si="18"/>
        <v>0</v>
      </c>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row>
    <row r="117" spans="2:82" s="27" customFormat="1" x14ac:dyDescent="0.2">
      <c r="B117" s="37"/>
      <c r="C117" s="36">
        <f t="shared" si="17"/>
        <v>0</v>
      </c>
      <c r="D117" s="20"/>
      <c r="E117" s="36">
        <f t="shared" si="18"/>
        <v>0</v>
      </c>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row>
    <row r="118" spans="2:82" s="27" customFormat="1" x14ac:dyDescent="0.2">
      <c r="B118" s="37"/>
      <c r="C118" s="36">
        <f t="shared" si="17"/>
        <v>0</v>
      </c>
      <c r="D118" s="20"/>
      <c r="E118" s="36">
        <f t="shared" si="18"/>
        <v>0</v>
      </c>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row>
    <row r="119" spans="2:82" s="27" customFormat="1" x14ac:dyDescent="0.2">
      <c r="B119" s="37"/>
      <c r="C119" s="36">
        <f t="shared" si="17"/>
        <v>0</v>
      </c>
      <c r="D119" s="20"/>
      <c r="E119" s="36">
        <f t="shared" si="18"/>
        <v>0</v>
      </c>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row>
    <row r="120" spans="2:82" s="27" customFormat="1" x14ac:dyDescent="0.2">
      <c r="B120" s="37"/>
      <c r="C120" s="36">
        <f t="shared" si="17"/>
        <v>0</v>
      </c>
      <c r="D120" s="20"/>
      <c r="E120" s="36">
        <f t="shared" si="18"/>
        <v>0</v>
      </c>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row>
    <row r="121" spans="2:82" s="27" customFormat="1" x14ac:dyDescent="0.2">
      <c r="B121" s="37"/>
      <c r="C121" s="36">
        <f t="shared" si="17"/>
        <v>0</v>
      </c>
      <c r="D121" s="20"/>
      <c r="E121" s="36">
        <f t="shared" si="18"/>
        <v>0</v>
      </c>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row>
    <row r="122" spans="2:82" s="27" customFormat="1" x14ac:dyDescent="0.2">
      <c r="B122" s="37"/>
      <c r="C122" s="36">
        <f t="shared" si="17"/>
        <v>0</v>
      </c>
      <c r="D122" s="20"/>
      <c r="E122" s="36">
        <f t="shared" si="18"/>
        <v>0</v>
      </c>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row>
    <row r="123" spans="2:82" s="27" customFormat="1" x14ac:dyDescent="0.2">
      <c r="B123" s="37"/>
      <c r="C123" s="36">
        <f t="shared" si="17"/>
        <v>0</v>
      </c>
      <c r="D123" s="20"/>
      <c r="E123" s="36">
        <f t="shared" si="18"/>
        <v>0</v>
      </c>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row>
    <row r="124" spans="2:82" s="27" customFormat="1" x14ac:dyDescent="0.2">
      <c r="B124" s="37"/>
      <c r="C124" s="36">
        <f t="shared" ref="C124:C155" si="19">E124*D$5</f>
        <v>0</v>
      </c>
      <c r="D124" s="20"/>
      <c r="E124" s="36">
        <f t="shared" si="18"/>
        <v>0</v>
      </c>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row>
    <row r="125" spans="2:82" s="27" customFormat="1" x14ac:dyDescent="0.2">
      <c r="B125" s="37"/>
      <c r="C125" s="36">
        <f t="shared" si="19"/>
        <v>0</v>
      </c>
      <c r="D125" s="20"/>
      <c r="E125" s="36">
        <f t="shared" si="18"/>
        <v>0</v>
      </c>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row>
    <row r="126" spans="2:82" s="27" customFormat="1" x14ac:dyDescent="0.2">
      <c r="B126" s="37"/>
      <c r="C126" s="36">
        <f t="shared" si="19"/>
        <v>0</v>
      </c>
      <c r="D126" s="20"/>
      <c r="E126" s="36">
        <f t="shared" si="18"/>
        <v>0</v>
      </c>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row>
    <row r="127" spans="2:82" s="27" customFormat="1" x14ac:dyDescent="0.2">
      <c r="B127" s="37"/>
      <c r="C127" s="36">
        <f t="shared" si="19"/>
        <v>0</v>
      </c>
      <c r="D127" s="20"/>
      <c r="E127" s="36">
        <f t="shared" si="18"/>
        <v>0</v>
      </c>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row>
    <row r="128" spans="2:82" s="27" customFormat="1" x14ac:dyDescent="0.2">
      <c r="B128" s="37"/>
      <c r="C128" s="36">
        <f t="shared" si="19"/>
        <v>0</v>
      </c>
      <c r="D128" s="20"/>
      <c r="E128" s="36">
        <f t="shared" si="18"/>
        <v>0</v>
      </c>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row>
    <row r="129" spans="2:82" s="27" customFormat="1" x14ac:dyDescent="0.2">
      <c r="B129" s="37"/>
      <c r="C129" s="36">
        <f t="shared" si="19"/>
        <v>0</v>
      </c>
      <c r="D129" s="20"/>
      <c r="E129" s="36">
        <f t="shared" si="18"/>
        <v>0</v>
      </c>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row>
    <row r="130" spans="2:82" s="27" customFormat="1" x14ac:dyDescent="0.2">
      <c r="B130" s="37"/>
      <c r="C130" s="36">
        <f t="shared" si="19"/>
        <v>0</v>
      </c>
      <c r="D130" s="20"/>
      <c r="E130" s="36">
        <f t="shared" si="18"/>
        <v>0</v>
      </c>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row>
    <row r="131" spans="2:82" s="27" customFormat="1" x14ac:dyDescent="0.2">
      <c r="B131" s="37"/>
      <c r="C131" s="36">
        <f t="shared" si="19"/>
        <v>0</v>
      </c>
      <c r="D131" s="20"/>
      <c r="E131" s="36">
        <f t="shared" si="18"/>
        <v>0</v>
      </c>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row>
    <row r="132" spans="2:82" s="27" customFormat="1" x14ac:dyDescent="0.2">
      <c r="B132" s="37"/>
      <c r="C132" s="36">
        <f t="shared" si="19"/>
        <v>0</v>
      </c>
      <c r="D132" s="20"/>
      <c r="E132" s="36">
        <f t="shared" si="18"/>
        <v>0</v>
      </c>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row>
    <row r="133" spans="2:82" s="27" customFormat="1" x14ac:dyDescent="0.2">
      <c r="B133" s="37"/>
      <c r="C133" s="36">
        <f t="shared" si="19"/>
        <v>0</v>
      </c>
      <c r="D133" s="20"/>
      <c r="E133" s="36">
        <f t="shared" si="18"/>
        <v>0</v>
      </c>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row>
    <row r="134" spans="2:82" s="27" customFormat="1" x14ac:dyDescent="0.2">
      <c r="B134" s="37"/>
      <c r="C134" s="36">
        <f t="shared" si="19"/>
        <v>0</v>
      </c>
      <c r="D134" s="20"/>
      <c r="E134" s="36">
        <f t="shared" si="18"/>
        <v>0</v>
      </c>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row>
    <row r="135" spans="2:82" s="27" customFormat="1" x14ac:dyDescent="0.2">
      <c r="B135" s="37"/>
      <c r="C135" s="36">
        <f t="shared" si="19"/>
        <v>0</v>
      </c>
      <c r="D135" s="20"/>
      <c r="E135" s="36">
        <f t="shared" si="18"/>
        <v>0</v>
      </c>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row>
    <row r="136" spans="2:82" s="27" customFormat="1" x14ac:dyDescent="0.2">
      <c r="B136" s="37"/>
      <c r="C136" s="36">
        <f t="shared" si="19"/>
        <v>0</v>
      </c>
      <c r="D136" s="20"/>
      <c r="E136" s="36">
        <f t="shared" si="18"/>
        <v>0</v>
      </c>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row>
    <row r="137" spans="2:82" s="27" customFormat="1" x14ac:dyDescent="0.2">
      <c r="B137" s="37"/>
      <c r="C137" s="36">
        <f t="shared" si="19"/>
        <v>0</v>
      </c>
      <c r="D137" s="20"/>
      <c r="E137" s="36">
        <f t="shared" si="18"/>
        <v>0</v>
      </c>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row>
    <row r="138" spans="2:82" s="27" customFormat="1" x14ac:dyDescent="0.2">
      <c r="B138" s="37"/>
      <c r="C138" s="36">
        <f t="shared" si="19"/>
        <v>0</v>
      </c>
      <c r="D138" s="20"/>
      <c r="E138" s="36">
        <f t="shared" ref="E138:E155" si="20">SUM(G138:HI138)</f>
        <v>0</v>
      </c>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row>
    <row r="139" spans="2:82" s="27" customFormat="1" x14ac:dyDescent="0.2">
      <c r="B139" s="37"/>
      <c r="C139" s="36">
        <f t="shared" si="19"/>
        <v>0</v>
      </c>
      <c r="D139" s="20"/>
      <c r="E139" s="36">
        <f t="shared" si="20"/>
        <v>0</v>
      </c>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row>
    <row r="140" spans="2:82" s="27" customFormat="1" x14ac:dyDescent="0.2">
      <c r="B140" s="37"/>
      <c r="C140" s="36">
        <f t="shared" si="19"/>
        <v>0</v>
      </c>
      <c r="D140" s="20"/>
      <c r="E140" s="36">
        <f t="shared" si="20"/>
        <v>0</v>
      </c>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row>
    <row r="141" spans="2:82" s="27" customFormat="1" x14ac:dyDescent="0.2">
      <c r="B141" s="37"/>
      <c r="C141" s="36">
        <f t="shared" si="19"/>
        <v>0</v>
      </c>
      <c r="D141" s="20"/>
      <c r="E141" s="36">
        <f t="shared" si="20"/>
        <v>0</v>
      </c>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row>
    <row r="142" spans="2:82" s="27" customFormat="1" x14ac:dyDescent="0.2">
      <c r="B142" s="37"/>
      <c r="C142" s="36">
        <f t="shared" si="19"/>
        <v>0</v>
      </c>
      <c r="D142" s="20"/>
      <c r="E142" s="36">
        <f t="shared" si="20"/>
        <v>0</v>
      </c>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row>
    <row r="143" spans="2:82" s="27" customFormat="1" x14ac:dyDescent="0.2">
      <c r="B143" s="37"/>
      <c r="C143" s="36">
        <f t="shared" si="19"/>
        <v>0</v>
      </c>
      <c r="D143" s="20"/>
      <c r="E143" s="36">
        <f t="shared" si="20"/>
        <v>0</v>
      </c>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row>
    <row r="144" spans="2:82" s="27" customFormat="1" x14ac:dyDescent="0.2">
      <c r="B144" s="37"/>
      <c r="C144" s="36">
        <f t="shared" si="19"/>
        <v>0</v>
      </c>
      <c r="D144" s="20"/>
      <c r="E144" s="36">
        <f t="shared" si="20"/>
        <v>0</v>
      </c>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row>
    <row r="145" spans="2:82" s="27" customFormat="1" x14ac:dyDescent="0.2">
      <c r="B145" s="37"/>
      <c r="C145" s="36">
        <f t="shared" si="19"/>
        <v>0</v>
      </c>
      <c r="D145" s="20"/>
      <c r="E145" s="36">
        <f t="shared" si="20"/>
        <v>0</v>
      </c>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row>
    <row r="146" spans="2:82" s="27" customFormat="1" x14ac:dyDescent="0.2">
      <c r="B146" s="37"/>
      <c r="C146" s="36">
        <f t="shared" si="19"/>
        <v>0</v>
      </c>
      <c r="D146" s="20"/>
      <c r="E146" s="36">
        <f t="shared" si="20"/>
        <v>0</v>
      </c>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row>
    <row r="147" spans="2:82" s="27" customFormat="1" x14ac:dyDescent="0.2">
      <c r="B147" s="37"/>
      <c r="C147" s="36">
        <f t="shared" si="19"/>
        <v>0</v>
      </c>
      <c r="D147" s="20"/>
      <c r="E147" s="36">
        <f t="shared" si="20"/>
        <v>0</v>
      </c>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row>
    <row r="148" spans="2:82" s="27" customFormat="1" x14ac:dyDescent="0.2">
      <c r="B148" s="37"/>
      <c r="C148" s="36">
        <f t="shared" si="19"/>
        <v>0</v>
      </c>
      <c r="D148" s="20"/>
      <c r="E148" s="36">
        <f t="shared" si="20"/>
        <v>0</v>
      </c>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row>
    <row r="149" spans="2:82" s="27" customFormat="1" x14ac:dyDescent="0.2">
      <c r="B149" s="37"/>
      <c r="C149" s="36">
        <f t="shared" si="19"/>
        <v>0</v>
      </c>
      <c r="D149" s="20"/>
      <c r="E149" s="36">
        <f t="shared" si="20"/>
        <v>0</v>
      </c>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row>
    <row r="150" spans="2:82" s="27" customFormat="1" x14ac:dyDescent="0.2">
      <c r="B150" s="37"/>
      <c r="C150" s="36">
        <f t="shared" si="19"/>
        <v>0</v>
      </c>
      <c r="D150" s="20"/>
      <c r="E150" s="36">
        <f t="shared" si="20"/>
        <v>0</v>
      </c>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row>
    <row r="151" spans="2:82" s="27" customFormat="1" x14ac:dyDescent="0.2">
      <c r="B151" s="37"/>
      <c r="C151" s="36">
        <f t="shared" si="19"/>
        <v>0</v>
      </c>
      <c r="D151" s="20"/>
      <c r="E151" s="36">
        <f t="shared" si="20"/>
        <v>0</v>
      </c>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row>
    <row r="152" spans="2:82" s="27" customFormat="1" x14ac:dyDescent="0.2">
      <c r="B152" s="37"/>
      <c r="C152" s="36">
        <f t="shared" si="19"/>
        <v>0</v>
      </c>
      <c r="D152" s="20"/>
      <c r="E152" s="36">
        <f t="shared" si="20"/>
        <v>0</v>
      </c>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row>
    <row r="153" spans="2:82" s="27" customFormat="1" x14ac:dyDescent="0.2">
      <c r="B153" s="37"/>
      <c r="C153" s="36">
        <f t="shared" si="19"/>
        <v>0</v>
      </c>
      <c r="D153" s="20"/>
      <c r="E153" s="36">
        <f t="shared" si="20"/>
        <v>0</v>
      </c>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row>
    <row r="154" spans="2:82" s="27" customFormat="1" x14ac:dyDescent="0.2">
      <c r="B154" s="37"/>
      <c r="C154" s="36">
        <f t="shared" si="19"/>
        <v>0</v>
      </c>
      <c r="D154" s="20"/>
      <c r="E154" s="36">
        <f t="shared" si="20"/>
        <v>0</v>
      </c>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row>
    <row r="155" spans="2:82" s="27" customFormat="1" x14ac:dyDescent="0.2">
      <c r="B155" s="37"/>
      <c r="C155" s="36">
        <f t="shared" si="19"/>
        <v>0</v>
      </c>
      <c r="D155" s="20"/>
      <c r="E155" s="36">
        <f t="shared" si="20"/>
        <v>0</v>
      </c>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row>
    <row r="156" spans="2:82" s="27" customFormat="1" x14ac:dyDescent="0.2">
      <c r="B156" s="37"/>
      <c r="C156" s="36">
        <f t="shared" ref="C156:C161" si="21">E156*D$5</f>
        <v>0</v>
      </c>
      <c r="D156" s="20"/>
      <c r="E156" s="36">
        <f t="shared" ref="E156:E161" si="22">SUM(G156:HI156)</f>
        <v>0</v>
      </c>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row>
    <row r="157" spans="2:82" s="27" customFormat="1" x14ac:dyDescent="0.2">
      <c r="B157" s="37"/>
      <c r="C157" s="36">
        <f t="shared" si="21"/>
        <v>0</v>
      </c>
      <c r="D157" s="20"/>
      <c r="E157" s="36">
        <f t="shared" si="22"/>
        <v>0</v>
      </c>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row>
    <row r="158" spans="2:82" s="27" customFormat="1" x14ac:dyDescent="0.2">
      <c r="B158" s="37"/>
      <c r="C158" s="36">
        <f t="shared" si="21"/>
        <v>0</v>
      </c>
      <c r="D158" s="20"/>
      <c r="E158" s="36">
        <f t="shared" si="22"/>
        <v>0</v>
      </c>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row>
    <row r="159" spans="2:82" s="27" customFormat="1" x14ac:dyDescent="0.2">
      <c r="B159" s="37"/>
      <c r="C159" s="36">
        <f t="shared" si="21"/>
        <v>0</v>
      </c>
      <c r="D159" s="20"/>
      <c r="E159" s="36">
        <f t="shared" si="22"/>
        <v>0</v>
      </c>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row>
    <row r="160" spans="2:82" s="27" customFormat="1" x14ac:dyDescent="0.2">
      <c r="B160" s="37"/>
      <c r="C160" s="36">
        <f t="shared" si="21"/>
        <v>0</v>
      </c>
      <c r="D160" s="20"/>
      <c r="E160" s="36">
        <f t="shared" si="22"/>
        <v>0</v>
      </c>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row>
    <row r="161" spans="2:82" s="27" customFormat="1" x14ac:dyDescent="0.2">
      <c r="B161" s="37"/>
      <c r="C161" s="36">
        <f t="shared" si="21"/>
        <v>0</v>
      </c>
      <c r="D161" s="20"/>
      <c r="E161" s="36">
        <f t="shared" si="22"/>
        <v>0</v>
      </c>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row>
    <row r="162" spans="2:82" s="29" customFormat="1" x14ac:dyDescent="0.2">
      <c r="B162" s="33"/>
      <c r="C162" s="32"/>
      <c r="D162" s="31"/>
      <c r="E162" s="30"/>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c r="BD162" s="303"/>
      <c r="BE162" s="303"/>
      <c r="BF162" s="303"/>
      <c r="BG162" s="303"/>
      <c r="BH162" s="303"/>
      <c r="BI162" s="303"/>
      <c r="BJ162" s="303"/>
      <c r="BK162" s="303"/>
      <c r="BL162" s="303"/>
      <c r="BM162" s="303"/>
      <c r="BN162" s="303"/>
      <c r="BO162" s="303"/>
      <c r="BP162" s="303"/>
      <c r="BQ162" s="303"/>
      <c r="BR162" s="303"/>
      <c r="BS162" s="303"/>
      <c r="BT162" s="303"/>
      <c r="BU162" s="303"/>
      <c r="BV162" s="303"/>
      <c r="BW162" s="303"/>
      <c r="BX162" s="303"/>
      <c r="BY162" s="303"/>
      <c r="BZ162" s="303"/>
      <c r="CA162" s="303"/>
      <c r="CB162" s="303"/>
      <c r="CC162" s="303"/>
      <c r="CD162" s="303"/>
    </row>
    <row r="163" spans="2:82" s="26" customFormat="1" x14ac:dyDescent="0.2">
      <c r="B163" s="24"/>
      <c r="C163" s="23"/>
      <c r="D163" s="22"/>
      <c r="E163" s="2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row>
    <row r="164" spans="2:82" x14ac:dyDescent="0.2">
      <c r="B164" s="24"/>
      <c r="C164" s="23"/>
      <c r="D164" s="22"/>
      <c r="E164" s="21"/>
    </row>
  </sheetData>
  <mergeCells count="182">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M7:M8"/>
    <mergeCell ref="N7:N8"/>
    <mergeCell ref="O7:O8"/>
    <mergeCell ref="P7:P8"/>
    <mergeCell ref="Q7:Q8"/>
    <mergeCell ref="R7:R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P7:EP8"/>
    <mergeCell ref="EQ7:EQ8"/>
    <mergeCell ref="ER7:ER8"/>
    <mergeCell ref="ES7:ES8"/>
    <mergeCell ref="ET7:ET8"/>
    <mergeCell ref="EI7:EI8"/>
    <mergeCell ref="EJ7:EJ8"/>
    <mergeCell ref="EK7:EK8"/>
    <mergeCell ref="EL7:EL8"/>
    <mergeCell ref="EM7:EM8"/>
    <mergeCell ref="EN7:EN8"/>
    <mergeCell ref="E1:F1"/>
    <mergeCell ref="FM7:FM8"/>
    <mergeCell ref="FN7:FN8"/>
    <mergeCell ref="FO7:FO8"/>
    <mergeCell ref="FP7:FP8"/>
    <mergeCell ref="FG7:FG8"/>
    <mergeCell ref="FH7:FH8"/>
    <mergeCell ref="FI7:FI8"/>
    <mergeCell ref="FJ7:FJ8"/>
    <mergeCell ref="FK7:FK8"/>
    <mergeCell ref="FL7:FL8"/>
    <mergeCell ref="FA7:FA8"/>
    <mergeCell ref="FB7:FB8"/>
    <mergeCell ref="FC7:FC8"/>
    <mergeCell ref="FD7:FD8"/>
    <mergeCell ref="FE7:FE8"/>
    <mergeCell ref="FF7:FF8"/>
    <mergeCell ref="EU7:EU8"/>
    <mergeCell ref="EV7:EV8"/>
    <mergeCell ref="EW7:EW8"/>
    <mergeCell ref="EX7:EX8"/>
    <mergeCell ref="EY7:EY8"/>
    <mergeCell ref="EZ7:EZ8"/>
    <mergeCell ref="EO7:EO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7D9A-A8F9-4ACC-BE0F-071E73BC993E}">
  <dimension ref="A1:FR145"/>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12.85546875" style="19" bestFit="1" customWidth="1"/>
    <col min="2" max="2" width="8.85546875" style="18" bestFit="1" customWidth="1"/>
    <col min="3" max="3" width="12.5703125" style="17" bestFit="1" customWidth="1"/>
    <col min="4" max="4" width="47.140625" style="16" bestFit="1" customWidth="1"/>
    <col min="5" max="5" width="10.5703125" style="15" bestFit="1" customWidth="1"/>
    <col min="6" max="6" width="16.7109375" style="13" bestFit="1" customWidth="1"/>
    <col min="7" max="173" width="13" style="13" customWidth="1"/>
    <col min="174" max="174" width="3" style="14" customWidth="1"/>
    <col min="175" max="16384" width="14.42578125" style="13"/>
  </cols>
  <sheetData>
    <row r="1" spans="1:173" s="62" customFormat="1" ht="12.75" customHeight="1" thickTop="1" x14ac:dyDescent="0.25">
      <c r="A1" s="552" t="s">
        <v>86</v>
      </c>
      <c r="B1" s="555" t="s">
        <v>21</v>
      </c>
      <c r="C1" s="556"/>
      <c r="D1" s="577" t="s">
        <v>8613</v>
      </c>
      <c r="E1" s="560" t="s">
        <v>22</v>
      </c>
      <c r="F1" s="561"/>
      <c r="G1" s="63"/>
      <c r="H1" s="59" t="s">
        <v>386</v>
      </c>
      <c r="I1" s="59" t="s">
        <v>386</v>
      </c>
      <c r="J1" s="59" t="s">
        <v>386</v>
      </c>
      <c r="K1" s="59" t="s">
        <v>386</v>
      </c>
      <c r="L1" s="59" t="s">
        <v>386</v>
      </c>
      <c r="M1" s="59" t="s">
        <v>386</v>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53"/>
      <c r="B2" s="562" t="s">
        <v>23</v>
      </c>
      <c r="C2" s="563"/>
      <c r="D2" s="578"/>
      <c r="E2" s="564" t="s">
        <v>24</v>
      </c>
      <c r="F2" s="565"/>
      <c r="G2" s="63"/>
      <c r="H2" s="8" t="s">
        <v>2622</v>
      </c>
      <c r="I2" s="8" t="s">
        <v>2634</v>
      </c>
      <c r="J2" s="11" t="s">
        <v>2612</v>
      </c>
      <c r="K2" s="11" t="s">
        <v>2616</v>
      </c>
      <c r="L2" s="11" t="s">
        <v>2620</v>
      </c>
      <c r="M2" s="11" t="s">
        <v>2625</v>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53"/>
      <c r="B3" s="566"/>
      <c r="C3" s="567"/>
      <c r="D3" s="578"/>
      <c r="E3" s="568" t="s">
        <v>25</v>
      </c>
      <c r="F3" s="569"/>
      <c r="G3" s="63"/>
      <c r="H3" s="7" t="s">
        <v>3226</v>
      </c>
      <c r="I3" s="7" t="s">
        <v>3211</v>
      </c>
      <c r="J3" s="12" t="s">
        <v>3173</v>
      </c>
      <c r="K3" s="12" t="s">
        <v>3205</v>
      </c>
      <c r="L3" s="12" t="s">
        <v>3222</v>
      </c>
      <c r="M3" s="12" t="s">
        <v>3229</v>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53"/>
      <c r="B4" s="570" t="s">
        <v>26</v>
      </c>
      <c r="C4" s="571"/>
      <c r="D4" s="61">
        <v>637.41999999999996</v>
      </c>
      <c r="E4" s="539" t="s">
        <v>27</v>
      </c>
      <c r="F4" s="540"/>
      <c r="G4" s="60"/>
      <c r="H4" s="58">
        <v>46122</v>
      </c>
      <c r="I4" s="58">
        <v>46143</v>
      </c>
      <c r="J4" s="58">
        <v>46170</v>
      </c>
      <c r="K4" s="58">
        <v>46143</v>
      </c>
      <c r="L4" s="58">
        <v>46122</v>
      </c>
      <c r="M4" s="58">
        <v>46122</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54"/>
      <c r="B5" s="541" t="s">
        <v>28</v>
      </c>
      <c r="C5" s="544">
        <v>637.41999999999996</v>
      </c>
      <c r="D5" s="546" t="s">
        <v>91</v>
      </c>
      <c r="E5" s="544">
        <f>SUBTOTAL(9,E8:E142)</f>
        <v>0</v>
      </c>
      <c r="F5" s="548" t="s">
        <v>29</v>
      </c>
      <c r="G5" s="56"/>
      <c r="H5" s="56"/>
      <c r="I5" s="56"/>
      <c r="J5" s="56"/>
      <c r="K5" s="56" t="str">
        <f t="shared" ref="K5:P5" si="0">IF(K6=0,"","RECHECK")</f>
        <v/>
      </c>
      <c r="L5" s="56" t="str">
        <f t="shared" si="0"/>
        <v/>
      </c>
      <c r="M5" s="56" t="str">
        <f t="shared" si="0"/>
        <v/>
      </c>
      <c r="N5" s="56" t="str">
        <f t="shared" si="0"/>
        <v/>
      </c>
      <c r="O5" s="56" t="str">
        <f t="shared" si="0"/>
        <v/>
      </c>
      <c r="P5" s="56" t="str">
        <f t="shared" si="0"/>
        <v/>
      </c>
      <c r="Q5" s="56"/>
      <c r="R5" s="56" t="str">
        <f t="shared" ref="R5:CC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si="1"/>
        <v/>
      </c>
      <c r="AY5" s="56" t="str">
        <f t="shared" si="1"/>
        <v/>
      </c>
      <c r="AZ5" s="56" t="str">
        <f t="shared" si="1"/>
        <v/>
      </c>
      <c r="BA5" s="56" t="str">
        <f t="shared" si="1"/>
        <v/>
      </c>
      <c r="BB5" s="56" t="str">
        <f t="shared" si="1"/>
        <v/>
      </c>
      <c r="BC5" s="56" t="str">
        <f t="shared" si="1"/>
        <v/>
      </c>
      <c r="BD5" s="56" t="str">
        <f t="shared" si="1"/>
        <v/>
      </c>
      <c r="BE5" s="56" t="str">
        <f t="shared" si="1"/>
        <v/>
      </c>
      <c r="BF5" s="56" t="str">
        <f t="shared" si="1"/>
        <v/>
      </c>
      <c r="BG5" s="56" t="str">
        <f t="shared" si="1"/>
        <v/>
      </c>
      <c r="BH5" s="56" t="str">
        <f t="shared" si="1"/>
        <v/>
      </c>
      <c r="BI5" s="56" t="str">
        <f t="shared" si="1"/>
        <v/>
      </c>
      <c r="BJ5" s="56" t="str">
        <f t="shared" si="1"/>
        <v/>
      </c>
      <c r="BK5" s="56" t="str">
        <f t="shared" si="1"/>
        <v/>
      </c>
      <c r="BL5" s="56" t="str">
        <f t="shared" si="1"/>
        <v/>
      </c>
      <c r="BM5" s="56" t="str">
        <f t="shared" si="1"/>
        <v/>
      </c>
      <c r="BN5" s="56" t="str">
        <f t="shared" si="1"/>
        <v/>
      </c>
      <c r="BO5" s="56" t="str">
        <f t="shared" si="1"/>
        <v/>
      </c>
      <c r="BP5" s="56" t="str">
        <f t="shared" si="1"/>
        <v/>
      </c>
      <c r="BQ5" s="56" t="str">
        <f t="shared" si="1"/>
        <v/>
      </c>
      <c r="BR5" s="56" t="str">
        <f t="shared" si="1"/>
        <v/>
      </c>
      <c r="BS5" s="56" t="str">
        <f t="shared" si="1"/>
        <v/>
      </c>
      <c r="BT5" s="56" t="str">
        <f t="shared" si="1"/>
        <v/>
      </c>
      <c r="BU5" s="56" t="str">
        <f t="shared" si="1"/>
        <v/>
      </c>
      <c r="BV5" s="56" t="str">
        <f t="shared" si="1"/>
        <v/>
      </c>
      <c r="BW5" s="56" t="str">
        <f t="shared" si="1"/>
        <v/>
      </c>
      <c r="BX5" s="56" t="str">
        <f t="shared" si="1"/>
        <v/>
      </c>
      <c r="BY5" s="56" t="str">
        <f t="shared" si="1"/>
        <v/>
      </c>
      <c r="BZ5" s="56" t="str">
        <f t="shared" si="1"/>
        <v/>
      </c>
      <c r="CA5" s="56" t="str">
        <f t="shared" si="1"/>
        <v/>
      </c>
      <c r="CB5" s="56" t="str">
        <f t="shared" si="1"/>
        <v/>
      </c>
      <c r="CC5" s="56" t="str">
        <f t="shared" si="1"/>
        <v/>
      </c>
      <c r="CD5" s="56" t="str">
        <f t="shared" ref="CD5:EO5" si="2">IF(CD6=0,"","RECHECK")</f>
        <v/>
      </c>
      <c r="CE5" s="56" t="str">
        <f t="shared" si="2"/>
        <v/>
      </c>
      <c r="CF5" s="56" t="str">
        <f t="shared" si="2"/>
        <v/>
      </c>
      <c r="CG5" s="56" t="str">
        <f t="shared" si="2"/>
        <v/>
      </c>
      <c r="CH5" s="56" t="str">
        <f t="shared" si="2"/>
        <v/>
      </c>
      <c r="CI5" s="56" t="str">
        <f t="shared" si="2"/>
        <v/>
      </c>
      <c r="CJ5" s="56" t="str">
        <f t="shared" si="2"/>
        <v/>
      </c>
      <c r="CK5" s="56" t="str">
        <f t="shared" si="2"/>
        <v/>
      </c>
      <c r="CL5" s="56" t="str">
        <f t="shared" si="2"/>
        <v/>
      </c>
      <c r="CM5" s="56" t="str">
        <f t="shared" si="2"/>
        <v/>
      </c>
      <c r="CN5" s="56" t="str">
        <f t="shared" si="2"/>
        <v/>
      </c>
      <c r="CO5" s="56" t="str">
        <f t="shared" si="2"/>
        <v/>
      </c>
      <c r="CP5" s="56" t="str">
        <f t="shared" si="2"/>
        <v/>
      </c>
      <c r="CQ5" s="56" t="str">
        <f t="shared" si="2"/>
        <v/>
      </c>
      <c r="CR5" s="56" t="str">
        <f t="shared" si="2"/>
        <v/>
      </c>
      <c r="CS5" s="56" t="str">
        <f t="shared" si="2"/>
        <v/>
      </c>
      <c r="CT5" s="56" t="str">
        <f t="shared" si="2"/>
        <v/>
      </c>
      <c r="CU5" s="56" t="str">
        <f t="shared" si="2"/>
        <v/>
      </c>
      <c r="CV5" s="56" t="str">
        <f t="shared" si="2"/>
        <v/>
      </c>
      <c r="CW5" s="56" t="str">
        <f t="shared" si="2"/>
        <v/>
      </c>
      <c r="CX5" s="56" t="str">
        <f t="shared" si="2"/>
        <v/>
      </c>
      <c r="CY5" s="56" t="str">
        <f t="shared" si="2"/>
        <v/>
      </c>
      <c r="CZ5" s="56" t="str">
        <f t="shared" si="2"/>
        <v/>
      </c>
      <c r="DA5" s="56" t="str">
        <f t="shared" si="2"/>
        <v/>
      </c>
      <c r="DB5" s="56" t="str">
        <f t="shared" si="2"/>
        <v/>
      </c>
      <c r="DC5" s="56" t="str">
        <f t="shared" si="2"/>
        <v/>
      </c>
      <c r="DD5" s="56" t="str">
        <f t="shared" si="2"/>
        <v/>
      </c>
      <c r="DE5" s="56" t="str">
        <f t="shared" si="2"/>
        <v/>
      </c>
      <c r="DF5" s="56" t="str">
        <f t="shared" si="2"/>
        <v/>
      </c>
      <c r="DG5" s="56" t="str">
        <f t="shared" si="2"/>
        <v/>
      </c>
      <c r="DH5" s="56" t="str">
        <f t="shared" si="2"/>
        <v/>
      </c>
      <c r="DI5" s="56" t="str">
        <f t="shared" si="2"/>
        <v/>
      </c>
      <c r="DJ5" s="56" t="str">
        <f t="shared" si="2"/>
        <v/>
      </c>
      <c r="DK5" s="56" t="str">
        <f t="shared" si="2"/>
        <v/>
      </c>
      <c r="DL5" s="56" t="str">
        <f t="shared" si="2"/>
        <v/>
      </c>
      <c r="DM5" s="56" t="str">
        <f t="shared" si="2"/>
        <v/>
      </c>
      <c r="DN5" s="56" t="str">
        <f t="shared" si="2"/>
        <v/>
      </c>
      <c r="DO5" s="56" t="str">
        <f t="shared" si="2"/>
        <v/>
      </c>
      <c r="DP5" s="56" t="str">
        <f t="shared" si="2"/>
        <v/>
      </c>
      <c r="DQ5" s="56" t="str">
        <f t="shared" si="2"/>
        <v/>
      </c>
      <c r="DR5" s="56" t="str">
        <f t="shared" si="2"/>
        <v/>
      </c>
      <c r="DS5" s="56" t="str">
        <f t="shared" si="2"/>
        <v/>
      </c>
      <c r="DT5" s="56" t="str">
        <f t="shared" si="2"/>
        <v/>
      </c>
      <c r="DU5" s="56" t="str">
        <f t="shared" si="2"/>
        <v/>
      </c>
      <c r="DV5" s="56" t="str">
        <f t="shared" si="2"/>
        <v/>
      </c>
      <c r="DW5" s="56" t="str">
        <f t="shared" si="2"/>
        <v/>
      </c>
      <c r="DX5" s="56" t="str">
        <f t="shared" si="2"/>
        <v/>
      </c>
      <c r="DY5" s="56" t="str">
        <f t="shared" si="2"/>
        <v/>
      </c>
      <c r="DZ5" s="56" t="str">
        <f t="shared" si="2"/>
        <v/>
      </c>
      <c r="EA5" s="56" t="str">
        <f t="shared" si="2"/>
        <v/>
      </c>
      <c r="EB5" s="56" t="str">
        <f t="shared" si="2"/>
        <v/>
      </c>
      <c r="EC5" s="56" t="str">
        <f t="shared" si="2"/>
        <v/>
      </c>
      <c r="ED5" s="56" t="str">
        <f t="shared" si="2"/>
        <v/>
      </c>
      <c r="EE5" s="56" t="str">
        <f t="shared" si="2"/>
        <v/>
      </c>
      <c r="EF5" s="56" t="str">
        <f t="shared" si="2"/>
        <v/>
      </c>
      <c r="EG5" s="56" t="str">
        <f t="shared" si="2"/>
        <v/>
      </c>
      <c r="EH5" s="56" t="str">
        <f t="shared" si="2"/>
        <v/>
      </c>
      <c r="EI5" s="56" t="str">
        <f t="shared" si="2"/>
        <v/>
      </c>
      <c r="EJ5" s="56" t="str">
        <f t="shared" si="2"/>
        <v/>
      </c>
      <c r="EK5" s="56" t="str">
        <f t="shared" si="2"/>
        <v/>
      </c>
      <c r="EL5" s="56" t="str">
        <f t="shared" si="2"/>
        <v/>
      </c>
      <c r="EM5" s="56" t="str">
        <f t="shared" si="2"/>
        <v/>
      </c>
      <c r="EN5" s="56" t="str">
        <f t="shared" si="2"/>
        <v/>
      </c>
      <c r="EO5" s="56" t="str">
        <f t="shared" si="2"/>
        <v/>
      </c>
      <c r="EP5" s="56" t="str">
        <f t="shared" ref="EP5:FQ5" si="3">IF(EP6=0,"","RECHECK")</f>
        <v/>
      </c>
      <c r="EQ5" s="56" t="str">
        <f t="shared" si="3"/>
        <v/>
      </c>
      <c r="ER5" s="56" t="str">
        <f t="shared" si="3"/>
        <v/>
      </c>
      <c r="ES5" s="56" t="str">
        <f t="shared" si="3"/>
        <v/>
      </c>
      <c r="ET5" s="56" t="str">
        <f t="shared" si="3"/>
        <v/>
      </c>
      <c r="EU5" s="56" t="str">
        <f t="shared" si="3"/>
        <v/>
      </c>
      <c r="EV5" s="56" t="str">
        <f t="shared" si="3"/>
        <v/>
      </c>
      <c r="EW5" s="56" t="str">
        <f t="shared" si="3"/>
        <v/>
      </c>
      <c r="EX5" s="56" t="str">
        <f t="shared" si="3"/>
        <v/>
      </c>
      <c r="EY5" s="56" t="str">
        <f t="shared" si="3"/>
        <v/>
      </c>
      <c r="EZ5" s="56" t="str">
        <f t="shared" si="3"/>
        <v/>
      </c>
      <c r="FA5" s="56" t="str">
        <f t="shared" si="3"/>
        <v/>
      </c>
      <c r="FB5" s="56" t="str">
        <f t="shared" si="3"/>
        <v/>
      </c>
      <c r="FC5" s="56" t="str">
        <f t="shared" si="3"/>
        <v/>
      </c>
      <c r="FD5" s="56" t="str">
        <f t="shared" si="3"/>
        <v/>
      </c>
      <c r="FE5" s="56" t="str">
        <f t="shared" si="3"/>
        <v/>
      </c>
      <c r="FF5" s="56" t="str">
        <f t="shared" si="3"/>
        <v/>
      </c>
      <c r="FG5" s="56" t="str">
        <f t="shared" si="3"/>
        <v/>
      </c>
      <c r="FH5" s="56" t="str">
        <f t="shared" si="3"/>
        <v/>
      </c>
      <c r="FI5" s="56" t="str">
        <f t="shared" si="3"/>
        <v/>
      </c>
      <c r="FJ5" s="56" t="str">
        <f t="shared" si="3"/>
        <v/>
      </c>
      <c r="FK5" s="56" t="str">
        <f t="shared" si="3"/>
        <v/>
      </c>
      <c r="FL5" s="56" t="str">
        <f t="shared" si="3"/>
        <v/>
      </c>
      <c r="FM5" s="56" t="str">
        <f t="shared" si="3"/>
        <v/>
      </c>
      <c r="FN5" s="56" t="str">
        <f t="shared" si="3"/>
        <v/>
      </c>
      <c r="FO5" s="56" t="str">
        <f t="shared" si="3"/>
        <v/>
      </c>
      <c r="FP5" s="56" t="str">
        <f t="shared" si="3"/>
        <v/>
      </c>
      <c r="FQ5" s="56" t="str">
        <f t="shared" si="3"/>
        <v/>
      </c>
    </row>
    <row r="6" spans="1:173" s="53" customFormat="1" ht="14.25" thickTop="1" thickBot="1" x14ac:dyDescent="0.25">
      <c r="A6" s="54"/>
      <c r="B6" s="542"/>
      <c r="C6" s="545"/>
      <c r="D6" s="547"/>
      <c r="E6" s="545"/>
      <c r="F6" s="549"/>
      <c r="G6" s="535">
        <f t="shared" ref="G6:BR6" si="4">SUBTOTAL(9,G9:G143)</f>
        <v>0</v>
      </c>
      <c r="H6" s="537">
        <f t="shared" si="4"/>
        <v>0</v>
      </c>
      <c r="I6" s="537">
        <f t="shared" si="4"/>
        <v>0</v>
      </c>
      <c r="J6" s="537">
        <f t="shared" si="4"/>
        <v>0</v>
      </c>
      <c r="K6" s="537">
        <f t="shared" si="4"/>
        <v>0</v>
      </c>
      <c r="L6" s="537">
        <f t="shared" si="4"/>
        <v>0</v>
      </c>
      <c r="M6" s="537">
        <f t="shared" si="4"/>
        <v>0</v>
      </c>
      <c r="N6" s="537">
        <f t="shared" si="4"/>
        <v>0</v>
      </c>
      <c r="O6" s="537">
        <f t="shared" si="4"/>
        <v>0</v>
      </c>
      <c r="P6" s="537">
        <f t="shared" si="4"/>
        <v>0</v>
      </c>
      <c r="Q6" s="537">
        <f t="shared" si="4"/>
        <v>0</v>
      </c>
      <c r="R6" s="537">
        <f t="shared" si="4"/>
        <v>0</v>
      </c>
      <c r="S6" s="537">
        <f t="shared" si="4"/>
        <v>0</v>
      </c>
      <c r="T6" s="537">
        <f t="shared" si="4"/>
        <v>0</v>
      </c>
      <c r="U6" s="537">
        <f t="shared" si="4"/>
        <v>0</v>
      </c>
      <c r="V6" s="537">
        <f t="shared" si="4"/>
        <v>0</v>
      </c>
      <c r="W6" s="537">
        <f t="shared" si="4"/>
        <v>0</v>
      </c>
      <c r="X6" s="537">
        <f t="shared" si="4"/>
        <v>0</v>
      </c>
      <c r="Y6" s="537">
        <f t="shared" si="4"/>
        <v>0</v>
      </c>
      <c r="Z6" s="537">
        <f t="shared" si="4"/>
        <v>0</v>
      </c>
      <c r="AA6" s="537">
        <f t="shared" si="4"/>
        <v>0</v>
      </c>
      <c r="AB6" s="537">
        <f t="shared" si="4"/>
        <v>0</v>
      </c>
      <c r="AC6" s="537">
        <f t="shared" si="4"/>
        <v>0</v>
      </c>
      <c r="AD6" s="537">
        <f t="shared" si="4"/>
        <v>0</v>
      </c>
      <c r="AE6" s="537">
        <f t="shared" si="4"/>
        <v>0</v>
      </c>
      <c r="AF6" s="537">
        <f t="shared" si="4"/>
        <v>0</v>
      </c>
      <c r="AG6" s="537">
        <f t="shared" si="4"/>
        <v>0</v>
      </c>
      <c r="AH6" s="537">
        <f t="shared" si="4"/>
        <v>0</v>
      </c>
      <c r="AI6" s="537">
        <f t="shared" si="4"/>
        <v>0</v>
      </c>
      <c r="AJ6" s="537">
        <f t="shared" si="4"/>
        <v>0</v>
      </c>
      <c r="AK6" s="537">
        <f t="shared" si="4"/>
        <v>0</v>
      </c>
      <c r="AL6" s="537">
        <f t="shared" si="4"/>
        <v>0</v>
      </c>
      <c r="AM6" s="537">
        <f t="shared" si="4"/>
        <v>0</v>
      </c>
      <c r="AN6" s="537">
        <f t="shared" si="4"/>
        <v>0</v>
      </c>
      <c r="AO6" s="537">
        <f t="shared" si="4"/>
        <v>0</v>
      </c>
      <c r="AP6" s="537">
        <f t="shared" si="4"/>
        <v>0</v>
      </c>
      <c r="AQ6" s="537">
        <f t="shared" si="4"/>
        <v>0</v>
      </c>
      <c r="AR6" s="537">
        <f t="shared" si="4"/>
        <v>0</v>
      </c>
      <c r="AS6" s="537">
        <f t="shared" si="4"/>
        <v>0</v>
      </c>
      <c r="AT6" s="537">
        <f t="shared" si="4"/>
        <v>0</v>
      </c>
      <c r="AU6" s="537">
        <f t="shared" si="4"/>
        <v>0</v>
      </c>
      <c r="AV6" s="537">
        <f t="shared" si="4"/>
        <v>0</v>
      </c>
      <c r="AW6" s="537">
        <f t="shared" si="4"/>
        <v>0</v>
      </c>
      <c r="AX6" s="537">
        <f t="shared" si="4"/>
        <v>0</v>
      </c>
      <c r="AY6" s="537">
        <f t="shared" si="4"/>
        <v>0</v>
      </c>
      <c r="AZ6" s="537">
        <f t="shared" si="4"/>
        <v>0</v>
      </c>
      <c r="BA6" s="537">
        <f t="shared" si="4"/>
        <v>0</v>
      </c>
      <c r="BB6" s="537">
        <f t="shared" si="4"/>
        <v>0</v>
      </c>
      <c r="BC6" s="537">
        <f t="shared" si="4"/>
        <v>0</v>
      </c>
      <c r="BD6" s="537">
        <f t="shared" si="4"/>
        <v>0</v>
      </c>
      <c r="BE6" s="537">
        <f t="shared" si="4"/>
        <v>0</v>
      </c>
      <c r="BF6" s="537">
        <f t="shared" si="4"/>
        <v>0</v>
      </c>
      <c r="BG6" s="537">
        <f t="shared" si="4"/>
        <v>0</v>
      </c>
      <c r="BH6" s="537">
        <f t="shared" si="4"/>
        <v>0</v>
      </c>
      <c r="BI6" s="537">
        <f t="shared" si="4"/>
        <v>0</v>
      </c>
      <c r="BJ6" s="537">
        <f t="shared" si="4"/>
        <v>0</v>
      </c>
      <c r="BK6" s="537">
        <f t="shared" si="4"/>
        <v>0</v>
      </c>
      <c r="BL6" s="537">
        <f t="shared" si="4"/>
        <v>0</v>
      </c>
      <c r="BM6" s="537">
        <f t="shared" si="4"/>
        <v>0</v>
      </c>
      <c r="BN6" s="537">
        <f t="shared" si="4"/>
        <v>0</v>
      </c>
      <c r="BO6" s="537">
        <f t="shared" si="4"/>
        <v>0</v>
      </c>
      <c r="BP6" s="537">
        <f t="shared" si="4"/>
        <v>0</v>
      </c>
      <c r="BQ6" s="537">
        <f t="shared" si="4"/>
        <v>0</v>
      </c>
      <c r="BR6" s="537">
        <f t="shared" si="4"/>
        <v>0</v>
      </c>
      <c r="BS6" s="537">
        <f t="shared" ref="BS6:ED6" si="5">SUBTOTAL(9,BS9:BS143)</f>
        <v>0</v>
      </c>
      <c r="BT6" s="537">
        <f t="shared" si="5"/>
        <v>0</v>
      </c>
      <c r="BU6" s="537">
        <f t="shared" si="5"/>
        <v>0</v>
      </c>
      <c r="BV6" s="537">
        <f t="shared" si="5"/>
        <v>0</v>
      </c>
      <c r="BW6" s="537">
        <f t="shared" si="5"/>
        <v>0</v>
      </c>
      <c r="BX6" s="537">
        <f t="shared" si="5"/>
        <v>0</v>
      </c>
      <c r="BY6" s="537">
        <f t="shared" si="5"/>
        <v>0</v>
      </c>
      <c r="BZ6" s="537">
        <f t="shared" si="5"/>
        <v>0</v>
      </c>
      <c r="CA6" s="537">
        <f t="shared" si="5"/>
        <v>0</v>
      </c>
      <c r="CB6" s="537">
        <f t="shared" si="5"/>
        <v>0</v>
      </c>
      <c r="CC6" s="537">
        <f t="shared" si="5"/>
        <v>0</v>
      </c>
      <c r="CD6" s="537">
        <f t="shared" si="5"/>
        <v>0</v>
      </c>
      <c r="CE6" s="537">
        <f t="shared" si="5"/>
        <v>0</v>
      </c>
      <c r="CF6" s="537">
        <f t="shared" si="5"/>
        <v>0</v>
      </c>
      <c r="CG6" s="537">
        <f t="shared" si="5"/>
        <v>0</v>
      </c>
      <c r="CH6" s="537">
        <f t="shared" si="5"/>
        <v>0</v>
      </c>
      <c r="CI6" s="537">
        <f t="shared" si="5"/>
        <v>0</v>
      </c>
      <c r="CJ6" s="537">
        <f t="shared" si="5"/>
        <v>0</v>
      </c>
      <c r="CK6" s="537">
        <f t="shared" si="5"/>
        <v>0</v>
      </c>
      <c r="CL6" s="537">
        <f t="shared" si="5"/>
        <v>0</v>
      </c>
      <c r="CM6" s="537">
        <f t="shared" si="5"/>
        <v>0</v>
      </c>
      <c r="CN6" s="537">
        <f t="shared" si="5"/>
        <v>0</v>
      </c>
      <c r="CO6" s="537">
        <f t="shared" si="5"/>
        <v>0</v>
      </c>
      <c r="CP6" s="537">
        <f t="shared" si="5"/>
        <v>0</v>
      </c>
      <c r="CQ6" s="537">
        <f t="shared" si="5"/>
        <v>0</v>
      </c>
      <c r="CR6" s="537">
        <f t="shared" si="5"/>
        <v>0</v>
      </c>
      <c r="CS6" s="537">
        <f t="shared" si="5"/>
        <v>0</v>
      </c>
      <c r="CT6" s="537">
        <f t="shared" si="5"/>
        <v>0</v>
      </c>
      <c r="CU6" s="537">
        <f t="shared" si="5"/>
        <v>0</v>
      </c>
      <c r="CV6" s="537">
        <f t="shared" si="5"/>
        <v>0</v>
      </c>
      <c r="CW6" s="537">
        <f t="shared" si="5"/>
        <v>0</v>
      </c>
      <c r="CX6" s="537">
        <f t="shared" si="5"/>
        <v>0</v>
      </c>
      <c r="CY6" s="537">
        <f t="shared" si="5"/>
        <v>0</v>
      </c>
      <c r="CZ6" s="537">
        <f t="shared" si="5"/>
        <v>0</v>
      </c>
      <c r="DA6" s="537">
        <f t="shared" si="5"/>
        <v>0</v>
      </c>
      <c r="DB6" s="537">
        <f t="shared" si="5"/>
        <v>0</v>
      </c>
      <c r="DC6" s="537">
        <f t="shared" si="5"/>
        <v>0</v>
      </c>
      <c r="DD6" s="537">
        <f t="shared" si="5"/>
        <v>0</v>
      </c>
      <c r="DE6" s="537">
        <f t="shared" si="5"/>
        <v>0</v>
      </c>
      <c r="DF6" s="537">
        <f t="shared" si="5"/>
        <v>0</v>
      </c>
      <c r="DG6" s="537">
        <f t="shared" si="5"/>
        <v>0</v>
      </c>
      <c r="DH6" s="537">
        <f t="shared" si="5"/>
        <v>0</v>
      </c>
      <c r="DI6" s="537">
        <f t="shared" si="5"/>
        <v>0</v>
      </c>
      <c r="DJ6" s="537">
        <f t="shared" si="5"/>
        <v>0</v>
      </c>
      <c r="DK6" s="537">
        <f t="shared" si="5"/>
        <v>0</v>
      </c>
      <c r="DL6" s="537">
        <f t="shared" si="5"/>
        <v>0</v>
      </c>
      <c r="DM6" s="537">
        <f t="shared" si="5"/>
        <v>0</v>
      </c>
      <c r="DN6" s="537">
        <f t="shared" si="5"/>
        <v>0</v>
      </c>
      <c r="DO6" s="537">
        <f t="shared" si="5"/>
        <v>0</v>
      </c>
      <c r="DP6" s="537">
        <f t="shared" si="5"/>
        <v>0</v>
      </c>
      <c r="DQ6" s="537">
        <f t="shared" si="5"/>
        <v>0</v>
      </c>
      <c r="DR6" s="537">
        <f t="shared" si="5"/>
        <v>0</v>
      </c>
      <c r="DS6" s="537">
        <f t="shared" si="5"/>
        <v>0</v>
      </c>
      <c r="DT6" s="537">
        <f t="shared" si="5"/>
        <v>0</v>
      </c>
      <c r="DU6" s="537">
        <f t="shared" si="5"/>
        <v>0</v>
      </c>
      <c r="DV6" s="537">
        <f t="shared" si="5"/>
        <v>0</v>
      </c>
      <c r="DW6" s="537">
        <f t="shared" si="5"/>
        <v>0</v>
      </c>
      <c r="DX6" s="537">
        <f t="shared" si="5"/>
        <v>0</v>
      </c>
      <c r="DY6" s="537">
        <f t="shared" si="5"/>
        <v>0</v>
      </c>
      <c r="DZ6" s="537">
        <f t="shared" si="5"/>
        <v>0</v>
      </c>
      <c r="EA6" s="537">
        <f t="shared" si="5"/>
        <v>0</v>
      </c>
      <c r="EB6" s="537">
        <f t="shared" si="5"/>
        <v>0</v>
      </c>
      <c r="EC6" s="537">
        <f t="shared" si="5"/>
        <v>0</v>
      </c>
      <c r="ED6" s="537">
        <f t="shared" si="5"/>
        <v>0</v>
      </c>
      <c r="EE6" s="537">
        <f t="shared" ref="EE6:FQ6" si="6">SUBTOTAL(9,EE9:EE143)</f>
        <v>0</v>
      </c>
      <c r="EF6" s="537">
        <f t="shared" si="6"/>
        <v>0</v>
      </c>
      <c r="EG6" s="537">
        <f t="shared" si="6"/>
        <v>0</v>
      </c>
      <c r="EH6" s="537">
        <f t="shared" si="6"/>
        <v>0</v>
      </c>
      <c r="EI6" s="537">
        <f t="shared" si="6"/>
        <v>0</v>
      </c>
      <c r="EJ6" s="537">
        <f t="shared" si="6"/>
        <v>0</v>
      </c>
      <c r="EK6" s="537">
        <f t="shared" si="6"/>
        <v>0</v>
      </c>
      <c r="EL6" s="537">
        <f t="shared" si="6"/>
        <v>0</v>
      </c>
      <c r="EM6" s="537">
        <f t="shared" si="6"/>
        <v>0</v>
      </c>
      <c r="EN6" s="537">
        <f t="shared" si="6"/>
        <v>0</v>
      </c>
      <c r="EO6" s="537">
        <f t="shared" si="6"/>
        <v>0</v>
      </c>
      <c r="EP6" s="537">
        <f t="shared" si="6"/>
        <v>0</v>
      </c>
      <c r="EQ6" s="537">
        <f t="shared" si="6"/>
        <v>0</v>
      </c>
      <c r="ER6" s="537">
        <f t="shared" si="6"/>
        <v>0</v>
      </c>
      <c r="ES6" s="537">
        <f t="shared" si="6"/>
        <v>0</v>
      </c>
      <c r="ET6" s="537">
        <f t="shared" si="6"/>
        <v>0</v>
      </c>
      <c r="EU6" s="537">
        <f t="shared" si="6"/>
        <v>0</v>
      </c>
      <c r="EV6" s="537">
        <f t="shared" si="6"/>
        <v>0</v>
      </c>
      <c r="EW6" s="537">
        <f t="shared" si="6"/>
        <v>0</v>
      </c>
      <c r="EX6" s="537">
        <f t="shared" si="6"/>
        <v>0</v>
      </c>
      <c r="EY6" s="537">
        <f t="shared" si="6"/>
        <v>0</v>
      </c>
      <c r="EZ6" s="537">
        <f t="shared" si="6"/>
        <v>0</v>
      </c>
      <c r="FA6" s="537">
        <f t="shared" si="6"/>
        <v>0</v>
      </c>
      <c r="FB6" s="537">
        <f t="shared" si="6"/>
        <v>0</v>
      </c>
      <c r="FC6" s="537">
        <f t="shared" si="6"/>
        <v>0</v>
      </c>
      <c r="FD6" s="537">
        <f t="shared" si="6"/>
        <v>0</v>
      </c>
      <c r="FE6" s="537">
        <f t="shared" si="6"/>
        <v>0</v>
      </c>
      <c r="FF6" s="537">
        <f t="shared" si="6"/>
        <v>0</v>
      </c>
      <c r="FG6" s="537">
        <f t="shared" si="6"/>
        <v>0</v>
      </c>
      <c r="FH6" s="537">
        <f t="shared" si="6"/>
        <v>0</v>
      </c>
      <c r="FI6" s="537">
        <f t="shared" si="6"/>
        <v>0</v>
      </c>
      <c r="FJ6" s="537">
        <f t="shared" si="6"/>
        <v>0</v>
      </c>
      <c r="FK6" s="537">
        <f t="shared" si="6"/>
        <v>0</v>
      </c>
      <c r="FL6" s="537">
        <f t="shared" si="6"/>
        <v>0</v>
      </c>
      <c r="FM6" s="537">
        <f t="shared" si="6"/>
        <v>0</v>
      </c>
      <c r="FN6" s="537">
        <f t="shared" si="6"/>
        <v>0</v>
      </c>
      <c r="FO6" s="537">
        <f t="shared" si="6"/>
        <v>0</v>
      </c>
      <c r="FP6" s="537">
        <f t="shared" si="6"/>
        <v>0</v>
      </c>
      <c r="FQ6" s="537">
        <f t="shared" si="6"/>
        <v>0</v>
      </c>
    </row>
    <row r="7" spans="1:173" s="26" customFormat="1" ht="14.25" thickTop="1" thickBot="1" x14ac:dyDescent="0.25">
      <c r="A7" s="52" t="s">
        <v>8604</v>
      </c>
      <c r="B7" s="543"/>
      <c r="C7" s="51" t="s">
        <v>8607</v>
      </c>
      <c r="D7" s="50" t="s">
        <v>8608</v>
      </c>
      <c r="E7" s="49" t="s">
        <v>6</v>
      </c>
      <c r="F7" s="550"/>
      <c r="G7" s="536"/>
      <c r="H7" s="538"/>
      <c r="I7" s="538"/>
      <c r="J7" s="538"/>
      <c r="K7" s="538"/>
      <c r="L7" s="538"/>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8"/>
      <c r="CH7" s="538"/>
      <c r="CI7" s="538"/>
      <c r="CJ7" s="538"/>
      <c r="CK7" s="538"/>
      <c r="CL7" s="538"/>
      <c r="CM7" s="538"/>
      <c r="CN7" s="538"/>
      <c r="CO7" s="538"/>
      <c r="CP7" s="538"/>
      <c r="CQ7" s="538"/>
      <c r="CR7" s="538"/>
      <c r="CS7" s="538"/>
      <c r="CT7" s="538"/>
      <c r="CU7" s="538"/>
      <c r="CV7" s="538"/>
      <c r="CW7" s="538"/>
      <c r="CX7" s="538"/>
      <c r="CY7" s="538"/>
      <c r="CZ7" s="538"/>
      <c r="DA7" s="538"/>
      <c r="DB7" s="538"/>
      <c r="DC7" s="538"/>
      <c r="DD7" s="538"/>
      <c r="DE7" s="538"/>
      <c r="DF7" s="538"/>
      <c r="DG7" s="538"/>
      <c r="DH7" s="538"/>
      <c r="DI7" s="538"/>
      <c r="DJ7" s="538"/>
      <c r="DK7" s="538"/>
      <c r="DL7" s="538"/>
      <c r="DM7" s="538"/>
      <c r="DN7" s="538"/>
      <c r="DO7" s="538"/>
      <c r="DP7" s="538"/>
      <c r="DQ7" s="538"/>
      <c r="DR7" s="538"/>
      <c r="DS7" s="538"/>
      <c r="DT7" s="538"/>
      <c r="DU7" s="538"/>
      <c r="DV7" s="538"/>
      <c r="DW7" s="538"/>
      <c r="DX7" s="538"/>
      <c r="DY7" s="538"/>
      <c r="DZ7" s="538"/>
      <c r="EA7" s="538"/>
      <c r="EB7" s="538"/>
      <c r="EC7" s="538"/>
      <c r="ED7" s="538"/>
      <c r="EE7" s="538"/>
      <c r="EF7" s="538"/>
      <c r="EG7" s="538"/>
      <c r="EH7" s="538"/>
      <c r="EI7" s="538"/>
      <c r="EJ7" s="538"/>
      <c r="EK7" s="538"/>
      <c r="EL7" s="538"/>
      <c r="EM7" s="538"/>
      <c r="EN7" s="538"/>
      <c r="EO7" s="538"/>
      <c r="EP7" s="538"/>
      <c r="EQ7" s="538"/>
      <c r="ER7" s="538"/>
      <c r="ES7" s="538"/>
      <c r="ET7" s="538"/>
      <c r="EU7" s="538"/>
      <c r="EV7" s="538"/>
      <c r="EW7" s="538"/>
      <c r="EX7" s="538"/>
      <c r="EY7" s="538"/>
      <c r="EZ7" s="538"/>
      <c r="FA7" s="538"/>
      <c r="FB7" s="538"/>
      <c r="FC7" s="538"/>
      <c r="FD7" s="538"/>
      <c r="FE7" s="538"/>
      <c r="FF7" s="538"/>
      <c r="FG7" s="538"/>
      <c r="FH7" s="538"/>
      <c r="FI7" s="538"/>
      <c r="FJ7" s="538"/>
      <c r="FK7" s="538"/>
      <c r="FL7" s="538"/>
      <c r="FM7" s="538"/>
      <c r="FN7" s="538"/>
      <c r="FO7" s="538"/>
      <c r="FP7" s="538"/>
      <c r="FQ7" s="538"/>
    </row>
    <row r="8" spans="1:173" s="40" customFormat="1" ht="12.75" customHeight="1" thickTop="1" x14ac:dyDescent="0.2">
      <c r="A8" s="48" t="s">
        <v>8605</v>
      </c>
      <c r="B8" s="47" t="s">
        <v>8606</v>
      </c>
      <c r="C8" s="45" t="s">
        <v>8607</v>
      </c>
      <c r="D8" s="46" t="s">
        <v>8608</v>
      </c>
      <c r="E8" s="45" t="s">
        <v>6</v>
      </c>
      <c r="F8" s="44" t="s">
        <v>8612</v>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ht="24" x14ac:dyDescent="0.2">
      <c r="A9" s="38"/>
      <c r="B9" s="39">
        <v>64</v>
      </c>
      <c r="C9" s="36">
        <f t="shared" ref="C9:C72" si="7">E9*D$4</f>
        <v>0</v>
      </c>
      <c r="D9" s="3" t="s">
        <v>8609</v>
      </c>
      <c r="E9" s="36">
        <f t="shared" ref="E9:E72" si="8">SUM(G9:HJ9)</f>
        <v>0</v>
      </c>
      <c r="F9" s="35"/>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c r="B10" s="39">
        <v>65</v>
      </c>
      <c r="C10" s="36">
        <f t="shared" si="7"/>
        <v>0</v>
      </c>
      <c r="D10" s="3" t="s">
        <v>388</v>
      </c>
      <c r="E10" s="36">
        <f t="shared" si="8"/>
        <v>0</v>
      </c>
      <c r="F10" s="35"/>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c r="B11" s="39">
        <v>66</v>
      </c>
      <c r="C11" s="36">
        <f t="shared" si="7"/>
        <v>0</v>
      </c>
      <c r="D11" s="3" t="s">
        <v>8610</v>
      </c>
      <c r="E11" s="36">
        <f t="shared" si="8"/>
        <v>0</v>
      </c>
      <c r="F11" s="35"/>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c r="B12" s="39">
        <v>67</v>
      </c>
      <c r="C12" s="36">
        <f t="shared" si="7"/>
        <v>0</v>
      </c>
      <c r="D12" s="371" t="s">
        <v>8611</v>
      </c>
      <c r="E12" s="36">
        <f t="shared" si="8"/>
        <v>0</v>
      </c>
      <c r="F12" s="35"/>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c r="B13" s="39">
        <v>68</v>
      </c>
      <c r="C13" s="36">
        <f t="shared" si="7"/>
        <v>0</v>
      </c>
      <c r="D13" s="10" t="s">
        <v>3003</v>
      </c>
      <c r="E13" s="36">
        <f t="shared" si="8"/>
        <v>0</v>
      </c>
      <c r="F13" s="35"/>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c r="B14" s="39">
        <v>69</v>
      </c>
      <c r="C14" s="36">
        <f t="shared" si="7"/>
        <v>0</v>
      </c>
      <c r="D14" s="10" t="s">
        <v>3005</v>
      </c>
      <c r="E14" s="36">
        <f t="shared" si="8"/>
        <v>0</v>
      </c>
      <c r="F14" s="35"/>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c r="B15" s="39" t="s">
        <v>8614</v>
      </c>
      <c r="C15" s="36">
        <f t="shared" si="7"/>
        <v>0</v>
      </c>
      <c r="D15" s="10" t="s">
        <v>384</v>
      </c>
      <c r="E15" s="36">
        <f t="shared" si="8"/>
        <v>0</v>
      </c>
      <c r="F15" s="35"/>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c r="B16" s="39"/>
      <c r="C16" s="36">
        <f t="shared" si="7"/>
        <v>0</v>
      </c>
      <c r="D16" s="10"/>
      <c r="E16" s="36">
        <f t="shared" si="8"/>
        <v>0</v>
      </c>
      <c r="F16" s="35"/>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 t="shared" si="7"/>
        <v>0</v>
      </c>
      <c r="D17" s="10"/>
      <c r="E17" s="36">
        <f t="shared" si="8"/>
        <v>0</v>
      </c>
      <c r="F17" s="35"/>
      <c r="G17" s="28"/>
      <c r="H17" s="28"/>
    </row>
    <row r="18" spans="2:8" s="27" customFormat="1" x14ac:dyDescent="0.2">
      <c r="B18" s="39"/>
      <c r="C18" s="36">
        <f t="shared" si="7"/>
        <v>0</v>
      </c>
      <c r="D18" s="10"/>
      <c r="E18" s="36">
        <f t="shared" si="8"/>
        <v>0</v>
      </c>
      <c r="F18" s="35"/>
      <c r="G18" s="28"/>
      <c r="H18" s="28"/>
    </row>
    <row r="19" spans="2:8" s="27" customFormat="1" x14ac:dyDescent="0.2">
      <c r="B19" s="39"/>
      <c r="C19" s="36">
        <f t="shared" si="7"/>
        <v>0</v>
      </c>
      <c r="D19" s="10"/>
      <c r="E19" s="36">
        <f t="shared" si="8"/>
        <v>0</v>
      </c>
      <c r="F19" s="35"/>
      <c r="G19" s="28"/>
      <c r="H19" s="28"/>
    </row>
    <row r="20" spans="2:8" s="27" customFormat="1" x14ac:dyDescent="0.2">
      <c r="B20" s="39"/>
      <c r="C20" s="36">
        <f t="shared" si="7"/>
        <v>0</v>
      </c>
      <c r="D20" s="66"/>
      <c r="E20" s="36">
        <f t="shared" si="8"/>
        <v>0</v>
      </c>
      <c r="F20" s="35"/>
      <c r="G20" s="28"/>
      <c r="H20" s="28"/>
    </row>
    <row r="21" spans="2:8" s="27" customFormat="1" x14ac:dyDescent="0.2">
      <c r="B21" s="39"/>
      <c r="C21" s="36">
        <f t="shared" si="7"/>
        <v>0</v>
      </c>
      <c r="D21" s="20"/>
      <c r="E21" s="36">
        <f t="shared" si="8"/>
        <v>0</v>
      </c>
      <c r="F21" s="35"/>
      <c r="G21" s="28"/>
      <c r="H21" s="28"/>
    </row>
    <row r="22" spans="2:8" s="27" customFormat="1" x14ac:dyDescent="0.2">
      <c r="B22" s="37"/>
      <c r="C22" s="36">
        <f t="shared" si="7"/>
        <v>0</v>
      </c>
      <c r="D22" s="20"/>
      <c r="E22" s="36">
        <f t="shared" si="8"/>
        <v>0</v>
      </c>
      <c r="F22" s="35"/>
      <c r="G22" s="28"/>
      <c r="H22" s="28" t="s">
        <v>67</v>
      </c>
    </row>
    <row r="23" spans="2:8" s="27" customFormat="1" x14ac:dyDescent="0.2">
      <c r="B23" s="37"/>
      <c r="C23" s="36">
        <f t="shared" si="7"/>
        <v>0</v>
      </c>
      <c r="D23" s="20"/>
      <c r="E23" s="36">
        <f t="shared" si="8"/>
        <v>0</v>
      </c>
      <c r="F23" s="35"/>
      <c r="G23" s="28"/>
      <c r="H23" s="28"/>
    </row>
    <row r="24" spans="2:8" s="27" customFormat="1" x14ac:dyDescent="0.2">
      <c r="B24" s="37"/>
      <c r="C24" s="36">
        <f t="shared" si="7"/>
        <v>0</v>
      </c>
      <c r="D24" s="20"/>
      <c r="E24" s="36">
        <f t="shared" si="8"/>
        <v>0</v>
      </c>
      <c r="F24" s="35"/>
      <c r="G24" s="28"/>
      <c r="H24" s="28"/>
    </row>
    <row r="25" spans="2:8" s="27" customFormat="1" x14ac:dyDescent="0.2">
      <c r="B25" s="37"/>
      <c r="C25" s="36">
        <f t="shared" si="7"/>
        <v>0</v>
      </c>
      <c r="D25" s="20"/>
      <c r="E25" s="36">
        <f t="shared" si="8"/>
        <v>0</v>
      </c>
      <c r="F25" s="35"/>
      <c r="G25" s="28"/>
      <c r="H25" s="28"/>
    </row>
    <row r="26" spans="2:8" s="27" customFormat="1" x14ac:dyDescent="0.2">
      <c r="B26" s="37"/>
      <c r="C26" s="36">
        <f t="shared" si="7"/>
        <v>0</v>
      </c>
      <c r="D26" s="20"/>
      <c r="E26" s="36">
        <f t="shared" si="8"/>
        <v>0</v>
      </c>
      <c r="F26" s="35"/>
      <c r="G26" s="28"/>
      <c r="H26" s="28"/>
    </row>
    <row r="27" spans="2:8" s="27" customFormat="1" x14ac:dyDescent="0.2">
      <c r="B27" s="37"/>
      <c r="C27" s="36">
        <f t="shared" si="7"/>
        <v>0</v>
      </c>
      <c r="D27" s="20"/>
      <c r="E27" s="36">
        <f t="shared" si="8"/>
        <v>0</v>
      </c>
      <c r="F27" s="35"/>
      <c r="G27" s="28"/>
      <c r="H27" s="28"/>
    </row>
    <row r="28" spans="2:8" s="27" customFormat="1" x14ac:dyDescent="0.2">
      <c r="B28" s="37"/>
      <c r="C28" s="36">
        <f t="shared" si="7"/>
        <v>0</v>
      </c>
      <c r="D28" s="20"/>
      <c r="E28" s="36">
        <f t="shared" si="8"/>
        <v>0</v>
      </c>
      <c r="F28" s="35"/>
      <c r="G28" s="28"/>
      <c r="H28" s="28"/>
    </row>
    <row r="29" spans="2:8" s="27" customFormat="1" x14ac:dyDescent="0.2">
      <c r="B29" s="37"/>
      <c r="C29" s="36">
        <f t="shared" si="7"/>
        <v>0</v>
      </c>
      <c r="D29" s="20"/>
      <c r="E29" s="36">
        <f t="shared" si="8"/>
        <v>0</v>
      </c>
      <c r="F29" s="35"/>
      <c r="G29" s="28"/>
      <c r="H29" s="28"/>
    </row>
    <row r="30" spans="2:8" s="27" customFormat="1" x14ac:dyDescent="0.2">
      <c r="B30" s="37"/>
      <c r="C30" s="36">
        <f t="shared" si="7"/>
        <v>0</v>
      </c>
      <c r="D30" s="20"/>
      <c r="E30" s="36">
        <f t="shared" si="8"/>
        <v>0</v>
      </c>
      <c r="F30" s="35"/>
      <c r="G30" s="28"/>
      <c r="H30" s="28"/>
    </row>
    <row r="31" spans="2:8" s="27" customFormat="1" x14ac:dyDescent="0.2">
      <c r="B31" s="37"/>
      <c r="C31" s="36">
        <f t="shared" si="7"/>
        <v>0</v>
      </c>
      <c r="D31" s="20"/>
      <c r="E31" s="36">
        <f t="shared" si="8"/>
        <v>0</v>
      </c>
      <c r="F31" s="35"/>
      <c r="G31" s="28"/>
      <c r="H31" s="28"/>
    </row>
    <row r="32" spans="2:8" s="27" customFormat="1" x14ac:dyDescent="0.2">
      <c r="B32" s="37"/>
      <c r="C32" s="36">
        <f t="shared" si="7"/>
        <v>0</v>
      </c>
      <c r="D32" s="20"/>
      <c r="E32" s="36">
        <f t="shared" si="8"/>
        <v>0</v>
      </c>
      <c r="F32" s="35"/>
      <c r="G32" s="28"/>
      <c r="H32" s="28"/>
    </row>
    <row r="33" spans="2:5" s="27" customFormat="1" x14ac:dyDescent="0.2">
      <c r="B33" s="37"/>
      <c r="C33" s="36">
        <f t="shared" si="7"/>
        <v>0</v>
      </c>
      <c r="D33" s="20"/>
      <c r="E33" s="36">
        <f t="shared" si="8"/>
        <v>0</v>
      </c>
    </row>
    <row r="34" spans="2:5" s="27" customFormat="1" x14ac:dyDescent="0.2">
      <c r="B34" s="37"/>
      <c r="C34" s="36">
        <f t="shared" si="7"/>
        <v>0</v>
      </c>
      <c r="D34" s="20"/>
      <c r="E34" s="36">
        <f t="shared" si="8"/>
        <v>0</v>
      </c>
    </row>
    <row r="35" spans="2:5" s="27" customFormat="1" x14ac:dyDescent="0.2">
      <c r="B35" s="37"/>
      <c r="C35" s="36">
        <f t="shared" si="7"/>
        <v>0</v>
      </c>
      <c r="D35" s="20"/>
      <c r="E35" s="36">
        <f t="shared" si="8"/>
        <v>0</v>
      </c>
    </row>
    <row r="36" spans="2:5" s="27" customFormat="1" x14ac:dyDescent="0.2">
      <c r="B36" s="37"/>
      <c r="C36" s="36">
        <f t="shared" si="7"/>
        <v>0</v>
      </c>
      <c r="D36" s="20"/>
      <c r="E36" s="36">
        <f t="shared" si="8"/>
        <v>0</v>
      </c>
    </row>
    <row r="37" spans="2:5" s="27" customFormat="1" x14ac:dyDescent="0.2">
      <c r="B37" s="37"/>
      <c r="C37" s="36">
        <f t="shared" si="7"/>
        <v>0</v>
      </c>
      <c r="D37" s="20"/>
      <c r="E37" s="36">
        <f t="shared" si="8"/>
        <v>0</v>
      </c>
    </row>
    <row r="38" spans="2:5" s="27" customFormat="1" x14ac:dyDescent="0.2">
      <c r="B38" s="37"/>
      <c r="C38" s="36">
        <f t="shared" si="7"/>
        <v>0</v>
      </c>
      <c r="D38" s="20"/>
      <c r="E38" s="36">
        <f t="shared" si="8"/>
        <v>0</v>
      </c>
    </row>
    <row r="39" spans="2:5" s="27" customFormat="1" x14ac:dyDescent="0.2">
      <c r="B39" s="37"/>
      <c r="C39" s="36">
        <f t="shared" si="7"/>
        <v>0</v>
      </c>
      <c r="D39" s="20"/>
      <c r="E39" s="36">
        <f t="shared" si="8"/>
        <v>0</v>
      </c>
    </row>
    <row r="40" spans="2:5" s="27" customFormat="1" x14ac:dyDescent="0.2">
      <c r="B40" s="37"/>
      <c r="C40" s="36">
        <f t="shared" si="7"/>
        <v>0</v>
      </c>
      <c r="D40" s="20"/>
      <c r="E40" s="36">
        <f t="shared" si="8"/>
        <v>0</v>
      </c>
    </row>
    <row r="41" spans="2:5" s="27" customFormat="1" x14ac:dyDescent="0.2">
      <c r="B41" s="37"/>
      <c r="C41" s="36">
        <f t="shared" si="7"/>
        <v>0</v>
      </c>
      <c r="D41" s="20"/>
      <c r="E41" s="36">
        <f t="shared" si="8"/>
        <v>0</v>
      </c>
    </row>
    <row r="42" spans="2:5" s="27" customFormat="1" x14ac:dyDescent="0.2">
      <c r="B42" s="37"/>
      <c r="C42" s="36">
        <f t="shared" si="7"/>
        <v>0</v>
      </c>
      <c r="D42" s="20"/>
      <c r="E42" s="36">
        <f t="shared" si="8"/>
        <v>0</v>
      </c>
    </row>
    <row r="43" spans="2:5" s="27" customFormat="1" x14ac:dyDescent="0.2">
      <c r="B43" s="37"/>
      <c r="C43" s="36">
        <f t="shared" si="7"/>
        <v>0</v>
      </c>
      <c r="D43" s="20"/>
      <c r="E43" s="36">
        <f t="shared" si="8"/>
        <v>0</v>
      </c>
    </row>
    <row r="44" spans="2:5" s="27" customFormat="1" x14ac:dyDescent="0.2">
      <c r="B44" s="37"/>
      <c r="C44" s="36">
        <f t="shared" si="7"/>
        <v>0</v>
      </c>
      <c r="D44" s="20"/>
      <c r="E44" s="36">
        <f t="shared" si="8"/>
        <v>0</v>
      </c>
    </row>
    <row r="45" spans="2:5" s="27" customFormat="1" x14ac:dyDescent="0.2">
      <c r="B45" s="37"/>
      <c r="C45" s="36">
        <f t="shared" si="7"/>
        <v>0</v>
      </c>
      <c r="D45" s="20"/>
      <c r="E45" s="36">
        <f t="shared" si="8"/>
        <v>0</v>
      </c>
    </row>
    <row r="46" spans="2:5" s="27" customFormat="1" x14ac:dyDescent="0.2">
      <c r="B46" s="37"/>
      <c r="C46" s="36">
        <f t="shared" si="7"/>
        <v>0</v>
      </c>
      <c r="D46" s="20"/>
      <c r="E46" s="36">
        <f t="shared" si="8"/>
        <v>0</v>
      </c>
    </row>
    <row r="47" spans="2:5" s="27" customFormat="1" x14ac:dyDescent="0.2">
      <c r="B47" s="37"/>
      <c r="C47" s="36">
        <f t="shared" si="7"/>
        <v>0</v>
      </c>
      <c r="D47" s="20"/>
      <c r="E47" s="36">
        <f t="shared" si="8"/>
        <v>0</v>
      </c>
    </row>
    <row r="48" spans="2:5" s="27" customFormat="1" x14ac:dyDescent="0.2">
      <c r="B48" s="37"/>
      <c r="C48" s="36">
        <f t="shared" si="7"/>
        <v>0</v>
      </c>
      <c r="D48" s="20"/>
      <c r="E48" s="36">
        <f t="shared" si="8"/>
        <v>0</v>
      </c>
    </row>
    <row r="49" spans="2:5" s="27" customFormat="1" x14ac:dyDescent="0.2">
      <c r="B49" s="37"/>
      <c r="C49" s="36">
        <f t="shared" si="7"/>
        <v>0</v>
      </c>
      <c r="D49" s="20"/>
      <c r="E49" s="36">
        <f t="shared" si="8"/>
        <v>0</v>
      </c>
    </row>
    <row r="50" spans="2:5" s="27" customFormat="1" x14ac:dyDescent="0.2">
      <c r="B50" s="37"/>
      <c r="C50" s="36">
        <f t="shared" si="7"/>
        <v>0</v>
      </c>
      <c r="D50" s="20"/>
      <c r="E50" s="36">
        <f t="shared" si="8"/>
        <v>0</v>
      </c>
    </row>
    <row r="51" spans="2:5" s="27" customFormat="1" x14ac:dyDescent="0.2">
      <c r="B51" s="37"/>
      <c r="C51" s="36">
        <f t="shared" si="7"/>
        <v>0</v>
      </c>
      <c r="D51" s="20"/>
      <c r="E51" s="36">
        <f t="shared" si="8"/>
        <v>0</v>
      </c>
    </row>
    <row r="52" spans="2:5" s="27" customFormat="1" x14ac:dyDescent="0.2">
      <c r="B52" s="37"/>
      <c r="C52" s="36">
        <f t="shared" si="7"/>
        <v>0</v>
      </c>
      <c r="D52" s="20"/>
      <c r="E52" s="36">
        <f t="shared" si="8"/>
        <v>0</v>
      </c>
    </row>
    <row r="53" spans="2:5" s="27" customFormat="1" x14ac:dyDescent="0.2">
      <c r="B53" s="37"/>
      <c r="C53" s="36">
        <f t="shared" si="7"/>
        <v>0</v>
      </c>
      <c r="D53" s="20"/>
      <c r="E53" s="36">
        <f t="shared" si="8"/>
        <v>0</v>
      </c>
    </row>
    <row r="54" spans="2:5" s="27" customFormat="1" x14ac:dyDescent="0.2">
      <c r="B54" s="37"/>
      <c r="C54" s="36">
        <f t="shared" si="7"/>
        <v>0</v>
      </c>
      <c r="D54" s="20"/>
      <c r="E54" s="36">
        <f t="shared" si="8"/>
        <v>0</v>
      </c>
    </row>
    <row r="55" spans="2:5" s="27" customFormat="1" x14ac:dyDescent="0.2">
      <c r="B55" s="37"/>
      <c r="C55" s="36">
        <f t="shared" si="7"/>
        <v>0</v>
      </c>
      <c r="D55" s="20"/>
      <c r="E55" s="36">
        <f t="shared" si="8"/>
        <v>0</v>
      </c>
    </row>
    <row r="56" spans="2:5" s="27" customFormat="1" x14ac:dyDescent="0.2">
      <c r="B56" s="37"/>
      <c r="C56" s="36">
        <f t="shared" si="7"/>
        <v>0</v>
      </c>
      <c r="D56" s="20"/>
      <c r="E56" s="36">
        <f t="shared" si="8"/>
        <v>0</v>
      </c>
    </row>
    <row r="57" spans="2:5" s="27" customFormat="1" x14ac:dyDescent="0.2">
      <c r="B57" s="37"/>
      <c r="C57" s="36">
        <f t="shared" si="7"/>
        <v>0</v>
      </c>
      <c r="D57" s="20"/>
      <c r="E57" s="36">
        <f t="shared" si="8"/>
        <v>0</v>
      </c>
    </row>
    <row r="58" spans="2:5" s="27" customFormat="1" x14ac:dyDescent="0.2">
      <c r="B58" s="37"/>
      <c r="C58" s="36">
        <f t="shared" si="7"/>
        <v>0</v>
      </c>
      <c r="D58" s="20"/>
      <c r="E58" s="36">
        <f t="shared" si="8"/>
        <v>0</v>
      </c>
    </row>
    <row r="59" spans="2:5" s="27" customFormat="1" x14ac:dyDescent="0.2">
      <c r="B59" s="37"/>
      <c r="C59" s="36">
        <f t="shared" si="7"/>
        <v>0</v>
      </c>
      <c r="D59" s="20"/>
      <c r="E59" s="36">
        <f t="shared" si="8"/>
        <v>0</v>
      </c>
    </row>
    <row r="60" spans="2:5" s="27" customFormat="1" x14ac:dyDescent="0.2">
      <c r="B60" s="37"/>
      <c r="C60" s="36">
        <f t="shared" si="7"/>
        <v>0</v>
      </c>
      <c r="D60" s="20"/>
      <c r="E60" s="36">
        <f t="shared" si="8"/>
        <v>0</v>
      </c>
    </row>
    <row r="61" spans="2:5" s="27" customFormat="1" x14ac:dyDescent="0.2">
      <c r="B61" s="37"/>
      <c r="C61" s="36">
        <f t="shared" si="7"/>
        <v>0</v>
      </c>
      <c r="D61" s="20"/>
      <c r="E61" s="36">
        <f t="shared" si="8"/>
        <v>0</v>
      </c>
    </row>
    <row r="62" spans="2:5" s="27" customFormat="1" x14ac:dyDescent="0.2">
      <c r="B62" s="37"/>
      <c r="C62" s="36">
        <f t="shared" si="7"/>
        <v>0</v>
      </c>
      <c r="D62" s="20"/>
      <c r="E62" s="36">
        <f t="shared" si="8"/>
        <v>0</v>
      </c>
    </row>
    <row r="63" spans="2:5" s="27" customFormat="1" x14ac:dyDescent="0.2">
      <c r="B63" s="37"/>
      <c r="C63" s="36">
        <f t="shared" si="7"/>
        <v>0</v>
      </c>
      <c r="D63" s="20"/>
      <c r="E63" s="36">
        <f t="shared" si="8"/>
        <v>0</v>
      </c>
    </row>
    <row r="64" spans="2:5" s="27" customFormat="1" x14ac:dyDescent="0.2">
      <c r="B64" s="37"/>
      <c r="C64" s="36">
        <f t="shared" si="7"/>
        <v>0</v>
      </c>
      <c r="D64" s="20"/>
      <c r="E64" s="36">
        <f t="shared" si="8"/>
        <v>0</v>
      </c>
    </row>
    <row r="65" spans="2:5" s="27" customFormat="1" x14ac:dyDescent="0.2">
      <c r="B65" s="37"/>
      <c r="C65" s="36">
        <f t="shared" si="7"/>
        <v>0</v>
      </c>
      <c r="D65" s="20"/>
      <c r="E65" s="36">
        <f t="shared" si="8"/>
        <v>0</v>
      </c>
    </row>
    <row r="66" spans="2:5" s="27" customFormat="1" x14ac:dyDescent="0.2">
      <c r="B66" s="37"/>
      <c r="C66" s="36">
        <f t="shared" si="7"/>
        <v>0</v>
      </c>
      <c r="D66" s="20"/>
      <c r="E66" s="36">
        <f t="shared" si="8"/>
        <v>0</v>
      </c>
    </row>
    <row r="67" spans="2:5" s="27" customFormat="1" x14ac:dyDescent="0.2">
      <c r="B67" s="37"/>
      <c r="C67" s="36">
        <f t="shared" si="7"/>
        <v>0</v>
      </c>
      <c r="D67" s="20"/>
      <c r="E67" s="36">
        <f t="shared" si="8"/>
        <v>0</v>
      </c>
    </row>
    <row r="68" spans="2:5" s="27" customFormat="1" x14ac:dyDescent="0.2">
      <c r="B68" s="37"/>
      <c r="C68" s="36">
        <f t="shared" si="7"/>
        <v>0</v>
      </c>
      <c r="D68" s="20"/>
      <c r="E68" s="36">
        <f t="shared" si="8"/>
        <v>0</v>
      </c>
    </row>
    <row r="69" spans="2:5" s="27" customFormat="1" x14ac:dyDescent="0.2">
      <c r="B69" s="37"/>
      <c r="C69" s="36">
        <f t="shared" si="7"/>
        <v>0</v>
      </c>
      <c r="D69" s="20"/>
      <c r="E69" s="36">
        <f t="shared" si="8"/>
        <v>0</v>
      </c>
    </row>
    <row r="70" spans="2:5" s="27" customFormat="1" x14ac:dyDescent="0.2">
      <c r="B70" s="37"/>
      <c r="C70" s="36">
        <f t="shared" si="7"/>
        <v>0</v>
      </c>
      <c r="D70" s="20"/>
      <c r="E70" s="36">
        <f t="shared" si="8"/>
        <v>0</v>
      </c>
    </row>
    <row r="71" spans="2:5" s="27" customFormat="1" x14ac:dyDescent="0.2">
      <c r="B71" s="37"/>
      <c r="C71" s="36">
        <f t="shared" si="7"/>
        <v>0</v>
      </c>
      <c r="D71" s="20"/>
      <c r="E71" s="36">
        <f t="shared" si="8"/>
        <v>0</v>
      </c>
    </row>
    <row r="72" spans="2:5" s="27" customFormat="1" x14ac:dyDescent="0.2">
      <c r="B72" s="37"/>
      <c r="C72" s="36">
        <f t="shared" si="7"/>
        <v>0</v>
      </c>
      <c r="D72" s="20"/>
      <c r="E72" s="36">
        <f t="shared" si="8"/>
        <v>0</v>
      </c>
    </row>
    <row r="73" spans="2:5" s="27" customFormat="1" x14ac:dyDescent="0.2">
      <c r="B73" s="37"/>
      <c r="C73" s="36">
        <f t="shared" ref="C73:C136" si="9">E73*D$4</f>
        <v>0</v>
      </c>
      <c r="D73" s="20"/>
      <c r="E73" s="36">
        <f t="shared" ref="E73:E136" si="10">SUM(G73:HJ73)</f>
        <v>0</v>
      </c>
    </row>
    <row r="74" spans="2:5" s="27" customFormat="1" x14ac:dyDescent="0.2">
      <c r="B74" s="37"/>
      <c r="C74" s="36">
        <f t="shared" si="9"/>
        <v>0</v>
      </c>
      <c r="D74" s="20"/>
      <c r="E74" s="36">
        <f t="shared" si="10"/>
        <v>0</v>
      </c>
    </row>
    <row r="75" spans="2:5" s="27" customFormat="1" x14ac:dyDescent="0.2">
      <c r="B75" s="37"/>
      <c r="C75" s="36">
        <f t="shared" si="9"/>
        <v>0</v>
      </c>
      <c r="D75" s="20"/>
      <c r="E75" s="36">
        <f t="shared" si="10"/>
        <v>0</v>
      </c>
    </row>
    <row r="76" spans="2:5" s="27" customFormat="1" x14ac:dyDescent="0.2">
      <c r="B76" s="37"/>
      <c r="C76" s="36">
        <f t="shared" si="9"/>
        <v>0</v>
      </c>
      <c r="D76" s="20"/>
      <c r="E76" s="36">
        <f t="shared" si="10"/>
        <v>0</v>
      </c>
    </row>
    <row r="77" spans="2:5" s="27" customFormat="1" x14ac:dyDescent="0.2">
      <c r="B77" s="37"/>
      <c r="C77" s="36">
        <f t="shared" si="9"/>
        <v>0</v>
      </c>
      <c r="D77" s="20"/>
      <c r="E77" s="36">
        <f t="shared" si="10"/>
        <v>0</v>
      </c>
    </row>
    <row r="78" spans="2:5" s="27" customFormat="1" x14ac:dyDescent="0.2">
      <c r="B78" s="37"/>
      <c r="C78" s="36">
        <f t="shared" si="9"/>
        <v>0</v>
      </c>
      <c r="D78" s="20"/>
      <c r="E78" s="36">
        <f t="shared" si="10"/>
        <v>0</v>
      </c>
    </row>
    <row r="79" spans="2:5" s="27" customFormat="1" x14ac:dyDescent="0.2">
      <c r="B79" s="37"/>
      <c r="C79" s="36">
        <f t="shared" si="9"/>
        <v>0</v>
      </c>
      <c r="D79" s="20"/>
      <c r="E79" s="36">
        <f t="shared" si="10"/>
        <v>0</v>
      </c>
    </row>
    <row r="80" spans="2:5" s="27" customFormat="1" x14ac:dyDescent="0.2">
      <c r="B80" s="37"/>
      <c r="C80" s="36">
        <f t="shared" si="9"/>
        <v>0</v>
      </c>
      <c r="D80" s="20"/>
      <c r="E80" s="36">
        <f t="shared" si="10"/>
        <v>0</v>
      </c>
    </row>
    <row r="81" spans="2:5" s="27" customFormat="1" x14ac:dyDescent="0.2">
      <c r="B81" s="37"/>
      <c r="C81" s="36">
        <f t="shared" si="9"/>
        <v>0</v>
      </c>
      <c r="D81" s="20"/>
      <c r="E81" s="36">
        <f t="shared" si="10"/>
        <v>0</v>
      </c>
    </row>
    <row r="82" spans="2:5" s="27" customFormat="1" x14ac:dyDescent="0.2">
      <c r="B82" s="37"/>
      <c r="C82" s="36">
        <f t="shared" si="9"/>
        <v>0</v>
      </c>
      <c r="D82" s="20"/>
      <c r="E82" s="36">
        <f t="shared" si="10"/>
        <v>0</v>
      </c>
    </row>
    <row r="83" spans="2:5" s="27" customFormat="1" x14ac:dyDescent="0.2">
      <c r="B83" s="37"/>
      <c r="C83" s="36">
        <f t="shared" si="9"/>
        <v>0</v>
      </c>
      <c r="D83" s="20"/>
      <c r="E83" s="36">
        <f t="shared" si="10"/>
        <v>0</v>
      </c>
    </row>
    <row r="84" spans="2:5" s="27" customFormat="1" x14ac:dyDescent="0.2">
      <c r="B84" s="37"/>
      <c r="C84" s="36">
        <f t="shared" si="9"/>
        <v>0</v>
      </c>
      <c r="D84" s="20"/>
      <c r="E84" s="36">
        <f t="shared" si="10"/>
        <v>0</v>
      </c>
    </row>
    <row r="85" spans="2:5" s="27" customFormat="1" x14ac:dyDescent="0.2">
      <c r="B85" s="37"/>
      <c r="C85" s="36">
        <f t="shared" si="9"/>
        <v>0</v>
      </c>
      <c r="D85" s="20"/>
      <c r="E85" s="36">
        <f t="shared" si="10"/>
        <v>0</v>
      </c>
    </row>
    <row r="86" spans="2:5" s="27" customFormat="1" x14ac:dyDescent="0.2">
      <c r="B86" s="37"/>
      <c r="C86" s="36">
        <f t="shared" si="9"/>
        <v>0</v>
      </c>
      <c r="D86" s="20"/>
      <c r="E86" s="36">
        <f t="shared" si="10"/>
        <v>0</v>
      </c>
    </row>
    <row r="87" spans="2:5" s="27" customFormat="1" x14ac:dyDescent="0.2">
      <c r="B87" s="37"/>
      <c r="C87" s="36">
        <f t="shared" si="9"/>
        <v>0</v>
      </c>
      <c r="D87" s="20"/>
      <c r="E87" s="36">
        <f t="shared" si="10"/>
        <v>0</v>
      </c>
    </row>
    <row r="88" spans="2:5" s="27" customFormat="1" x14ac:dyDescent="0.2">
      <c r="B88" s="37"/>
      <c r="C88" s="36">
        <f t="shared" si="9"/>
        <v>0</v>
      </c>
      <c r="D88" s="20"/>
      <c r="E88" s="36">
        <f t="shared" si="10"/>
        <v>0</v>
      </c>
    </row>
    <row r="89" spans="2:5" s="27" customFormat="1" x14ac:dyDescent="0.2">
      <c r="B89" s="37"/>
      <c r="C89" s="36">
        <f t="shared" si="9"/>
        <v>0</v>
      </c>
      <c r="D89" s="20"/>
      <c r="E89" s="36">
        <f t="shared" si="10"/>
        <v>0</v>
      </c>
    </row>
    <row r="90" spans="2:5" s="27" customFormat="1" x14ac:dyDescent="0.2">
      <c r="B90" s="37"/>
      <c r="C90" s="36">
        <f t="shared" si="9"/>
        <v>0</v>
      </c>
      <c r="D90" s="20"/>
      <c r="E90" s="36">
        <f t="shared" si="10"/>
        <v>0</v>
      </c>
    </row>
    <row r="91" spans="2:5" s="27" customFormat="1" x14ac:dyDescent="0.2">
      <c r="B91" s="37"/>
      <c r="C91" s="36">
        <f t="shared" si="9"/>
        <v>0</v>
      </c>
      <c r="D91" s="20"/>
      <c r="E91" s="36">
        <f t="shared" si="10"/>
        <v>0</v>
      </c>
    </row>
    <row r="92" spans="2:5" s="27" customFormat="1" x14ac:dyDescent="0.2">
      <c r="B92" s="37"/>
      <c r="C92" s="36">
        <f t="shared" si="9"/>
        <v>0</v>
      </c>
      <c r="D92" s="20"/>
      <c r="E92" s="36">
        <f t="shared" si="10"/>
        <v>0</v>
      </c>
    </row>
    <row r="93" spans="2:5" s="27" customFormat="1" x14ac:dyDescent="0.2">
      <c r="B93" s="37"/>
      <c r="C93" s="36">
        <f t="shared" si="9"/>
        <v>0</v>
      </c>
      <c r="D93" s="20"/>
      <c r="E93" s="36">
        <f t="shared" si="10"/>
        <v>0</v>
      </c>
    </row>
    <row r="94" spans="2:5" s="27" customFormat="1" x14ac:dyDescent="0.2">
      <c r="B94" s="37"/>
      <c r="C94" s="36">
        <f t="shared" si="9"/>
        <v>0</v>
      </c>
      <c r="D94" s="20"/>
      <c r="E94" s="36">
        <f t="shared" si="10"/>
        <v>0</v>
      </c>
    </row>
    <row r="95" spans="2:5" s="27" customFormat="1" x14ac:dyDescent="0.2">
      <c r="B95" s="37"/>
      <c r="C95" s="36">
        <f t="shared" si="9"/>
        <v>0</v>
      </c>
      <c r="D95" s="20"/>
      <c r="E95" s="36">
        <f t="shared" si="10"/>
        <v>0</v>
      </c>
    </row>
    <row r="96" spans="2:5" s="27" customFormat="1" x14ac:dyDescent="0.2">
      <c r="B96" s="37"/>
      <c r="C96" s="36">
        <f t="shared" si="9"/>
        <v>0</v>
      </c>
      <c r="D96" s="20"/>
      <c r="E96" s="36">
        <f t="shared" si="10"/>
        <v>0</v>
      </c>
    </row>
    <row r="97" spans="2:5" s="27" customFormat="1" x14ac:dyDescent="0.2">
      <c r="B97" s="37"/>
      <c r="C97" s="36">
        <f t="shared" si="9"/>
        <v>0</v>
      </c>
      <c r="D97" s="20"/>
      <c r="E97" s="36">
        <f t="shared" si="10"/>
        <v>0</v>
      </c>
    </row>
    <row r="98" spans="2:5" s="27" customFormat="1" x14ac:dyDescent="0.2">
      <c r="B98" s="37"/>
      <c r="C98" s="36">
        <f t="shared" si="9"/>
        <v>0</v>
      </c>
      <c r="D98" s="20"/>
      <c r="E98" s="36">
        <f t="shared" si="10"/>
        <v>0</v>
      </c>
    </row>
    <row r="99" spans="2:5" s="27" customFormat="1" x14ac:dyDescent="0.2">
      <c r="B99" s="37"/>
      <c r="C99" s="36">
        <f t="shared" si="9"/>
        <v>0</v>
      </c>
      <c r="D99" s="20"/>
      <c r="E99" s="36">
        <f t="shared" si="10"/>
        <v>0</v>
      </c>
    </row>
    <row r="100" spans="2:5" s="27" customFormat="1" x14ac:dyDescent="0.2">
      <c r="B100" s="37"/>
      <c r="C100" s="36">
        <f t="shared" si="9"/>
        <v>0</v>
      </c>
      <c r="D100" s="20"/>
      <c r="E100" s="36">
        <f t="shared" si="10"/>
        <v>0</v>
      </c>
    </row>
    <row r="101" spans="2:5" s="27" customFormat="1" x14ac:dyDescent="0.2">
      <c r="B101" s="37"/>
      <c r="C101" s="36">
        <f t="shared" si="9"/>
        <v>0</v>
      </c>
      <c r="D101" s="20"/>
      <c r="E101" s="36">
        <f t="shared" si="10"/>
        <v>0</v>
      </c>
    </row>
    <row r="102" spans="2:5" s="27" customFormat="1" x14ac:dyDescent="0.2">
      <c r="B102" s="37"/>
      <c r="C102" s="36">
        <f t="shared" si="9"/>
        <v>0</v>
      </c>
      <c r="D102" s="20"/>
      <c r="E102" s="36">
        <f t="shared" si="10"/>
        <v>0</v>
      </c>
    </row>
    <row r="103" spans="2:5" s="27" customFormat="1" x14ac:dyDescent="0.2">
      <c r="B103" s="37"/>
      <c r="C103" s="36">
        <f t="shared" si="9"/>
        <v>0</v>
      </c>
      <c r="D103" s="20"/>
      <c r="E103" s="36">
        <f t="shared" si="10"/>
        <v>0</v>
      </c>
    </row>
    <row r="104" spans="2:5" s="27" customFormat="1" x14ac:dyDescent="0.2">
      <c r="B104" s="37"/>
      <c r="C104" s="36">
        <f t="shared" si="9"/>
        <v>0</v>
      </c>
      <c r="D104" s="20"/>
      <c r="E104" s="36">
        <f t="shared" si="10"/>
        <v>0</v>
      </c>
    </row>
    <row r="105" spans="2:5" s="27" customFormat="1" x14ac:dyDescent="0.2">
      <c r="B105" s="37"/>
      <c r="C105" s="36">
        <f t="shared" si="9"/>
        <v>0</v>
      </c>
      <c r="D105" s="20"/>
      <c r="E105" s="36">
        <f t="shared" si="10"/>
        <v>0</v>
      </c>
    </row>
    <row r="106" spans="2:5" s="27" customFormat="1" x14ac:dyDescent="0.2">
      <c r="B106" s="37"/>
      <c r="C106" s="36">
        <f t="shared" si="9"/>
        <v>0</v>
      </c>
      <c r="D106" s="20"/>
      <c r="E106" s="36">
        <f t="shared" si="10"/>
        <v>0</v>
      </c>
    </row>
    <row r="107" spans="2:5" s="27" customFormat="1" x14ac:dyDescent="0.2">
      <c r="B107" s="37"/>
      <c r="C107" s="36">
        <f t="shared" si="9"/>
        <v>0</v>
      </c>
      <c r="D107" s="20"/>
      <c r="E107" s="36">
        <f t="shared" si="10"/>
        <v>0</v>
      </c>
    </row>
    <row r="108" spans="2:5" s="27" customFormat="1" x14ac:dyDescent="0.2">
      <c r="B108" s="37"/>
      <c r="C108" s="36">
        <f t="shared" si="9"/>
        <v>0</v>
      </c>
      <c r="D108" s="20"/>
      <c r="E108" s="36">
        <f t="shared" si="10"/>
        <v>0</v>
      </c>
    </row>
    <row r="109" spans="2:5" s="27" customFormat="1" x14ac:dyDescent="0.2">
      <c r="B109" s="37"/>
      <c r="C109" s="36">
        <f t="shared" si="9"/>
        <v>0</v>
      </c>
      <c r="D109" s="20"/>
      <c r="E109" s="36">
        <f t="shared" si="10"/>
        <v>0</v>
      </c>
    </row>
    <row r="110" spans="2:5" s="27" customFormat="1" x14ac:dyDescent="0.2">
      <c r="B110" s="37"/>
      <c r="C110" s="36">
        <f t="shared" si="9"/>
        <v>0</v>
      </c>
      <c r="D110" s="20"/>
      <c r="E110" s="36">
        <f t="shared" si="10"/>
        <v>0</v>
      </c>
    </row>
    <row r="111" spans="2:5" s="27" customFormat="1" x14ac:dyDescent="0.2">
      <c r="B111" s="37"/>
      <c r="C111" s="36">
        <f t="shared" si="9"/>
        <v>0</v>
      </c>
      <c r="D111" s="20"/>
      <c r="E111" s="36">
        <f t="shared" si="10"/>
        <v>0</v>
      </c>
    </row>
    <row r="112" spans="2:5" s="27" customFormat="1" x14ac:dyDescent="0.2">
      <c r="B112" s="37"/>
      <c r="C112" s="36">
        <f t="shared" si="9"/>
        <v>0</v>
      </c>
      <c r="D112" s="20"/>
      <c r="E112" s="36">
        <f t="shared" si="10"/>
        <v>0</v>
      </c>
    </row>
    <row r="113" spans="2:5" s="27" customFormat="1" x14ac:dyDescent="0.2">
      <c r="B113" s="37"/>
      <c r="C113" s="36">
        <f t="shared" si="9"/>
        <v>0</v>
      </c>
      <c r="D113" s="20"/>
      <c r="E113" s="36">
        <f t="shared" si="10"/>
        <v>0</v>
      </c>
    </row>
    <row r="114" spans="2:5" s="27" customFormat="1" x14ac:dyDescent="0.2">
      <c r="B114" s="37"/>
      <c r="C114" s="36">
        <f t="shared" si="9"/>
        <v>0</v>
      </c>
      <c r="D114" s="20"/>
      <c r="E114" s="36">
        <f t="shared" si="10"/>
        <v>0</v>
      </c>
    </row>
    <row r="115" spans="2:5" s="27" customFormat="1" x14ac:dyDescent="0.2">
      <c r="B115" s="37"/>
      <c r="C115" s="36">
        <f t="shared" si="9"/>
        <v>0</v>
      </c>
      <c r="D115" s="20"/>
      <c r="E115" s="36">
        <f t="shared" si="10"/>
        <v>0</v>
      </c>
    </row>
    <row r="116" spans="2:5" s="27" customFormat="1" x14ac:dyDescent="0.2">
      <c r="B116" s="37"/>
      <c r="C116" s="36">
        <f t="shared" si="9"/>
        <v>0</v>
      </c>
      <c r="D116" s="20"/>
      <c r="E116" s="36">
        <f t="shared" si="10"/>
        <v>0</v>
      </c>
    </row>
    <row r="117" spans="2:5" s="27" customFormat="1" x14ac:dyDescent="0.2">
      <c r="B117" s="37"/>
      <c r="C117" s="36">
        <f t="shared" si="9"/>
        <v>0</v>
      </c>
      <c r="D117" s="20"/>
      <c r="E117" s="36">
        <f t="shared" si="10"/>
        <v>0</v>
      </c>
    </row>
    <row r="118" spans="2:5" s="27" customFormat="1" x14ac:dyDescent="0.2">
      <c r="B118" s="37"/>
      <c r="C118" s="36">
        <f t="shared" si="9"/>
        <v>0</v>
      </c>
      <c r="D118" s="20"/>
      <c r="E118" s="36">
        <f t="shared" si="10"/>
        <v>0</v>
      </c>
    </row>
    <row r="119" spans="2:5" s="27" customFormat="1" x14ac:dyDescent="0.2">
      <c r="B119" s="37"/>
      <c r="C119" s="36">
        <f t="shared" si="9"/>
        <v>0</v>
      </c>
      <c r="D119" s="20"/>
      <c r="E119" s="36">
        <f t="shared" si="10"/>
        <v>0</v>
      </c>
    </row>
    <row r="120" spans="2:5" s="27" customFormat="1" x14ac:dyDescent="0.2">
      <c r="B120" s="37"/>
      <c r="C120" s="36">
        <f t="shared" si="9"/>
        <v>0</v>
      </c>
      <c r="D120" s="20"/>
      <c r="E120" s="36">
        <f t="shared" si="10"/>
        <v>0</v>
      </c>
    </row>
    <row r="121" spans="2:5" s="27" customFormat="1" x14ac:dyDescent="0.2">
      <c r="B121" s="37"/>
      <c r="C121" s="36">
        <f t="shared" si="9"/>
        <v>0</v>
      </c>
      <c r="D121" s="20"/>
      <c r="E121" s="36">
        <f t="shared" si="10"/>
        <v>0</v>
      </c>
    </row>
    <row r="122" spans="2:5" s="27" customFormat="1" x14ac:dyDescent="0.2">
      <c r="B122" s="37"/>
      <c r="C122" s="36">
        <f t="shared" si="9"/>
        <v>0</v>
      </c>
      <c r="D122" s="20"/>
      <c r="E122" s="36">
        <f t="shared" si="10"/>
        <v>0</v>
      </c>
    </row>
    <row r="123" spans="2:5" s="27" customFormat="1" x14ac:dyDescent="0.2">
      <c r="B123" s="37"/>
      <c r="C123" s="36">
        <f t="shared" si="9"/>
        <v>0</v>
      </c>
      <c r="D123" s="20"/>
      <c r="E123" s="36">
        <f t="shared" si="10"/>
        <v>0</v>
      </c>
    </row>
    <row r="124" spans="2:5" s="27" customFormat="1" x14ac:dyDescent="0.2">
      <c r="B124" s="37"/>
      <c r="C124" s="36">
        <f t="shared" si="9"/>
        <v>0</v>
      </c>
      <c r="D124" s="20"/>
      <c r="E124" s="36">
        <f t="shared" si="10"/>
        <v>0</v>
      </c>
    </row>
    <row r="125" spans="2:5" s="27" customFormat="1" x14ac:dyDescent="0.2">
      <c r="B125" s="37"/>
      <c r="C125" s="36">
        <f t="shared" si="9"/>
        <v>0</v>
      </c>
      <c r="D125" s="20"/>
      <c r="E125" s="36">
        <f t="shared" si="10"/>
        <v>0</v>
      </c>
    </row>
    <row r="126" spans="2:5" s="27" customFormat="1" x14ac:dyDescent="0.2">
      <c r="B126" s="37"/>
      <c r="C126" s="36">
        <f t="shared" si="9"/>
        <v>0</v>
      </c>
      <c r="D126" s="20"/>
      <c r="E126" s="36">
        <f t="shared" si="10"/>
        <v>0</v>
      </c>
    </row>
    <row r="127" spans="2:5" s="27" customFormat="1" x14ac:dyDescent="0.2">
      <c r="B127" s="37"/>
      <c r="C127" s="36">
        <f t="shared" si="9"/>
        <v>0</v>
      </c>
      <c r="D127" s="20"/>
      <c r="E127" s="36">
        <f t="shared" si="10"/>
        <v>0</v>
      </c>
    </row>
    <row r="128" spans="2:5" s="27" customFormat="1" x14ac:dyDescent="0.2">
      <c r="B128" s="37"/>
      <c r="C128" s="36">
        <f t="shared" si="9"/>
        <v>0</v>
      </c>
      <c r="D128" s="20"/>
      <c r="E128" s="36">
        <f t="shared" si="10"/>
        <v>0</v>
      </c>
    </row>
    <row r="129" spans="2:5" s="27" customFormat="1" x14ac:dyDescent="0.2">
      <c r="B129" s="37"/>
      <c r="C129" s="36">
        <f t="shared" si="9"/>
        <v>0</v>
      </c>
      <c r="D129" s="20"/>
      <c r="E129" s="36">
        <f t="shared" si="10"/>
        <v>0</v>
      </c>
    </row>
    <row r="130" spans="2:5" s="27" customFormat="1" x14ac:dyDescent="0.2">
      <c r="B130" s="37"/>
      <c r="C130" s="36">
        <f t="shared" si="9"/>
        <v>0</v>
      </c>
      <c r="D130" s="20"/>
      <c r="E130" s="36">
        <f t="shared" si="10"/>
        <v>0</v>
      </c>
    </row>
    <row r="131" spans="2:5" s="27" customFormat="1" x14ac:dyDescent="0.2">
      <c r="B131" s="37"/>
      <c r="C131" s="36">
        <f t="shared" si="9"/>
        <v>0</v>
      </c>
      <c r="D131" s="20"/>
      <c r="E131" s="36">
        <f t="shared" si="10"/>
        <v>0</v>
      </c>
    </row>
    <row r="132" spans="2:5" s="27" customFormat="1" x14ac:dyDescent="0.2">
      <c r="B132" s="37"/>
      <c r="C132" s="36">
        <f t="shared" si="9"/>
        <v>0</v>
      </c>
      <c r="D132" s="20"/>
      <c r="E132" s="36">
        <f t="shared" si="10"/>
        <v>0</v>
      </c>
    </row>
    <row r="133" spans="2:5" s="27" customFormat="1" x14ac:dyDescent="0.2">
      <c r="B133" s="37"/>
      <c r="C133" s="36">
        <f t="shared" si="9"/>
        <v>0</v>
      </c>
      <c r="D133" s="20"/>
      <c r="E133" s="36">
        <f t="shared" si="10"/>
        <v>0</v>
      </c>
    </row>
    <row r="134" spans="2:5" s="27" customFormat="1" x14ac:dyDescent="0.2">
      <c r="B134" s="37"/>
      <c r="C134" s="36">
        <f t="shared" si="9"/>
        <v>0</v>
      </c>
      <c r="D134" s="20"/>
      <c r="E134" s="36">
        <f t="shared" si="10"/>
        <v>0</v>
      </c>
    </row>
    <row r="135" spans="2:5" s="27" customFormat="1" x14ac:dyDescent="0.2">
      <c r="B135" s="37"/>
      <c r="C135" s="36">
        <f t="shared" si="9"/>
        <v>0</v>
      </c>
      <c r="D135" s="20"/>
      <c r="E135" s="36">
        <f t="shared" si="10"/>
        <v>0</v>
      </c>
    </row>
    <row r="136" spans="2:5" s="27" customFormat="1" x14ac:dyDescent="0.2">
      <c r="B136" s="37"/>
      <c r="C136" s="36">
        <f t="shared" si="9"/>
        <v>0</v>
      </c>
      <c r="D136" s="20"/>
      <c r="E136" s="36">
        <f t="shared" si="10"/>
        <v>0</v>
      </c>
    </row>
    <row r="137" spans="2:5" s="27" customFormat="1" x14ac:dyDescent="0.2">
      <c r="B137" s="37"/>
      <c r="C137" s="36">
        <f t="shared" ref="C137:C142" si="11">E137*D$4</f>
        <v>0</v>
      </c>
      <c r="D137" s="20"/>
      <c r="E137" s="36">
        <f t="shared" ref="E137:E142" si="12">SUM(G137:HJ137)</f>
        <v>0</v>
      </c>
    </row>
    <row r="138" spans="2:5" s="27" customFormat="1" x14ac:dyDescent="0.2">
      <c r="B138" s="37"/>
      <c r="C138" s="36">
        <f t="shared" si="11"/>
        <v>0</v>
      </c>
      <c r="D138" s="20"/>
      <c r="E138" s="36">
        <f t="shared" si="12"/>
        <v>0</v>
      </c>
    </row>
    <row r="139" spans="2:5" s="27" customFormat="1" x14ac:dyDescent="0.2">
      <c r="B139" s="37"/>
      <c r="C139" s="36">
        <f t="shared" si="11"/>
        <v>0</v>
      </c>
      <c r="D139" s="20"/>
      <c r="E139" s="36">
        <f t="shared" si="12"/>
        <v>0</v>
      </c>
    </row>
    <row r="140" spans="2:5" s="27" customFormat="1" x14ac:dyDescent="0.2">
      <c r="B140" s="37"/>
      <c r="C140" s="36">
        <f t="shared" si="11"/>
        <v>0</v>
      </c>
      <c r="D140" s="20"/>
      <c r="E140" s="36">
        <f t="shared" si="12"/>
        <v>0</v>
      </c>
    </row>
    <row r="141" spans="2:5" s="27" customFormat="1" x14ac:dyDescent="0.2">
      <c r="B141" s="37"/>
      <c r="C141" s="36">
        <f t="shared" si="11"/>
        <v>0</v>
      </c>
      <c r="D141" s="20"/>
      <c r="E141" s="36">
        <f t="shared" si="12"/>
        <v>0</v>
      </c>
    </row>
    <row r="142" spans="2:5" s="27" customFormat="1" x14ac:dyDescent="0.2">
      <c r="B142" s="37"/>
      <c r="C142" s="36">
        <f t="shared" si="11"/>
        <v>0</v>
      </c>
      <c r="D142" s="20"/>
      <c r="E142" s="36">
        <f t="shared" si="12"/>
        <v>0</v>
      </c>
    </row>
    <row r="143" spans="2:5" s="29" customFormat="1" x14ac:dyDescent="0.2">
      <c r="B143" s="33"/>
      <c r="C143" s="32"/>
      <c r="D143" s="31"/>
      <c r="E143" s="30"/>
    </row>
    <row r="144" spans="2:5" s="26" customFormat="1" x14ac:dyDescent="0.2">
      <c r="B144" s="24"/>
      <c r="C144" s="23"/>
      <c r="D144" s="22"/>
      <c r="E144" s="21"/>
    </row>
    <row r="145" spans="2:5" x14ac:dyDescent="0.2">
      <c r="B145" s="24"/>
      <c r="C145" s="23"/>
      <c r="D145" s="22"/>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F3" sqref="F3"/>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5.28515625" style="83"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49</v>
      </c>
      <c r="B1" s="76"/>
      <c r="C1" s="76"/>
      <c r="D1" s="76"/>
      <c r="E1" s="76"/>
      <c r="F1" s="76"/>
      <c r="G1" s="76"/>
      <c r="H1" s="76"/>
      <c r="I1" s="76"/>
      <c r="J1" s="76"/>
      <c r="K1" s="76"/>
      <c r="L1" s="76"/>
      <c r="N1" s="76"/>
      <c r="O1" s="76"/>
    </row>
    <row r="2" spans="1:17" x14ac:dyDescent="0.25">
      <c r="A2" s="77" t="s">
        <v>33</v>
      </c>
      <c r="B2" s="77" t="s">
        <v>34</v>
      </c>
      <c r="C2" s="77" t="s">
        <v>35</v>
      </c>
      <c r="D2" s="77" t="s">
        <v>36</v>
      </c>
      <c r="E2" s="77" t="s">
        <v>37</v>
      </c>
      <c r="F2" s="77" t="s">
        <v>38</v>
      </c>
      <c r="G2" s="77" t="s">
        <v>39</v>
      </c>
      <c r="H2" s="77" t="s">
        <v>40</v>
      </c>
      <c r="I2" s="77" t="s">
        <v>41</v>
      </c>
      <c r="J2" s="77" t="s">
        <v>42</v>
      </c>
      <c r="K2" s="77" t="s">
        <v>43</v>
      </c>
      <c r="L2" s="77" t="s">
        <v>87</v>
      </c>
      <c r="M2" s="84" t="s">
        <v>44</v>
      </c>
      <c r="N2" s="77" t="s">
        <v>45</v>
      </c>
      <c r="O2" s="77" t="s">
        <v>46</v>
      </c>
      <c r="P2" s="77" t="s">
        <v>47</v>
      </c>
      <c r="Q2" s="77" t="s">
        <v>48</v>
      </c>
    </row>
    <row r="3" spans="1:17" s="496" customFormat="1" ht="45" x14ac:dyDescent="0.25">
      <c r="A3" s="495" t="s">
        <v>3056</v>
      </c>
      <c r="B3" s="493" t="s">
        <v>3057</v>
      </c>
      <c r="C3" s="496" t="s">
        <v>3058</v>
      </c>
      <c r="D3" s="493" t="s">
        <v>3059</v>
      </c>
      <c r="E3" s="493" t="s">
        <v>3060</v>
      </c>
      <c r="F3" s="493" t="s">
        <v>3061</v>
      </c>
      <c r="G3" s="493" t="s">
        <v>9718</v>
      </c>
      <c r="H3" s="494" t="s">
        <v>9718</v>
      </c>
      <c r="I3" s="494" t="s">
        <v>9718</v>
      </c>
      <c r="J3" s="494" t="s">
        <v>9718</v>
      </c>
      <c r="K3" s="493" t="s">
        <v>9719</v>
      </c>
      <c r="L3" s="497" t="s">
        <v>89</v>
      </c>
      <c r="M3" s="498" t="s">
        <v>9720</v>
      </c>
      <c r="N3" s="494">
        <v>38856</v>
      </c>
      <c r="O3" s="499">
        <v>46082</v>
      </c>
      <c r="P3" s="494" t="s">
        <v>9721</v>
      </c>
      <c r="Q3" s="500" t="s">
        <v>9718</v>
      </c>
    </row>
    <row r="4" spans="1:17" x14ac:dyDescent="0.25">
      <c r="A4" s="72"/>
      <c r="B4" s="72"/>
      <c r="C4" s="72"/>
      <c r="D4" s="72"/>
      <c r="E4" s="73"/>
      <c r="F4" s="72"/>
      <c r="G4" s="72"/>
      <c r="H4" s="69"/>
      <c r="I4" s="82"/>
      <c r="J4" s="69"/>
      <c r="K4" s="73"/>
      <c r="L4" s="70"/>
      <c r="M4" s="85"/>
      <c r="N4" s="71"/>
      <c r="O4" s="68"/>
      <c r="P4" s="71"/>
      <c r="Q4" s="74"/>
    </row>
    <row r="5" spans="1:17" x14ac:dyDescent="0.25">
      <c r="A5" s="72"/>
      <c r="B5" s="72"/>
      <c r="C5" s="72"/>
      <c r="D5" s="72"/>
      <c r="E5" s="73"/>
      <c r="F5" s="72"/>
      <c r="G5" s="72"/>
      <c r="H5" s="69"/>
      <c r="I5" s="82"/>
      <c r="J5" s="71"/>
      <c r="K5" s="73"/>
      <c r="L5" s="70"/>
      <c r="M5" s="82"/>
      <c r="N5" s="69"/>
      <c r="O5" s="68"/>
      <c r="P5" s="75"/>
      <c r="Q5" s="7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902" workbookViewId="0">
      <selection activeCell="U1914" sqref="U1914"/>
    </sheetView>
  </sheetViews>
  <sheetFormatPr defaultRowHeight="15" x14ac:dyDescent="0.25"/>
  <sheetData>
    <row r="1" spans="1:26" x14ac:dyDescent="0.25">
      <c r="A1" s="450"/>
      <c r="B1" s="450" t="s">
        <v>3062</v>
      </c>
      <c r="C1" s="450" t="s">
        <v>3063</v>
      </c>
      <c r="D1" s="450" t="s">
        <v>3064</v>
      </c>
      <c r="E1" s="450" t="s">
        <v>3065</v>
      </c>
      <c r="F1" s="450" t="s">
        <v>3066</v>
      </c>
      <c r="G1" s="450" t="s">
        <v>3067</v>
      </c>
      <c r="H1" s="450" t="s">
        <v>3068</v>
      </c>
      <c r="I1" s="450" t="s">
        <v>231</v>
      </c>
      <c r="J1" s="450" t="s">
        <v>3062</v>
      </c>
      <c r="K1" s="450" t="s">
        <v>3069</v>
      </c>
      <c r="L1" s="450" t="s">
        <v>3070</v>
      </c>
      <c r="M1" s="450"/>
      <c r="N1" s="450"/>
      <c r="O1" s="450"/>
      <c r="P1" s="456" t="s">
        <v>3071</v>
      </c>
      <c r="Q1" s="456" t="s">
        <v>3072</v>
      </c>
      <c r="R1" s="456" t="s">
        <v>3063</v>
      </c>
      <c r="S1" s="480">
        <v>37348</v>
      </c>
      <c r="T1" s="481" t="s">
        <v>3073</v>
      </c>
      <c r="U1" s="480">
        <v>37372</v>
      </c>
      <c r="V1" s="481" t="s">
        <v>231</v>
      </c>
      <c r="W1" s="481" t="s">
        <v>3074</v>
      </c>
      <c r="X1" s="481" t="s">
        <v>3075</v>
      </c>
      <c r="Y1" s="482" t="s">
        <v>3076</v>
      </c>
      <c r="Z1" s="482" t="s">
        <v>3077</v>
      </c>
    </row>
    <row r="2" spans="1:26" x14ac:dyDescent="0.25">
      <c r="A2" s="450"/>
      <c r="B2" s="450" t="s">
        <v>3062</v>
      </c>
      <c r="C2" s="450" t="s">
        <v>3063</v>
      </c>
      <c r="D2" s="450" t="s">
        <v>3078</v>
      </c>
      <c r="E2" s="450" t="s">
        <v>3079</v>
      </c>
      <c r="F2" s="450" t="s">
        <v>3066</v>
      </c>
      <c r="G2" s="450" t="s">
        <v>3080</v>
      </c>
      <c r="H2" s="450" t="s">
        <v>3068</v>
      </c>
      <c r="I2" s="450" t="s">
        <v>231</v>
      </c>
      <c r="J2" s="450" t="s">
        <v>3062</v>
      </c>
      <c r="K2" s="450" t="s">
        <v>3069</v>
      </c>
      <c r="L2" s="450" t="s">
        <v>3070</v>
      </c>
      <c r="M2" s="450"/>
      <c r="N2" s="450"/>
      <c r="O2" s="450"/>
      <c r="P2" s="456" t="s">
        <v>3071</v>
      </c>
      <c r="Q2" s="456" t="s">
        <v>3072</v>
      </c>
      <c r="R2" s="456" t="s">
        <v>3063</v>
      </c>
      <c r="S2" s="480">
        <v>37354</v>
      </c>
      <c r="T2" s="481" t="s">
        <v>3073</v>
      </c>
      <c r="U2" s="480">
        <v>37372</v>
      </c>
      <c r="V2" s="481" t="s">
        <v>231</v>
      </c>
      <c r="W2" s="481" t="s">
        <v>3074</v>
      </c>
      <c r="X2" s="481" t="s">
        <v>3075</v>
      </c>
      <c r="Y2" s="482" t="s">
        <v>3076</v>
      </c>
      <c r="Z2" s="482" t="s">
        <v>3077</v>
      </c>
    </row>
    <row r="3" spans="1:26" x14ac:dyDescent="0.25">
      <c r="A3" s="450"/>
      <c r="B3" s="450" t="s">
        <v>3062</v>
      </c>
      <c r="C3" s="450" t="s">
        <v>3063</v>
      </c>
      <c r="D3" s="450" t="s">
        <v>3081</v>
      </c>
      <c r="E3" s="450" t="s">
        <v>3079</v>
      </c>
      <c r="F3" s="450" t="s">
        <v>3082</v>
      </c>
      <c r="G3" s="450" t="s">
        <v>3083</v>
      </c>
      <c r="H3" s="450" t="s">
        <v>3068</v>
      </c>
      <c r="I3" s="450" t="s">
        <v>231</v>
      </c>
      <c r="J3" s="450" t="s">
        <v>3062</v>
      </c>
      <c r="K3" s="450" t="s">
        <v>3069</v>
      </c>
      <c r="L3" s="450" t="s">
        <v>3070</v>
      </c>
      <c r="M3" s="450"/>
      <c r="N3" s="450"/>
      <c r="O3" s="450"/>
      <c r="P3" s="456" t="s">
        <v>3071</v>
      </c>
      <c r="Q3" s="456" t="s">
        <v>3072</v>
      </c>
      <c r="R3" s="456" t="s">
        <v>3063</v>
      </c>
      <c r="S3" s="480">
        <v>37354</v>
      </c>
      <c r="T3" s="481" t="s">
        <v>3073</v>
      </c>
      <c r="U3" s="480">
        <v>37503</v>
      </c>
      <c r="V3" s="481" t="s">
        <v>231</v>
      </c>
      <c r="W3" s="481" t="s">
        <v>3074</v>
      </c>
      <c r="X3" s="481" t="s">
        <v>3075</v>
      </c>
      <c r="Y3" s="482" t="s">
        <v>3076</v>
      </c>
      <c r="Z3" s="482" t="s">
        <v>3077</v>
      </c>
    </row>
    <row r="4" spans="1:26" x14ac:dyDescent="0.25">
      <c r="A4" s="450"/>
      <c r="B4" s="450" t="s">
        <v>3062</v>
      </c>
      <c r="C4" s="450" t="s">
        <v>3063</v>
      </c>
      <c r="D4" s="450" t="s">
        <v>3084</v>
      </c>
      <c r="E4" s="450" t="s">
        <v>3085</v>
      </c>
      <c r="F4" s="450" t="s">
        <v>3086</v>
      </c>
      <c r="G4" s="450" t="s">
        <v>3087</v>
      </c>
      <c r="H4" s="450" t="s">
        <v>262</v>
      </c>
      <c r="I4" s="450" t="s">
        <v>231</v>
      </c>
      <c r="J4" s="450" t="s">
        <v>3062</v>
      </c>
      <c r="K4" s="450" t="s">
        <v>3069</v>
      </c>
      <c r="L4" s="450" t="s">
        <v>3070</v>
      </c>
      <c r="M4" s="450"/>
      <c r="N4" s="450"/>
      <c r="O4" s="450"/>
      <c r="P4" s="456" t="s">
        <v>3071</v>
      </c>
      <c r="Q4" s="456" t="s">
        <v>3072</v>
      </c>
      <c r="R4" s="456" t="s">
        <v>3063</v>
      </c>
      <c r="S4" s="480">
        <v>37361</v>
      </c>
      <c r="T4" s="481" t="s">
        <v>3073</v>
      </c>
      <c r="U4" s="480">
        <v>37389</v>
      </c>
      <c r="V4" s="481" t="s">
        <v>231</v>
      </c>
      <c r="W4" s="481" t="s">
        <v>3074</v>
      </c>
      <c r="X4" s="481" t="s">
        <v>3075</v>
      </c>
      <c r="Y4" s="482" t="s">
        <v>3076</v>
      </c>
      <c r="Z4" s="482" t="s">
        <v>3077</v>
      </c>
    </row>
    <row r="5" spans="1:26" x14ac:dyDescent="0.25">
      <c r="A5" s="450"/>
      <c r="B5" s="450" t="s">
        <v>3062</v>
      </c>
      <c r="C5" s="450" t="s">
        <v>3063</v>
      </c>
      <c r="D5" s="450" t="s">
        <v>3088</v>
      </c>
      <c r="E5" s="450" t="s">
        <v>3089</v>
      </c>
      <c r="F5" s="450" t="s">
        <v>3086</v>
      </c>
      <c r="G5" s="450" t="s">
        <v>3090</v>
      </c>
      <c r="H5" s="450" t="s">
        <v>3091</v>
      </c>
      <c r="I5" s="450" t="s">
        <v>231</v>
      </c>
      <c r="J5" s="450" t="s">
        <v>3062</v>
      </c>
      <c r="K5" s="450" t="s">
        <v>3069</v>
      </c>
      <c r="L5" s="450" t="s">
        <v>3070</v>
      </c>
      <c r="M5" s="450"/>
      <c r="N5" s="450"/>
      <c r="O5" s="450"/>
      <c r="P5" s="456" t="s">
        <v>3071</v>
      </c>
      <c r="Q5" s="456" t="s">
        <v>3072</v>
      </c>
      <c r="R5" s="456" t="s">
        <v>3063</v>
      </c>
      <c r="S5" s="480">
        <v>37364</v>
      </c>
      <c r="T5" s="481" t="s">
        <v>3073</v>
      </c>
      <c r="U5" s="480">
        <v>37389</v>
      </c>
      <c r="V5" s="481" t="s">
        <v>231</v>
      </c>
      <c r="W5" s="481" t="s">
        <v>3074</v>
      </c>
      <c r="X5" s="481" t="s">
        <v>3075</v>
      </c>
      <c r="Y5" s="482" t="s">
        <v>3076</v>
      </c>
      <c r="Z5" s="482" t="s">
        <v>3077</v>
      </c>
    </row>
    <row r="6" spans="1:26" x14ac:dyDescent="0.25">
      <c r="A6" s="450"/>
      <c r="B6" s="450" t="s">
        <v>3062</v>
      </c>
      <c r="C6" s="450" t="s">
        <v>3063</v>
      </c>
      <c r="D6" s="450" t="s">
        <v>3092</v>
      </c>
      <c r="E6" s="450" t="s">
        <v>3093</v>
      </c>
      <c r="F6" s="450" t="s">
        <v>3094</v>
      </c>
      <c r="G6" s="450" t="s">
        <v>3095</v>
      </c>
      <c r="H6" s="450" t="s">
        <v>3096</v>
      </c>
      <c r="I6" s="450" t="s">
        <v>231</v>
      </c>
      <c r="J6" s="450" t="s">
        <v>3062</v>
      </c>
      <c r="K6" s="450" t="s">
        <v>3069</v>
      </c>
      <c r="L6" s="450" t="s">
        <v>3070</v>
      </c>
      <c r="M6" s="450"/>
      <c r="N6" s="450"/>
      <c r="O6" s="450"/>
      <c r="P6" s="456" t="s">
        <v>3071</v>
      </c>
      <c r="Q6" s="456" t="s">
        <v>3072</v>
      </c>
      <c r="R6" s="456" t="s">
        <v>3063</v>
      </c>
      <c r="S6" s="480">
        <v>37381</v>
      </c>
      <c r="T6" s="481" t="s">
        <v>3073</v>
      </c>
      <c r="U6" s="480">
        <v>37433</v>
      </c>
      <c r="V6" s="481" t="s">
        <v>231</v>
      </c>
      <c r="W6" s="481" t="s">
        <v>3074</v>
      </c>
      <c r="X6" s="481" t="s">
        <v>3075</v>
      </c>
      <c r="Y6" s="482" t="s">
        <v>3076</v>
      </c>
      <c r="Z6" s="482" t="s">
        <v>3077</v>
      </c>
    </row>
    <row r="7" spans="1:26" x14ac:dyDescent="0.25">
      <c r="A7" s="450"/>
      <c r="B7" s="450" t="s">
        <v>3062</v>
      </c>
      <c r="C7" s="450" t="s">
        <v>3063</v>
      </c>
      <c r="D7" s="450" t="s">
        <v>3097</v>
      </c>
      <c r="E7" s="450" t="s">
        <v>3098</v>
      </c>
      <c r="F7" s="450" t="s">
        <v>3086</v>
      </c>
      <c r="G7" s="450" t="s">
        <v>1156</v>
      </c>
      <c r="H7" s="450" t="s">
        <v>119</v>
      </c>
      <c r="I7" s="450" t="s">
        <v>231</v>
      </c>
      <c r="J7" s="450" t="s">
        <v>3062</v>
      </c>
      <c r="K7" s="450" t="s">
        <v>3069</v>
      </c>
      <c r="L7" s="450" t="s">
        <v>3070</v>
      </c>
      <c r="M7" s="450"/>
      <c r="N7" s="450"/>
      <c r="O7" s="450"/>
      <c r="P7" s="456" t="s">
        <v>3071</v>
      </c>
      <c r="Q7" s="456" t="s">
        <v>3072</v>
      </c>
      <c r="R7" s="456" t="s">
        <v>3063</v>
      </c>
      <c r="S7" s="480">
        <v>37384</v>
      </c>
      <c r="T7" s="481" t="s">
        <v>3073</v>
      </c>
      <c r="U7" s="480">
        <v>37389</v>
      </c>
      <c r="V7" s="481" t="s">
        <v>231</v>
      </c>
      <c r="W7" s="481" t="s">
        <v>3074</v>
      </c>
      <c r="X7" s="481" t="s">
        <v>3075</v>
      </c>
      <c r="Y7" s="482" t="s">
        <v>3076</v>
      </c>
      <c r="Z7" s="482" t="s">
        <v>3077</v>
      </c>
    </row>
    <row r="8" spans="1:26" x14ac:dyDescent="0.25">
      <c r="A8" s="450"/>
      <c r="B8" s="450" t="s">
        <v>3062</v>
      </c>
      <c r="C8" s="450" t="s">
        <v>3063</v>
      </c>
      <c r="D8" s="450" t="s">
        <v>3099</v>
      </c>
      <c r="E8" s="450" t="s">
        <v>3100</v>
      </c>
      <c r="F8" s="450" t="s">
        <v>3101</v>
      </c>
      <c r="G8" s="450" t="s">
        <v>3102</v>
      </c>
      <c r="H8" s="450" t="s">
        <v>3096</v>
      </c>
      <c r="I8" s="450" t="s">
        <v>231</v>
      </c>
      <c r="J8" s="450" t="s">
        <v>3062</v>
      </c>
      <c r="K8" s="450" t="s">
        <v>3069</v>
      </c>
      <c r="L8" s="450" t="s">
        <v>3070</v>
      </c>
      <c r="M8" s="450"/>
      <c r="N8" s="450"/>
      <c r="O8" s="450"/>
      <c r="P8" s="456" t="s">
        <v>3071</v>
      </c>
      <c r="Q8" s="456" t="s">
        <v>3072</v>
      </c>
      <c r="R8" s="456" t="s">
        <v>3063</v>
      </c>
      <c r="S8" s="480">
        <v>37425</v>
      </c>
      <c r="T8" s="481" t="s">
        <v>3073</v>
      </c>
      <c r="U8" s="480">
        <v>37484</v>
      </c>
      <c r="V8" s="481" t="s">
        <v>231</v>
      </c>
      <c r="W8" s="481" t="s">
        <v>3074</v>
      </c>
      <c r="X8" s="481" t="s">
        <v>3075</v>
      </c>
      <c r="Y8" s="482" t="s">
        <v>3076</v>
      </c>
      <c r="Z8" s="482" t="s">
        <v>3077</v>
      </c>
    </row>
    <row r="9" spans="1:26" x14ac:dyDescent="0.25">
      <c r="A9" s="450"/>
      <c r="B9" s="450" t="s">
        <v>3062</v>
      </c>
      <c r="C9" s="450" t="s">
        <v>3063</v>
      </c>
      <c r="D9" s="450" t="s">
        <v>3103</v>
      </c>
      <c r="E9" s="450" t="s">
        <v>3104</v>
      </c>
      <c r="F9" s="450" t="s">
        <v>3105</v>
      </c>
      <c r="G9" s="450" t="s">
        <v>3106</v>
      </c>
      <c r="H9" s="450" t="s">
        <v>3096</v>
      </c>
      <c r="I9" s="450" t="s">
        <v>231</v>
      </c>
      <c r="J9" s="450" t="s">
        <v>3062</v>
      </c>
      <c r="K9" s="450" t="s">
        <v>3069</v>
      </c>
      <c r="L9" s="450" t="s">
        <v>3070</v>
      </c>
      <c r="M9" s="450"/>
      <c r="N9" s="450"/>
      <c r="O9" s="450"/>
      <c r="P9" s="456" t="s">
        <v>3071</v>
      </c>
      <c r="Q9" s="456" t="s">
        <v>3072</v>
      </c>
      <c r="R9" s="456" t="s">
        <v>3063</v>
      </c>
      <c r="S9" s="480">
        <v>37496</v>
      </c>
      <c r="T9" s="481" t="s">
        <v>3073</v>
      </c>
      <c r="U9" s="480">
        <v>37525</v>
      </c>
      <c r="V9" s="481" t="s">
        <v>231</v>
      </c>
      <c r="W9" s="481" t="s">
        <v>3074</v>
      </c>
      <c r="X9" s="481" t="s">
        <v>3075</v>
      </c>
      <c r="Y9" s="482" t="s">
        <v>3076</v>
      </c>
      <c r="Z9" s="482" t="s">
        <v>3077</v>
      </c>
    </row>
    <row r="10" spans="1:26" x14ac:dyDescent="0.25">
      <c r="A10" s="450"/>
      <c r="B10" s="450" t="s">
        <v>3062</v>
      </c>
      <c r="C10" s="450" t="s">
        <v>3063</v>
      </c>
      <c r="D10" s="450" t="s">
        <v>212</v>
      </c>
      <c r="E10" s="450" t="s">
        <v>3107</v>
      </c>
      <c r="F10" s="450" t="s">
        <v>3108</v>
      </c>
      <c r="G10" s="450" t="s">
        <v>1221</v>
      </c>
      <c r="H10" s="450" t="s">
        <v>3109</v>
      </c>
      <c r="I10" s="450" t="s">
        <v>231</v>
      </c>
      <c r="J10" s="450" t="s">
        <v>3062</v>
      </c>
      <c r="K10" s="450" t="s">
        <v>3069</v>
      </c>
      <c r="L10" s="450" t="s">
        <v>3070</v>
      </c>
      <c r="M10" s="450"/>
      <c r="N10" s="450"/>
      <c r="O10" s="450"/>
      <c r="P10" s="456" t="s">
        <v>3071</v>
      </c>
      <c r="Q10" s="456" t="s">
        <v>3072</v>
      </c>
      <c r="R10" s="456" t="s">
        <v>3063</v>
      </c>
      <c r="S10" s="480">
        <v>38000</v>
      </c>
      <c r="T10" s="481" t="s">
        <v>3073</v>
      </c>
      <c r="U10" s="480">
        <v>38029</v>
      </c>
      <c r="V10" s="481" t="s">
        <v>231</v>
      </c>
      <c r="W10" s="481" t="s">
        <v>3074</v>
      </c>
      <c r="X10" s="481" t="s">
        <v>3075</v>
      </c>
      <c r="Y10" s="482" t="s">
        <v>3076</v>
      </c>
      <c r="Z10" s="482" t="s">
        <v>3077</v>
      </c>
    </row>
    <row r="11" spans="1:26" x14ac:dyDescent="0.25">
      <c r="A11" s="450"/>
      <c r="B11" s="450" t="s">
        <v>3062</v>
      </c>
      <c r="C11" s="450" t="s">
        <v>3063</v>
      </c>
      <c r="D11" s="450" t="s">
        <v>233</v>
      </c>
      <c r="E11" s="450" t="s">
        <v>3110</v>
      </c>
      <c r="F11" s="450" t="s">
        <v>3108</v>
      </c>
      <c r="G11" s="450" t="s">
        <v>3111</v>
      </c>
      <c r="H11" s="450" t="s">
        <v>3109</v>
      </c>
      <c r="I11" s="450" t="s">
        <v>231</v>
      </c>
      <c r="J11" s="450" t="s">
        <v>3062</v>
      </c>
      <c r="K11" s="450" t="s">
        <v>3069</v>
      </c>
      <c r="L11" s="450" t="s">
        <v>3070</v>
      </c>
      <c r="M11" s="450"/>
      <c r="N11" s="450"/>
      <c r="O11" s="450"/>
      <c r="P11" s="456" t="s">
        <v>3071</v>
      </c>
      <c r="Q11" s="456" t="s">
        <v>3072</v>
      </c>
      <c r="R11" s="456" t="s">
        <v>3063</v>
      </c>
      <c r="S11" s="480">
        <v>38007</v>
      </c>
      <c r="T11" s="481" t="s">
        <v>3073</v>
      </c>
      <c r="U11" s="480">
        <v>38029</v>
      </c>
      <c r="V11" s="481" t="s">
        <v>231</v>
      </c>
      <c r="W11" s="481" t="s">
        <v>3074</v>
      </c>
      <c r="X11" s="481" t="s">
        <v>3075</v>
      </c>
      <c r="Y11" s="482" t="s">
        <v>3076</v>
      </c>
      <c r="Z11" s="482" t="s">
        <v>3077</v>
      </c>
    </row>
    <row r="12" spans="1:26" x14ac:dyDescent="0.25">
      <c r="A12" s="450"/>
      <c r="B12" s="450" t="s">
        <v>3062</v>
      </c>
      <c r="C12" s="450" t="s">
        <v>3063</v>
      </c>
      <c r="D12" s="450" t="s">
        <v>252</v>
      </c>
      <c r="E12" s="450" t="s">
        <v>3112</v>
      </c>
      <c r="F12" s="450" t="s">
        <v>3113</v>
      </c>
      <c r="G12" s="450" t="s">
        <v>3114</v>
      </c>
      <c r="H12" s="450" t="s">
        <v>3109</v>
      </c>
      <c r="I12" s="450" t="s">
        <v>231</v>
      </c>
      <c r="J12" s="450" t="s">
        <v>3062</v>
      </c>
      <c r="K12" s="450" t="s">
        <v>3069</v>
      </c>
      <c r="L12" s="450" t="s">
        <v>3070</v>
      </c>
      <c r="M12" s="450"/>
      <c r="N12" s="450"/>
      <c r="O12" s="450"/>
      <c r="P12" s="456" t="s">
        <v>3071</v>
      </c>
      <c r="Q12" s="456" t="s">
        <v>3072</v>
      </c>
      <c r="R12" s="456" t="s">
        <v>3063</v>
      </c>
      <c r="S12" s="480">
        <v>38023</v>
      </c>
      <c r="T12" s="481" t="s">
        <v>3073</v>
      </c>
      <c r="U12" s="480">
        <v>38049</v>
      </c>
      <c r="V12" s="481" t="s">
        <v>231</v>
      </c>
      <c r="W12" s="481" t="s">
        <v>3074</v>
      </c>
      <c r="X12" s="481" t="s">
        <v>3075</v>
      </c>
      <c r="Y12" s="482" t="s">
        <v>3076</v>
      </c>
      <c r="Z12" s="482" t="s">
        <v>3077</v>
      </c>
    </row>
    <row r="13" spans="1:26" x14ac:dyDescent="0.25">
      <c r="A13" s="450"/>
      <c r="B13" s="450" t="s">
        <v>3062</v>
      </c>
      <c r="C13" s="450" t="s">
        <v>3063</v>
      </c>
      <c r="D13" s="450" t="s">
        <v>229</v>
      </c>
      <c r="E13" s="450" t="s">
        <v>3115</v>
      </c>
      <c r="F13" s="450" t="s">
        <v>3116</v>
      </c>
      <c r="G13" s="450" t="s">
        <v>230</v>
      </c>
      <c r="H13" s="450" t="s">
        <v>3109</v>
      </c>
      <c r="I13" s="450" t="s">
        <v>231</v>
      </c>
      <c r="J13" s="450" t="s">
        <v>3062</v>
      </c>
      <c r="K13" s="450" t="s">
        <v>3069</v>
      </c>
      <c r="L13" s="450" t="s">
        <v>3070</v>
      </c>
      <c r="M13" s="450"/>
      <c r="N13" s="450"/>
      <c r="O13" s="450"/>
      <c r="P13" s="456" t="s">
        <v>3071</v>
      </c>
      <c r="Q13" s="456" t="s">
        <v>3072</v>
      </c>
      <c r="R13" s="456" t="s">
        <v>3063</v>
      </c>
      <c r="S13" s="480">
        <v>38026</v>
      </c>
      <c r="T13" s="481" t="s">
        <v>3073</v>
      </c>
      <c r="U13" s="480">
        <v>38027</v>
      </c>
      <c r="V13" s="481" t="s">
        <v>231</v>
      </c>
      <c r="W13" s="481" t="s">
        <v>3074</v>
      </c>
      <c r="X13" s="481" t="s">
        <v>3075</v>
      </c>
      <c r="Y13" s="482" t="s">
        <v>3076</v>
      </c>
      <c r="Z13" s="482" t="s">
        <v>3077</v>
      </c>
    </row>
    <row r="14" spans="1:26" x14ac:dyDescent="0.25">
      <c r="A14" s="450"/>
      <c r="B14" s="450" t="s">
        <v>3062</v>
      </c>
      <c r="C14" s="450" t="s">
        <v>3063</v>
      </c>
      <c r="D14" s="450" t="s">
        <v>298</v>
      </c>
      <c r="E14" s="450" t="s">
        <v>3117</v>
      </c>
      <c r="F14" s="450" t="s">
        <v>3118</v>
      </c>
      <c r="G14" s="450" t="s">
        <v>299</v>
      </c>
      <c r="H14" s="450" t="s">
        <v>262</v>
      </c>
      <c r="I14" s="450" t="s">
        <v>231</v>
      </c>
      <c r="J14" s="450" t="s">
        <v>3062</v>
      </c>
      <c r="K14" s="450" t="s">
        <v>3069</v>
      </c>
      <c r="L14" s="450" t="s">
        <v>3070</v>
      </c>
      <c r="M14" s="450"/>
      <c r="N14" s="450"/>
      <c r="O14" s="450"/>
      <c r="P14" s="456" t="s">
        <v>3071</v>
      </c>
      <c r="Q14" s="456" t="s">
        <v>3072</v>
      </c>
      <c r="R14" s="456" t="s">
        <v>3063</v>
      </c>
      <c r="S14" s="480">
        <v>38441</v>
      </c>
      <c r="T14" s="481" t="s">
        <v>3073</v>
      </c>
      <c r="U14" s="480">
        <v>38504</v>
      </c>
      <c r="V14" s="481" t="s">
        <v>231</v>
      </c>
      <c r="W14" s="481" t="s">
        <v>3074</v>
      </c>
      <c r="X14" s="481" t="s">
        <v>3075</v>
      </c>
      <c r="Y14" s="482" t="s">
        <v>3076</v>
      </c>
      <c r="Z14" s="482" t="s">
        <v>3077</v>
      </c>
    </row>
    <row r="15" spans="1:26" x14ac:dyDescent="0.25">
      <c r="A15" s="450"/>
      <c r="B15" s="450" t="s">
        <v>3062</v>
      </c>
      <c r="C15" s="450" t="s">
        <v>3063</v>
      </c>
      <c r="D15" s="450" t="s">
        <v>308</v>
      </c>
      <c r="E15" s="450" t="s">
        <v>3119</v>
      </c>
      <c r="F15" s="450" t="s">
        <v>3120</v>
      </c>
      <c r="G15" s="450" t="s">
        <v>3121</v>
      </c>
      <c r="H15" s="450" t="s">
        <v>3068</v>
      </c>
      <c r="I15" s="450" t="s">
        <v>231</v>
      </c>
      <c r="J15" s="450" t="s">
        <v>3062</v>
      </c>
      <c r="K15" s="450" t="s">
        <v>3069</v>
      </c>
      <c r="L15" s="450" t="s">
        <v>3070</v>
      </c>
      <c r="M15" s="450"/>
      <c r="N15" s="450"/>
      <c r="O15" s="450"/>
      <c r="P15" s="456" t="s">
        <v>3071</v>
      </c>
      <c r="Q15" s="456" t="s">
        <v>3072</v>
      </c>
      <c r="R15" s="456" t="s">
        <v>3063</v>
      </c>
      <c r="S15" s="480">
        <v>38468</v>
      </c>
      <c r="T15" s="481" t="s">
        <v>3073</v>
      </c>
      <c r="U15" s="480">
        <v>38551</v>
      </c>
      <c r="V15" s="481" t="s">
        <v>231</v>
      </c>
      <c r="W15" s="481" t="s">
        <v>3074</v>
      </c>
      <c r="X15" s="481" t="s">
        <v>3075</v>
      </c>
      <c r="Y15" s="482" t="s">
        <v>3076</v>
      </c>
      <c r="Z15" s="482" t="s">
        <v>3077</v>
      </c>
    </row>
    <row r="16" spans="1:26" x14ac:dyDescent="0.25">
      <c r="A16" s="450"/>
      <c r="B16" s="450" t="s">
        <v>3062</v>
      </c>
      <c r="C16" s="450" t="s">
        <v>3063</v>
      </c>
      <c r="D16" s="450" t="s">
        <v>305</v>
      </c>
      <c r="E16" s="450" t="s">
        <v>3122</v>
      </c>
      <c r="F16" s="450" t="s">
        <v>3123</v>
      </c>
      <c r="G16" s="450" t="s">
        <v>3124</v>
      </c>
      <c r="H16" s="450" t="s">
        <v>262</v>
      </c>
      <c r="I16" s="450" t="s">
        <v>231</v>
      </c>
      <c r="J16" s="450" t="s">
        <v>3062</v>
      </c>
      <c r="K16" s="450" t="s">
        <v>3069</v>
      </c>
      <c r="L16" s="450" t="s">
        <v>3070</v>
      </c>
      <c r="M16" s="450"/>
      <c r="N16" s="450"/>
      <c r="O16" s="450"/>
      <c r="P16" s="456" t="s">
        <v>3071</v>
      </c>
      <c r="Q16" s="456" t="s">
        <v>3072</v>
      </c>
      <c r="R16" s="456" t="s">
        <v>3063</v>
      </c>
      <c r="S16" s="480">
        <v>38482</v>
      </c>
      <c r="T16" s="481" t="s">
        <v>3073</v>
      </c>
      <c r="U16" s="480">
        <v>38541</v>
      </c>
      <c r="V16" s="481" t="s">
        <v>231</v>
      </c>
      <c r="W16" s="481" t="s">
        <v>3074</v>
      </c>
      <c r="X16" s="481" t="s">
        <v>3075</v>
      </c>
      <c r="Y16" s="482" t="s">
        <v>3076</v>
      </c>
      <c r="Z16" s="482" t="s">
        <v>3077</v>
      </c>
    </row>
    <row r="17" spans="1:26" x14ac:dyDescent="0.25">
      <c r="A17" s="450"/>
      <c r="B17" s="450" t="s">
        <v>3062</v>
      </c>
      <c r="C17" s="450" t="s">
        <v>3063</v>
      </c>
      <c r="D17" s="450" t="s">
        <v>341</v>
      </c>
      <c r="E17" s="450" t="s">
        <v>3125</v>
      </c>
      <c r="F17" s="450" t="s">
        <v>3126</v>
      </c>
      <c r="G17" s="450" t="s">
        <v>3127</v>
      </c>
      <c r="H17" s="450" t="s">
        <v>343</v>
      </c>
      <c r="I17" s="450" t="s">
        <v>231</v>
      </c>
      <c r="J17" s="450" t="s">
        <v>3062</v>
      </c>
      <c r="K17" s="450" t="s">
        <v>3069</v>
      </c>
      <c r="L17" s="450" t="s">
        <v>3070</v>
      </c>
      <c r="M17" s="450"/>
      <c r="N17" s="450"/>
      <c r="O17" s="450"/>
      <c r="P17" s="456" t="s">
        <v>3071</v>
      </c>
      <c r="Q17" s="456" t="s">
        <v>3072</v>
      </c>
      <c r="R17" s="456" t="s">
        <v>3063</v>
      </c>
      <c r="S17" s="480">
        <v>38621</v>
      </c>
      <c r="T17" s="481" t="s">
        <v>3073</v>
      </c>
      <c r="U17" s="480">
        <v>38709</v>
      </c>
      <c r="V17" s="481" t="s">
        <v>231</v>
      </c>
      <c r="W17" s="481" t="s">
        <v>3074</v>
      </c>
      <c r="X17" s="481" t="s">
        <v>3075</v>
      </c>
      <c r="Y17" s="482" t="s">
        <v>3076</v>
      </c>
      <c r="Z17" s="482" t="s">
        <v>3077</v>
      </c>
    </row>
    <row r="18" spans="1:26" x14ac:dyDescent="0.25">
      <c r="A18" s="450"/>
      <c r="B18" s="450" t="s">
        <v>3062</v>
      </c>
      <c r="C18" s="450" t="s">
        <v>3063</v>
      </c>
      <c r="D18" s="450" t="s">
        <v>336</v>
      </c>
      <c r="E18" s="450" t="s">
        <v>3128</v>
      </c>
      <c r="F18" s="450" t="s">
        <v>3129</v>
      </c>
      <c r="G18" s="450" t="s">
        <v>3130</v>
      </c>
      <c r="H18" s="450" t="s">
        <v>3131</v>
      </c>
      <c r="I18" s="450" t="s">
        <v>231</v>
      </c>
      <c r="J18" s="450" t="s">
        <v>3062</v>
      </c>
      <c r="K18" s="450" t="s">
        <v>3069</v>
      </c>
      <c r="L18" s="450" t="s">
        <v>3070</v>
      </c>
      <c r="M18" s="450"/>
      <c r="N18" s="450"/>
      <c r="O18" s="450"/>
      <c r="P18" s="456" t="s">
        <v>3071</v>
      </c>
      <c r="Q18" s="456" t="s">
        <v>3072</v>
      </c>
      <c r="R18" s="456" t="s">
        <v>3063</v>
      </c>
      <c r="S18" s="480">
        <v>38636</v>
      </c>
      <c r="T18" s="481" t="s">
        <v>3073</v>
      </c>
      <c r="U18" s="480">
        <v>38701</v>
      </c>
      <c r="V18" s="481" t="s">
        <v>231</v>
      </c>
      <c r="W18" s="481" t="s">
        <v>3074</v>
      </c>
      <c r="X18" s="481" t="s">
        <v>3075</v>
      </c>
      <c r="Y18" s="482" t="s">
        <v>3076</v>
      </c>
      <c r="Z18" s="482" t="s">
        <v>3077</v>
      </c>
    </row>
    <row r="19" spans="1:26" x14ac:dyDescent="0.25">
      <c r="A19" s="450"/>
      <c r="B19" s="450" t="s">
        <v>3062</v>
      </c>
      <c r="C19" s="450" t="s">
        <v>3063</v>
      </c>
      <c r="D19" s="450" t="s">
        <v>334</v>
      </c>
      <c r="E19" s="450" t="s">
        <v>3128</v>
      </c>
      <c r="F19" s="450" t="s">
        <v>3129</v>
      </c>
      <c r="G19" s="450" t="s">
        <v>335</v>
      </c>
      <c r="H19" s="450" t="s">
        <v>3131</v>
      </c>
      <c r="I19" s="450" t="s">
        <v>231</v>
      </c>
      <c r="J19" s="450" t="s">
        <v>3062</v>
      </c>
      <c r="K19" s="450" t="s">
        <v>3069</v>
      </c>
      <c r="L19" s="450" t="s">
        <v>3070</v>
      </c>
      <c r="M19" s="450"/>
      <c r="N19" s="450"/>
      <c r="O19" s="450"/>
      <c r="P19" s="456" t="s">
        <v>3071</v>
      </c>
      <c r="Q19" s="456" t="s">
        <v>3072</v>
      </c>
      <c r="R19" s="456" t="s">
        <v>3063</v>
      </c>
      <c r="S19" s="480">
        <v>38636</v>
      </c>
      <c r="T19" s="481" t="s">
        <v>3073</v>
      </c>
      <c r="U19" s="480">
        <v>38701</v>
      </c>
      <c r="V19" s="481" t="s">
        <v>231</v>
      </c>
      <c r="W19" s="481" t="s">
        <v>3074</v>
      </c>
      <c r="X19" s="481" t="s">
        <v>3075</v>
      </c>
      <c r="Y19" s="482" t="s">
        <v>3076</v>
      </c>
      <c r="Z19" s="482" t="s">
        <v>3077</v>
      </c>
    </row>
    <row r="20" spans="1:26" x14ac:dyDescent="0.25">
      <c r="A20" s="450"/>
      <c r="B20" s="450" t="s">
        <v>3062</v>
      </c>
      <c r="C20" s="450" t="s">
        <v>3063</v>
      </c>
      <c r="D20" s="450" t="s">
        <v>1755</v>
      </c>
      <c r="E20" s="450" t="s">
        <v>3132</v>
      </c>
      <c r="F20" s="450" t="s">
        <v>3129</v>
      </c>
      <c r="G20" s="450" t="s">
        <v>3133</v>
      </c>
      <c r="H20" s="450" t="s">
        <v>3131</v>
      </c>
      <c r="I20" s="450" t="s">
        <v>231</v>
      </c>
      <c r="J20" s="450" t="s">
        <v>3062</v>
      </c>
      <c r="K20" s="450" t="s">
        <v>3069</v>
      </c>
      <c r="L20" s="450" t="s">
        <v>3070</v>
      </c>
      <c r="M20" s="450"/>
      <c r="N20" s="450"/>
      <c r="O20" s="450"/>
      <c r="P20" s="456" t="s">
        <v>3071</v>
      </c>
      <c r="Q20" s="456" t="s">
        <v>3072</v>
      </c>
      <c r="R20" s="456" t="s">
        <v>3063</v>
      </c>
      <c r="S20" s="480">
        <v>38637</v>
      </c>
      <c r="T20" s="481" t="s">
        <v>3073</v>
      </c>
      <c r="U20" s="480">
        <v>38701</v>
      </c>
      <c r="V20" s="481" t="s">
        <v>231</v>
      </c>
      <c r="W20" s="481" t="s">
        <v>3074</v>
      </c>
      <c r="X20" s="481" t="s">
        <v>3075</v>
      </c>
      <c r="Y20" s="482" t="s">
        <v>3076</v>
      </c>
      <c r="Z20" s="482" t="s">
        <v>3077</v>
      </c>
    </row>
    <row r="21" spans="1:26" x14ac:dyDescent="0.25">
      <c r="A21" s="450"/>
      <c r="B21" s="450" t="s">
        <v>3062</v>
      </c>
      <c r="C21" s="450" t="s">
        <v>3063</v>
      </c>
      <c r="D21" s="450" t="s">
        <v>367</v>
      </c>
      <c r="E21" s="450" t="s">
        <v>3134</v>
      </c>
      <c r="F21" s="450" t="s">
        <v>3135</v>
      </c>
      <c r="G21" s="450" t="s">
        <v>3087</v>
      </c>
      <c r="H21" s="450" t="s">
        <v>324</v>
      </c>
      <c r="I21" s="450" t="s">
        <v>231</v>
      </c>
      <c r="J21" s="450" t="s">
        <v>3062</v>
      </c>
      <c r="K21" s="450" t="s">
        <v>3069</v>
      </c>
      <c r="L21" s="450" t="s">
        <v>3070</v>
      </c>
      <c r="M21" s="450"/>
      <c r="N21" s="450"/>
      <c r="O21" s="450"/>
      <c r="P21" s="456" t="s">
        <v>3071</v>
      </c>
      <c r="Q21" s="456" t="s">
        <v>3072</v>
      </c>
      <c r="R21" s="456" t="s">
        <v>3063</v>
      </c>
      <c r="S21" s="480">
        <v>38658</v>
      </c>
      <c r="T21" s="481" t="s">
        <v>3073</v>
      </c>
      <c r="U21" s="480">
        <v>38754</v>
      </c>
      <c r="V21" s="481" t="s">
        <v>231</v>
      </c>
      <c r="W21" s="481" t="s">
        <v>3074</v>
      </c>
      <c r="X21" s="481" t="s">
        <v>3075</v>
      </c>
      <c r="Y21" s="482" t="s">
        <v>3076</v>
      </c>
      <c r="Z21" s="482" t="s">
        <v>3077</v>
      </c>
    </row>
    <row r="22" spans="1:26" x14ac:dyDescent="0.25">
      <c r="A22" s="450"/>
      <c r="B22" s="450" t="s">
        <v>3062</v>
      </c>
      <c r="C22" s="450" t="s">
        <v>3063</v>
      </c>
      <c r="D22" s="450" t="s">
        <v>338</v>
      </c>
      <c r="E22" s="450" t="s">
        <v>3136</v>
      </c>
      <c r="F22" s="450" t="s">
        <v>3129</v>
      </c>
      <c r="G22" s="450" t="s">
        <v>339</v>
      </c>
      <c r="H22" s="450" t="s">
        <v>3131</v>
      </c>
      <c r="I22" s="450" t="s">
        <v>231</v>
      </c>
      <c r="J22" s="450" t="s">
        <v>3062</v>
      </c>
      <c r="K22" s="450" t="s">
        <v>3069</v>
      </c>
      <c r="L22" s="450" t="s">
        <v>3070</v>
      </c>
      <c r="M22" s="450"/>
      <c r="N22" s="450"/>
      <c r="O22" s="450"/>
      <c r="P22" s="456" t="s">
        <v>3071</v>
      </c>
      <c r="Q22" s="456" t="s">
        <v>3072</v>
      </c>
      <c r="R22" s="456" t="s">
        <v>3063</v>
      </c>
      <c r="S22" s="480">
        <v>38671</v>
      </c>
      <c r="T22" s="481" t="s">
        <v>3073</v>
      </c>
      <c r="U22" s="480">
        <v>38701</v>
      </c>
      <c r="V22" s="481" t="s">
        <v>231</v>
      </c>
      <c r="W22" s="481" t="s">
        <v>3074</v>
      </c>
      <c r="X22" s="481" t="s">
        <v>3075</v>
      </c>
      <c r="Y22" s="482" t="s">
        <v>3076</v>
      </c>
      <c r="Z22" s="482" t="s">
        <v>3077</v>
      </c>
    </row>
    <row r="23" spans="1:26" x14ac:dyDescent="0.25">
      <c r="A23" s="450"/>
      <c r="B23" s="450" t="s">
        <v>3062</v>
      </c>
      <c r="C23" s="450" t="s">
        <v>3063</v>
      </c>
      <c r="D23" s="450" t="s">
        <v>369</v>
      </c>
      <c r="E23" s="450" t="s">
        <v>3137</v>
      </c>
      <c r="F23" s="450" t="s">
        <v>3135</v>
      </c>
      <c r="G23" s="450" t="s">
        <v>3138</v>
      </c>
      <c r="H23" s="450" t="s">
        <v>324</v>
      </c>
      <c r="I23" s="450" t="s">
        <v>231</v>
      </c>
      <c r="J23" s="450" t="s">
        <v>3062</v>
      </c>
      <c r="K23" s="450" t="s">
        <v>3069</v>
      </c>
      <c r="L23" s="450" t="s">
        <v>3070</v>
      </c>
      <c r="M23" s="450"/>
      <c r="N23" s="450"/>
      <c r="O23" s="450"/>
      <c r="P23" s="456" t="s">
        <v>3071</v>
      </c>
      <c r="Q23" s="456" t="s">
        <v>3072</v>
      </c>
      <c r="R23" s="456" t="s">
        <v>3063</v>
      </c>
      <c r="S23" s="480">
        <v>38694</v>
      </c>
      <c r="T23" s="481" t="s">
        <v>3073</v>
      </c>
      <c r="U23" s="480">
        <v>38754</v>
      </c>
      <c r="V23" s="481" t="s">
        <v>231</v>
      </c>
      <c r="W23" s="481" t="s">
        <v>3074</v>
      </c>
      <c r="X23" s="481" t="s">
        <v>3075</v>
      </c>
      <c r="Y23" s="482" t="s">
        <v>3076</v>
      </c>
      <c r="Z23" s="482" t="s">
        <v>3077</v>
      </c>
    </row>
    <row r="24" spans="1:26" x14ac:dyDescent="0.25">
      <c r="A24" s="450"/>
      <c r="B24" s="450" t="s">
        <v>3062</v>
      </c>
      <c r="C24" s="450" t="s">
        <v>3063</v>
      </c>
      <c r="D24" s="450" t="s">
        <v>356</v>
      </c>
      <c r="E24" s="450" t="s">
        <v>3126</v>
      </c>
      <c r="F24" s="450" t="s">
        <v>3139</v>
      </c>
      <c r="G24" s="450" t="s">
        <v>3067</v>
      </c>
      <c r="H24" s="450" t="s">
        <v>3140</v>
      </c>
      <c r="I24" s="450" t="s">
        <v>231</v>
      </c>
      <c r="J24" s="450" t="s">
        <v>3062</v>
      </c>
      <c r="K24" s="450" t="s">
        <v>3069</v>
      </c>
      <c r="L24" s="450" t="s">
        <v>3070</v>
      </c>
      <c r="M24" s="450"/>
      <c r="N24" s="450"/>
      <c r="O24" s="450"/>
      <c r="P24" s="456" t="s">
        <v>3071</v>
      </c>
      <c r="Q24" s="456" t="s">
        <v>3072</v>
      </c>
      <c r="R24" s="456" t="s">
        <v>3063</v>
      </c>
      <c r="S24" s="480">
        <v>38709</v>
      </c>
      <c r="T24" s="481" t="s">
        <v>3073</v>
      </c>
      <c r="U24" s="480">
        <v>38733</v>
      </c>
      <c r="V24" s="481" t="s">
        <v>231</v>
      </c>
      <c r="W24" s="481" t="s">
        <v>3074</v>
      </c>
      <c r="X24" s="481" t="s">
        <v>3075</v>
      </c>
      <c r="Y24" s="482" t="s">
        <v>3076</v>
      </c>
      <c r="Z24" s="482" t="s">
        <v>3077</v>
      </c>
    </row>
    <row r="25" spans="1:26" x14ac:dyDescent="0.25">
      <c r="A25" s="450"/>
      <c r="B25" s="450" t="s">
        <v>3062</v>
      </c>
      <c r="C25" s="450" t="s">
        <v>3063</v>
      </c>
      <c r="D25" s="450" t="s">
        <v>359</v>
      </c>
      <c r="E25" s="450" t="s">
        <v>3141</v>
      </c>
      <c r="F25" s="450" t="s">
        <v>3142</v>
      </c>
      <c r="G25" s="450" t="s">
        <v>360</v>
      </c>
      <c r="H25" s="450" t="s">
        <v>3143</v>
      </c>
      <c r="I25" s="450" t="s">
        <v>231</v>
      </c>
      <c r="J25" s="450" t="s">
        <v>3062</v>
      </c>
      <c r="K25" s="450" t="s">
        <v>3069</v>
      </c>
      <c r="L25" s="450" t="s">
        <v>3070</v>
      </c>
      <c r="M25" s="450"/>
      <c r="N25" s="450"/>
      <c r="O25" s="450"/>
      <c r="P25" s="456" t="s">
        <v>3071</v>
      </c>
      <c r="Q25" s="456" t="s">
        <v>3072</v>
      </c>
      <c r="R25" s="456" t="s">
        <v>3063</v>
      </c>
      <c r="S25" s="480">
        <v>38726</v>
      </c>
      <c r="T25" s="481" t="s">
        <v>3073</v>
      </c>
      <c r="U25" s="480">
        <v>38742</v>
      </c>
      <c r="V25" s="481" t="s">
        <v>231</v>
      </c>
      <c r="W25" s="481" t="s">
        <v>3074</v>
      </c>
      <c r="X25" s="481" t="s">
        <v>3075</v>
      </c>
      <c r="Y25" s="482" t="s">
        <v>3076</v>
      </c>
      <c r="Z25" s="482" t="s">
        <v>3077</v>
      </c>
    </row>
    <row r="26" spans="1:26" x14ac:dyDescent="0.25">
      <c r="A26" s="450"/>
      <c r="B26" s="450" t="s">
        <v>3062</v>
      </c>
      <c r="C26" s="450" t="s">
        <v>3063</v>
      </c>
      <c r="D26" s="450" t="s">
        <v>364</v>
      </c>
      <c r="E26" s="450" t="s">
        <v>3139</v>
      </c>
      <c r="F26" s="450" t="s">
        <v>3144</v>
      </c>
      <c r="G26" s="450" t="s">
        <v>3145</v>
      </c>
      <c r="H26" s="450" t="s">
        <v>3146</v>
      </c>
      <c r="I26" s="450" t="s">
        <v>231</v>
      </c>
      <c r="J26" s="450" t="s">
        <v>3062</v>
      </c>
      <c r="K26" s="450" t="s">
        <v>3069</v>
      </c>
      <c r="L26" s="450" t="s">
        <v>3070</v>
      </c>
      <c r="M26" s="450"/>
      <c r="N26" s="450"/>
      <c r="O26" s="450"/>
      <c r="P26" s="456" t="s">
        <v>3071</v>
      </c>
      <c r="Q26" s="456" t="s">
        <v>3072</v>
      </c>
      <c r="R26" s="456" t="s">
        <v>3063</v>
      </c>
      <c r="S26" s="480">
        <v>38733</v>
      </c>
      <c r="T26" s="481" t="s">
        <v>3073</v>
      </c>
      <c r="U26" s="480">
        <v>38747</v>
      </c>
      <c r="V26" s="481" t="s">
        <v>231</v>
      </c>
      <c r="W26" s="481" t="s">
        <v>3074</v>
      </c>
      <c r="X26" s="481" t="s">
        <v>3075</v>
      </c>
      <c r="Y26" s="482" t="s">
        <v>3076</v>
      </c>
      <c r="Z26" s="482" t="s">
        <v>3077</v>
      </c>
    </row>
    <row r="27" spans="1:26" x14ac:dyDescent="0.25">
      <c r="A27" s="450"/>
      <c r="B27" s="450" t="s">
        <v>3062</v>
      </c>
      <c r="C27" s="450" t="s">
        <v>3063</v>
      </c>
      <c r="D27" s="450" t="s">
        <v>371</v>
      </c>
      <c r="E27" s="450" t="s">
        <v>3147</v>
      </c>
      <c r="F27" s="450" t="s">
        <v>3148</v>
      </c>
      <c r="G27" s="450" t="s">
        <v>372</v>
      </c>
      <c r="H27" s="450" t="s">
        <v>3143</v>
      </c>
      <c r="I27" s="450" t="s">
        <v>231</v>
      </c>
      <c r="J27" s="450" t="s">
        <v>3062</v>
      </c>
      <c r="K27" s="450" t="s">
        <v>3069</v>
      </c>
      <c r="L27" s="450" t="s">
        <v>3070</v>
      </c>
      <c r="M27" s="450"/>
      <c r="N27" s="450"/>
      <c r="O27" s="450"/>
      <c r="P27" s="456" t="s">
        <v>3071</v>
      </c>
      <c r="Q27" s="456" t="s">
        <v>3072</v>
      </c>
      <c r="R27" s="456" t="s">
        <v>3063</v>
      </c>
      <c r="S27" s="480">
        <v>38761</v>
      </c>
      <c r="T27" s="481" t="s">
        <v>3073</v>
      </c>
      <c r="U27" s="480">
        <v>38792</v>
      </c>
      <c r="V27" s="481" t="s">
        <v>231</v>
      </c>
      <c r="W27" s="481" t="s">
        <v>3074</v>
      </c>
      <c r="X27" s="481" t="s">
        <v>3075</v>
      </c>
      <c r="Y27" s="482" t="s">
        <v>3076</v>
      </c>
      <c r="Z27" s="482" t="s">
        <v>3077</v>
      </c>
    </row>
    <row r="28" spans="1:26" x14ac:dyDescent="0.25">
      <c r="A28" s="450" t="s">
        <v>2667</v>
      </c>
      <c r="B28" s="450" t="s">
        <v>3062</v>
      </c>
      <c r="C28" s="450" t="s">
        <v>585</v>
      </c>
      <c r="D28" s="450" t="s">
        <v>3149</v>
      </c>
      <c r="E28" s="450" t="s">
        <v>3062</v>
      </c>
      <c r="F28" s="450" t="s">
        <v>3150</v>
      </c>
      <c r="G28" s="450" t="s">
        <v>3151</v>
      </c>
      <c r="H28" s="450" t="s">
        <v>102</v>
      </c>
      <c r="I28" s="450" t="s">
        <v>3152</v>
      </c>
      <c r="J28" s="450" t="s">
        <v>3153</v>
      </c>
      <c r="K28" s="450" t="s">
        <v>3154</v>
      </c>
      <c r="L28" s="450" t="s">
        <v>3155</v>
      </c>
      <c r="M28" s="450" t="s">
        <v>3156</v>
      </c>
      <c r="N28" s="450" t="s">
        <v>3157</v>
      </c>
      <c r="O28" s="450" t="s">
        <v>3156</v>
      </c>
      <c r="P28" s="456" t="s">
        <v>3158</v>
      </c>
      <c r="Q28" s="456" t="s">
        <v>3072</v>
      </c>
      <c r="R28" s="456" t="s">
        <v>3159</v>
      </c>
      <c r="S28" s="480" t="s">
        <v>3062</v>
      </c>
      <c r="T28" s="481" t="s">
        <v>3073</v>
      </c>
      <c r="U28" s="480">
        <v>46178</v>
      </c>
      <c r="V28" s="481" t="s">
        <v>231</v>
      </c>
      <c r="W28" s="481" t="s">
        <v>3160</v>
      </c>
      <c r="X28" s="481" t="s">
        <v>3161</v>
      </c>
      <c r="Y28" s="482" t="s">
        <v>3162</v>
      </c>
      <c r="Z28" s="482" t="s">
        <v>3077</v>
      </c>
    </row>
    <row r="29" spans="1:26" x14ac:dyDescent="0.25">
      <c r="A29" s="450" t="s">
        <v>2660</v>
      </c>
      <c r="B29" s="450" t="s">
        <v>3062</v>
      </c>
      <c r="C29" s="450" t="s">
        <v>2010</v>
      </c>
      <c r="D29" s="450" t="s">
        <v>3163</v>
      </c>
      <c r="E29" s="450" t="s">
        <v>3062</v>
      </c>
      <c r="F29" s="450" t="s">
        <v>3164</v>
      </c>
      <c r="G29" s="450" t="s">
        <v>204</v>
      </c>
      <c r="H29" s="450" t="s">
        <v>3165</v>
      </c>
      <c r="I29" s="450" t="s">
        <v>3166</v>
      </c>
      <c r="J29" s="450" t="s">
        <v>3167</v>
      </c>
      <c r="K29" s="450" t="s">
        <v>3154</v>
      </c>
      <c r="L29" s="450" t="s">
        <v>3155</v>
      </c>
      <c r="M29" s="450" t="s">
        <v>3168</v>
      </c>
      <c r="N29" s="450" t="s">
        <v>3157</v>
      </c>
      <c r="O29" s="450" t="s">
        <v>3168</v>
      </c>
      <c r="P29" s="456" t="s">
        <v>3158</v>
      </c>
      <c r="Q29" s="456" t="s">
        <v>3072</v>
      </c>
      <c r="R29" s="456" t="s">
        <v>3159</v>
      </c>
      <c r="S29" s="480" t="s">
        <v>3062</v>
      </c>
      <c r="T29" s="481" t="s">
        <v>3073</v>
      </c>
      <c r="U29" s="480">
        <v>46170</v>
      </c>
      <c r="V29" s="481" t="s">
        <v>231</v>
      </c>
      <c r="W29" s="481" t="s">
        <v>3074</v>
      </c>
      <c r="X29" s="481" t="s">
        <v>3075</v>
      </c>
      <c r="Y29" s="482" t="s">
        <v>3076</v>
      </c>
      <c r="Z29" s="482" t="s">
        <v>3077</v>
      </c>
    </row>
    <row r="30" spans="1:26" x14ac:dyDescent="0.25">
      <c r="A30" s="450" t="s">
        <v>2656</v>
      </c>
      <c r="B30" s="450" t="s">
        <v>3062</v>
      </c>
      <c r="C30" s="450" t="s">
        <v>2010</v>
      </c>
      <c r="D30" s="450" t="s">
        <v>3169</v>
      </c>
      <c r="E30" s="450" t="s">
        <v>3062</v>
      </c>
      <c r="F30" s="450" t="s">
        <v>3164</v>
      </c>
      <c r="G30" s="450" t="s">
        <v>204</v>
      </c>
      <c r="H30" s="450" t="s">
        <v>3170</v>
      </c>
      <c r="I30" s="450" t="s">
        <v>3166</v>
      </c>
      <c r="J30" s="450" t="s">
        <v>3171</v>
      </c>
      <c r="K30" s="450" t="s">
        <v>3154</v>
      </c>
      <c r="L30" s="450" t="s">
        <v>3155</v>
      </c>
      <c r="M30" s="450" t="s">
        <v>3172</v>
      </c>
      <c r="N30" s="450" t="s">
        <v>3157</v>
      </c>
      <c r="O30" s="450" t="s">
        <v>3172</v>
      </c>
      <c r="P30" s="456" t="s">
        <v>3158</v>
      </c>
      <c r="Q30" s="456" t="s">
        <v>3072</v>
      </c>
      <c r="R30" s="456" t="s">
        <v>3159</v>
      </c>
      <c r="S30" s="480" t="s">
        <v>3062</v>
      </c>
      <c r="T30" s="481" t="s">
        <v>3073</v>
      </c>
      <c r="U30" s="480">
        <v>46170</v>
      </c>
      <c r="V30" s="481" t="s">
        <v>231</v>
      </c>
      <c r="W30" s="481" t="s">
        <v>3074</v>
      </c>
      <c r="X30" s="481" t="s">
        <v>3075</v>
      </c>
      <c r="Y30" s="482" t="s">
        <v>3076</v>
      </c>
      <c r="Z30" s="482" t="s">
        <v>3077</v>
      </c>
    </row>
    <row r="31" spans="1:26" x14ac:dyDescent="0.25">
      <c r="A31" s="450" t="s">
        <v>2612</v>
      </c>
      <c r="B31" s="450" t="s">
        <v>3062</v>
      </c>
      <c r="C31" s="450" t="s">
        <v>202</v>
      </c>
      <c r="D31" s="450" t="s">
        <v>3173</v>
      </c>
      <c r="E31" s="450" t="s">
        <v>3062</v>
      </c>
      <c r="F31" s="450" t="s">
        <v>3164</v>
      </c>
      <c r="G31" s="450" t="s">
        <v>3174</v>
      </c>
      <c r="H31" s="450" t="s">
        <v>384</v>
      </c>
      <c r="I31" s="450" t="s">
        <v>3175</v>
      </c>
      <c r="J31" s="450" t="s">
        <v>3176</v>
      </c>
      <c r="K31" s="450" t="s">
        <v>3154</v>
      </c>
      <c r="L31" s="450" t="s">
        <v>3155</v>
      </c>
      <c r="M31" s="450" t="s">
        <v>3177</v>
      </c>
      <c r="N31" s="450" t="s">
        <v>3157</v>
      </c>
      <c r="O31" s="450" t="s">
        <v>3177</v>
      </c>
      <c r="P31" s="456" t="s">
        <v>3071</v>
      </c>
      <c r="Q31" s="456" t="s">
        <v>3072</v>
      </c>
      <c r="R31" s="456" t="s">
        <v>3063</v>
      </c>
      <c r="S31" s="480" t="s">
        <v>3062</v>
      </c>
      <c r="T31" s="481" t="s">
        <v>3073</v>
      </c>
      <c r="U31" s="480">
        <v>46170</v>
      </c>
      <c r="V31" s="481" t="s">
        <v>231</v>
      </c>
      <c r="W31" s="481" t="s">
        <v>3178</v>
      </c>
      <c r="X31" s="481" t="s">
        <v>3161</v>
      </c>
      <c r="Y31" s="482" t="s">
        <v>3162</v>
      </c>
      <c r="Z31" s="482" t="s">
        <v>3077</v>
      </c>
    </row>
    <row r="32" spans="1:26" x14ac:dyDescent="0.25">
      <c r="A32" s="450" t="s">
        <v>2663</v>
      </c>
      <c r="B32" s="450" t="s">
        <v>3062</v>
      </c>
      <c r="C32" s="450" t="s">
        <v>461</v>
      </c>
      <c r="D32" s="450" t="s">
        <v>3179</v>
      </c>
      <c r="E32" s="450" t="s">
        <v>3062</v>
      </c>
      <c r="F32" s="450" t="s">
        <v>3164</v>
      </c>
      <c r="G32" s="450" t="s">
        <v>3180</v>
      </c>
      <c r="H32" s="450" t="s">
        <v>102</v>
      </c>
      <c r="I32" s="450" t="s">
        <v>3175</v>
      </c>
      <c r="J32" s="450" t="s">
        <v>3181</v>
      </c>
      <c r="K32" s="450" t="s">
        <v>3154</v>
      </c>
      <c r="L32" s="450" t="s">
        <v>3155</v>
      </c>
      <c r="M32" s="450" t="s">
        <v>3182</v>
      </c>
      <c r="N32" s="450" t="s">
        <v>3157</v>
      </c>
      <c r="O32" s="450" t="s">
        <v>3182</v>
      </c>
      <c r="P32" s="456" t="s">
        <v>3158</v>
      </c>
      <c r="Q32" s="456" t="s">
        <v>3072</v>
      </c>
      <c r="R32" s="456" t="s">
        <v>3159</v>
      </c>
      <c r="S32" s="480" t="s">
        <v>3062</v>
      </c>
      <c r="T32" s="481" t="s">
        <v>3073</v>
      </c>
      <c r="U32" s="480">
        <v>46170</v>
      </c>
      <c r="V32" s="481" t="s">
        <v>231</v>
      </c>
      <c r="W32" s="481" t="s">
        <v>3178</v>
      </c>
      <c r="X32" s="481" t="s">
        <v>3161</v>
      </c>
      <c r="Y32" s="482" t="s">
        <v>3162</v>
      </c>
      <c r="Z32" s="482" t="s">
        <v>3077</v>
      </c>
    </row>
    <row r="33" spans="1:26" x14ac:dyDescent="0.25">
      <c r="A33" s="450" t="s">
        <v>2426</v>
      </c>
      <c r="B33" s="450" t="s">
        <v>3062</v>
      </c>
      <c r="C33" s="450" t="s">
        <v>585</v>
      </c>
      <c r="D33" s="450" t="s">
        <v>3183</v>
      </c>
      <c r="E33" s="450" t="s">
        <v>3062</v>
      </c>
      <c r="F33" s="450" t="s">
        <v>3184</v>
      </c>
      <c r="G33" s="450" t="s">
        <v>3185</v>
      </c>
      <c r="H33" s="450" t="s">
        <v>102</v>
      </c>
      <c r="I33" s="450" t="s">
        <v>3186</v>
      </c>
      <c r="J33" s="450" t="s">
        <v>3187</v>
      </c>
      <c r="K33" s="450" t="s">
        <v>3154</v>
      </c>
      <c r="L33" s="450" t="s">
        <v>3155</v>
      </c>
      <c r="M33" s="450" t="s">
        <v>3188</v>
      </c>
      <c r="N33" s="450" t="s">
        <v>3157</v>
      </c>
      <c r="O33" s="450" t="s">
        <v>3188</v>
      </c>
      <c r="P33" s="456" t="s">
        <v>3158</v>
      </c>
      <c r="Q33" s="456" t="s">
        <v>3072</v>
      </c>
      <c r="R33" s="456" t="s">
        <v>3159</v>
      </c>
      <c r="S33" s="480" t="s">
        <v>3062</v>
      </c>
      <c r="T33" s="481" t="s">
        <v>3073</v>
      </c>
      <c r="U33" s="480">
        <v>46160</v>
      </c>
      <c r="V33" s="481" t="s">
        <v>231</v>
      </c>
      <c r="W33" s="481" t="s">
        <v>3189</v>
      </c>
      <c r="X33" s="481" t="s">
        <v>3161</v>
      </c>
      <c r="Y33" s="482" t="s">
        <v>3162</v>
      </c>
      <c r="Z33" s="482" t="s">
        <v>3077</v>
      </c>
    </row>
    <row r="34" spans="1:26" x14ac:dyDescent="0.25">
      <c r="A34" s="450" t="s">
        <v>2601</v>
      </c>
      <c r="B34" s="450" t="s">
        <v>3062</v>
      </c>
      <c r="C34" s="450" t="s">
        <v>3190</v>
      </c>
      <c r="D34" s="450" t="s">
        <v>3191</v>
      </c>
      <c r="E34" s="450" t="s">
        <v>3062</v>
      </c>
      <c r="F34" s="450" t="s">
        <v>3192</v>
      </c>
      <c r="G34" s="450" t="s">
        <v>2603</v>
      </c>
      <c r="H34" s="450" t="s">
        <v>3193</v>
      </c>
      <c r="I34" s="450" t="s">
        <v>3194</v>
      </c>
      <c r="J34" s="450" t="s">
        <v>3195</v>
      </c>
      <c r="K34" s="450" t="s">
        <v>3154</v>
      </c>
      <c r="L34" s="450" t="s">
        <v>3155</v>
      </c>
      <c r="M34" s="450" t="s">
        <v>3196</v>
      </c>
      <c r="N34" s="450" t="s">
        <v>3197</v>
      </c>
      <c r="O34" s="450"/>
      <c r="P34" s="456" t="s">
        <v>3198</v>
      </c>
      <c r="Q34" s="456" t="s">
        <v>3072</v>
      </c>
      <c r="R34" s="456" t="s">
        <v>1456</v>
      </c>
      <c r="S34" s="480" t="s">
        <v>3062</v>
      </c>
      <c r="T34" s="481" t="s">
        <v>3073</v>
      </c>
      <c r="U34" s="480">
        <v>46146</v>
      </c>
      <c r="V34" s="481" t="s">
        <v>231</v>
      </c>
      <c r="W34" s="481" t="s">
        <v>3199</v>
      </c>
      <c r="X34" s="481" t="s">
        <v>3161</v>
      </c>
      <c r="Y34" s="482" t="s">
        <v>3162</v>
      </c>
      <c r="Z34" s="482" t="s">
        <v>3077</v>
      </c>
    </row>
    <row r="35" spans="1:26" x14ac:dyDescent="0.25">
      <c r="A35" s="450" t="s">
        <v>2631</v>
      </c>
      <c r="B35" s="450" t="s">
        <v>3062</v>
      </c>
      <c r="C35" s="450" t="s">
        <v>2010</v>
      </c>
      <c r="D35" s="450" t="s">
        <v>3200</v>
      </c>
      <c r="E35" s="450" t="s">
        <v>3062</v>
      </c>
      <c r="F35" s="450" t="s">
        <v>3201</v>
      </c>
      <c r="G35" s="450" t="s">
        <v>204</v>
      </c>
      <c r="H35" s="450" t="s">
        <v>3202</v>
      </c>
      <c r="I35" s="450" t="s">
        <v>3166</v>
      </c>
      <c r="J35" s="450" t="s">
        <v>3203</v>
      </c>
      <c r="K35" s="450" t="s">
        <v>3154</v>
      </c>
      <c r="L35" s="450" t="s">
        <v>3155</v>
      </c>
      <c r="M35" s="450" t="s">
        <v>3204</v>
      </c>
      <c r="N35" s="450" t="s">
        <v>3157</v>
      </c>
      <c r="O35" s="450" t="s">
        <v>3204</v>
      </c>
      <c r="P35" s="456" t="s">
        <v>3158</v>
      </c>
      <c r="Q35" s="456" t="s">
        <v>3072</v>
      </c>
      <c r="R35" s="456" t="s">
        <v>3159</v>
      </c>
      <c r="S35" s="480" t="s">
        <v>3062</v>
      </c>
      <c r="T35" s="481" t="s">
        <v>3073</v>
      </c>
      <c r="U35" s="480">
        <v>46143</v>
      </c>
      <c r="V35" s="481" t="s">
        <v>231</v>
      </c>
      <c r="W35" s="481" t="s">
        <v>3074</v>
      </c>
      <c r="X35" s="481" t="s">
        <v>3075</v>
      </c>
      <c r="Y35" s="482" t="s">
        <v>3076</v>
      </c>
      <c r="Z35" s="482" t="s">
        <v>3077</v>
      </c>
    </row>
    <row r="36" spans="1:26" x14ac:dyDescent="0.25">
      <c r="A36" s="450" t="s">
        <v>2616</v>
      </c>
      <c r="B36" s="450" t="s">
        <v>3062</v>
      </c>
      <c r="C36" s="450" t="s">
        <v>202</v>
      </c>
      <c r="D36" s="450" t="s">
        <v>3205</v>
      </c>
      <c r="E36" s="450" t="s">
        <v>3062</v>
      </c>
      <c r="F36" s="450" t="s">
        <v>3201</v>
      </c>
      <c r="G36" s="450" t="s">
        <v>394</v>
      </c>
      <c r="H36" s="450" t="s">
        <v>384</v>
      </c>
      <c r="I36" s="450" t="s">
        <v>3206</v>
      </c>
      <c r="J36" s="450" t="s">
        <v>3207</v>
      </c>
      <c r="K36" s="450" t="s">
        <v>3154</v>
      </c>
      <c r="L36" s="450" t="s">
        <v>3155</v>
      </c>
      <c r="M36" s="450" t="s">
        <v>3208</v>
      </c>
      <c r="N36" s="450" t="s">
        <v>3209</v>
      </c>
      <c r="O36" s="450" t="s">
        <v>3208</v>
      </c>
      <c r="P36" s="456" t="s">
        <v>3071</v>
      </c>
      <c r="Q36" s="456" t="s">
        <v>3072</v>
      </c>
      <c r="R36" s="456" t="s">
        <v>3063</v>
      </c>
      <c r="S36" s="480" t="s">
        <v>3062</v>
      </c>
      <c r="T36" s="481" t="s">
        <v>3073</v>
      </c>
      <c r="U36" s="480">
        <v>46143</v>
      </c>
      <c r="V36" s="481" t="s">
        <v>231</v>
      </c>
      <c r="W36" s="481" t="s">
        <v>3210</v>
      </c>
      <c r="X36" s="481" t="s">
        <v>3161</v>
      </c>
      <c r="Y36" s="482" t="s">
        <v>3162</v>
      </c>
      <c r="Z36" s="482" t="s">
        <v>3077</v>
      </c>
    </row>
    <row r="37" spans="1:26" x14ac:dyDescent="0.25">
      <c r="A37" s="450" t="s">
        <v>2634</v>
      </c>
      <c r="B37" s="450" t="s">
        <v>3062</v>
      </c>
      <c r="C37" s="450" t="s">
        <v>202</v>
      </c>
      <c r="D37" s="450" t="s">
        <v>3211</v>
      </c>
      <c r="E37" s="450" t="s">
        <v>3062</v>
      </c>
      <c r="F37" s="450" t="s">
        <v>3201</v>
      </c>
      <c r="G37" s="450" t="s">
        <v>388</v>
      </c>
      <c r="H37" s="450" t="s">
        <v>384</v>
      </c>
      <c r="I37" s="450" t="s">
        <v>3212</v>
      </c>
      <c r="J37" s="450" t="s">
        <v>3213</v>
      </c>
      <c r="K37" s="450" t="s">
        <v>3154</v>
      </c>
      <c r="L37" s="450" t="s">
        <v>3155</v>
      </c>
      <c r="M37" s="450" t="s">
        <v>3214</v>
      </c>
      <c r="N37" s="450" t="s">
        <v>3209</v>
      </c>
      <c r="O37" s="450" t="s">
        <v>3214</v>
      </c>
      <c r="P37" s="456" t="s">
        <v>3071</v>
      </c>
      <c r="Q37" s="456" t="s">
        <v>3072</v>
      </c>
      <c r="R37" s="456" t="s">
        <v>3063</v>
      </c>
      <c r="S37" s="480" t="s">
        <v>3062</v>
      </c>
      <c r="T37" s="481" t="s">
        <v>3073</v>
      </c>
      <c r="U37" s="480">
        <v>46143</v>
      </c>
      <c r="V37" s="481" t="s">
        <v>231</v>
      </c>
      <c r="W37" s="481" t="s">
        <v>3215</v>
      </c>
      <c r="X37" s="481" t="s">
        <v>3161</v>
      </c>
      <c r="Y37" s="482" t="s">
        <v>3162</v>
      </c>
      <c r="Z37" s="482" t="s">
        <v>3077</v>
      </c>
    </row>
    <row r="38" spans="1:26" x14ac:dyDescent="0.25">
      <c r="A38" s="450" t="s">
        <v>2646</v>
      </c>
      <c r="B38" s="450" t="s">
        <v>3062</v>
      </c>
      <c r="C38" s="450" t="s">
        <v>461</v>
      </c>
      <c r="D38" s="450" t="s">
        <v>3216</v>
      </c>
      <c r="E38" s="450" t="s">
        <v>3062</v>
      </c>
      <c r="F38" s="450" t="s">
        <v>3201</v>
      </c>
      <c r="G38" s="450" t="s">
        <v>3217</v>
      </c>
      <c r="H38" s="450" t="s">
        <v>102</v>
      </c>
      <c r="I38" s="450" t="s">
        <v>3218</v>
      </c>
      <c r="J38" s="450" t="s">
        <v>3219</v>
      </c>
      <c r="K38" s="450" t="s">
        <v>3154</v>
      </c>
      <c r="L38" s="450" t="s">
        <v>3155</v>
      </c>
      <c r="M38" s="450" t="s">
        <v>3220</v>
      </c>
      <c r="N38" s="450" t="s">
        <v>3157</v>
      </c>
      <c r="O38" s="450" t="s">
        <v>3220</v>
      </c>
      <c r="P38" s="456" t="s">
        <v>3158</v>
      </c>
      <c r="Q38" s="456" t="s">
        <v>3072</v>
      </c>
      <c r="R38" s="456" t="s">
        <v>3159</v>
      </c>
      <c r="S38" s="480" t="s">
        <v>3062</v>
      </c>
      <c r="T38" s="481" t="s">
        <v>3073</v>
      </c>
      <c r="U38" s="480">
        <v>46143</v>
      </c>
      <c r="V38" s="481" t="s">
        <v>231</v>
      </c>
      <c r="W38" s="481" t="s">
        <v>3221</v>
      </c>
      <c r="X38" s="481" t="s">
        <v>3161</v>
      </c>
      <c r="Y38" s="482" t="s">
        <v>3162</v>
      </c>
      <c r="Z38" s="482" t="s">
        <v>3077</v>
      </c>
    </row>
    <row r="39" spans="1:26" x14ac:dyDescent="0.25">
      <c r="A39" s="450" t="s">
        <v>2620</v>
      </c>
      <c r="B39" s="450" t="s">
        <v>3062</v>
      </c>
      <c r="C39" s="450" t="s">
        <v>202</v>
      </c>
      <c r="D39" s="450" t="s">
        <v>3222</v>
      </c>
      <c r="E39" s="450" t="s">
        <v>3062</v>
      </c>
      <c r="F39" s="450" t="s">
        <v>3223</v>
      </c>
      <c r="G39" s="450" t="s">
        <v>396</v>
      </c>
      <c r="H39" s="450" t="s">
        <v>384</v>
      </c>
      <c r="I39" s="450" t="s">
        <v>3218</v>
      </c>
      <c r="J39" s="450" t="s">
        <v>3224</v>
      </c>
      <c r="K39" s="450" t="s">
        <v>3154</v>
      </c>
      <c r="L39" s="450" t="s">
        <v>3155</v>
      </c>
      <c r="M39" s="450" t="s">
        <v>3225</v>
      </c>
      <c r="N39" s="450" t="s">
        <v>3157</v>
      </c>
      <c r="O39" s="450" t="s">
        <v>3225</v>
      </c>
      <c r="P39" s="456" t="s">
        <v>3071</v>
      </c>
      <c r="Q39" s="456" t="s">
        <v>3072</v>
      </c>
      <c r="R39" s="456" t="s">
        <v>3063</v>
      </c>
      <c r="S39" s="480" t="s">
        <v>3062</v>
      </c>
      <c r="T39" s="481" t="s">
        <v>3073</v>
      </c>
      <c r="U39" s="480">
        <v>46122</v>
      </c>
      <c r="V39" s="481" t="s">
        <v>231</v>
      </c>
      <c r="W39" s="481" t="s">
        <v>3221</v>
      </c>
      <c r="X39" s="481" t="s">
        <v>3161</v>
      </c>
      <c r="Y39" s="482" t="s">
        <v>3162</v>
      </c>
      <c r="Z39" s="482" t="s">
        <v>3077</v>
      </c>
    </row>
    <row r="40" spans="1:26" x14ac:dyDescent="0.25">
      <c r="A40" s="450" t="s">
        <v>2622</v>
      </c>
      <c r="B40" s="450" t="s">
        <v>3062</v>
      </c>
      <c r="C40" s="450" t="s">
        <v>202</v>
      </c>
      <c r="D40" s="450" t="s">
        <v>3226</v>
      </c>
      <c r="E40" s="450" t="s">
        <v>3062</v>
      </c>
      <c r="F40" s="450" t="s">
        <v>3223</v>
      </c>
      <c r="G40" s="450" t="s">
        <v>3227</v>
      </c>
      <c r="H40" s="450" t="s">
        <v>384</v>
      </c>
      <c r="I40" s="450" t="s">
        <v>3175</v>
      </c>
      <c r="J40" s="450" t="s">
        <v>3224</v>
      </c>
      <c r="K40" s="450" t="s">
        <v>3154</v>
      </c>
      <c r="L40" s="450" t="s">
        <v>3155</v>
      </c>
      <c r="M40" s="450" t="s">
        <v>3228</v>
      </c>
      <c r="N40" s="450" t="s">
        <v>3157</v>
      </c>
      <c r="O40" s="450" t="s">
        <v>3228</v>
      </c>
      <c r="P40" s="456" t="s">
        <v>3071</v>
      </c>
      <c r="Q40" s="456" t="s">
        <v>3072</v>
      </c>
      <c r="R40" s="456" t="s">
        <v>3063</v>
      </c>
      <c r="S40" s="480" t="s">
        <v>3062</v>
      </c>
      <c r="T40" s="481" t="s">
        <v>3073</v>
      </c>
      <c r="U40" s="480">
        <v>46122</v>
      </c>
      <c r="V40" s="481" t="s">
        <v>231</v>
      </c>
      <c r="W40" s="481" t="s">
        <v>3178</v>
      </c>
      <c r="X40" s="481" t="s">
        <v>3161</v>
      </c>
      <c r="Y40" s="482" t="s">
        <v>3162</v>
      </c>
      <c r="Z40" s="482" t="s">
        <v>3077</v>
      </c>
    </row>
    <row r="41" spans="1:26" x14ac:dyDescent="0.25">
      <c r="A41" s="450" t="s">
        <v>2625</v>
      </c>
      <c r="B41" s="450" t="s">
        <v>3062</v>
      </c>
      <c r="C41" s="450" t="s">
        <v>202</v>
      </c>
      <c r="D41" s="450" t="s">
        <v>3229</v>
      </c>
      <c r="E41" s="450" t="s">
        <v>3062</v>
      </c>
      <c r="F41" s="450" t="s">
        <v>3223</v>
      </c>
      <c r="G41" s="450" t="s">
        <v>398</v>
      </c>
      <c r="H41" s="450" t="s">
        <v>384</v>
      </c>
      <c r="I41" s="450" t="s">
        <v>3218</v>
      </c>
      <c r="J41" s="450" t="s">
        <v>3224</v>
      </c>
      <c r="K41" s="450" t="s">
        <v>3154</v>
      </c>
      <c r="L41" s="450" t="s">
        <v>3155</v>
      </c>
      <c r="M41" s="450" t="s">
        <v>3230</v>
      </c>
      <c r="N41" s="450" t="s">
        <v>3157</v>
      </c>
      <c r="O41" s="450" t="s">
        <v>3230</v>
      </c>
      <c r="P41" s="456" t="s">
        <v>3071</v>
      </c>
      <c r="Q41" s="456" t="s">
        <v>3072</v>
      </c>
      <c r="R41" s="456" t="s">
        <v>3063</v>
      </c>
      <c r="S41" s="480" t="s">
        <v>3062</v>
      </c>
      <c r="T41" s="481" t="s">
        <v>3073</v>
      </c>
      <c r="U41" s="480">
        <v>46122</v>
      </c>
      <c r="V41" s="481" t="s">
        <v>231</v>
      </c>
      <c r="W41" s="481" t="s">
        <v>3221</v>
      </c>
      <c r="X41" s="481" t="s">
        <v>3161</v>
      </c>
      <c r="Y41" s="482" t="s">
        <v>3162</v>
      </c>
      <c r="Z41" s="482" t="s">
        <v>3077</v>
      </c>
    </row>
    <row r="42" spans="1:26" x14ac:dyDescent="0.25">
      <c r="A42" s="450" t="s">
        <v>2574</v>
      </c>
      <c r="B42" s="450" t="s">
        <v>3062</v>
      </c>
      <c r="C42" s="450" t="s">
        <v>619</v>
      </c>
      <c r="D42" s="450" t="s">
        <v>3231</v>
      </c>
      <c r="E42" s="450" t="s">
        <v>3062</v>
      </c>
      <c r="F42" s="450" t="s">
        <v>3232</v>
      </c>
      <c r="G42" s="450" t="s">
        <v>2570</v>
      </c>
      <c r="H42" s="450" t="s">
        <v>2748</v>
      </c>
      <c r="I42" s="450" t="s">
        <v>3233</v>
      </c>
      <c r="J42" s="450" t="s">
        <v>3234</v>
      </c>
      <c r="K42" s="450" t="s">
        <v>3154</v>
      </c>
      <c r="L42" s="450" t="s">
        <v>3155</v>
      </c>
      <c r="M42" s="450" t="s">
        <v>3235</v>
      </c>
      <c r="N42" s="450" t="s">
        <v>3157</v>
      </c>
      <c r="O42" s="450" t="s">
        <v>3235</v>
      </c>
      <c r="P42" s="456" t="s">
        <v>3236</v>
      </c>
      <c r="Q42" s="456" t="s">
        <v>3072</v>
      </c>
      <c r="R42" s="456" t="s">
        <v>3237</v>
      </c>
      <c r="S42" s="480" t="s">
        <v>3062</v>
      </c>
      <c r="T42" s="481" t="s">
        <v>3073</v>
      </c>
      <c r="U42" s="480">
        <v>45771</v>
      </c>
      <c r="V42" s="481" t="s">
        <v>231</v>
      </c>
      <c r="W42" s="481" t="s">
        <v>128</v>
      </c>
      <c r="X42" s="481" t="s">
        <v>3161</v>
      </c>
      <c r="Y42" s="482" t="s">
        <v>3162</v>
      </c>
      <c r="Z42" s="482" t="s">
        <v>3077</v>
      </c>
    </row>
    <row r="43" spans="1:26" x14ac:dyDescent="0.25">
      <c r="A43" s="450" t="s">
        <v>2568</v>
      </c>
      <c r="B43" s="450" t="s">
        <v>3062</v>
      </c>
      <c r="C43" s="450" t="s">
        <v>619</v>
      </c>
      <c r="D43" s="450" t="s">
        <v>3238</v>
      </c>
      <c r="E43" s="450" t="s">
        <v>3062</v>
      </c>
      <c r="F43" s="450" t="s">
        <v>3232</v>
      </c>
      <c r="G43" s="450" t="s">
        <v>2570</v>
      </c>
      <c r="H43" s="450" t="s">
        <v>2747</v>
      </c>
      <c r="I43" s="450" t="s">
        <v>3233</v>
      </c>
      <c r="J43" s="450" t="s">
        <v>3234</v>
      </c>
      <c r="K43" s="450" t="s">
        <v>3154</v>
      </c>
      <c r="L43" s="450" t="s">
        <v>3155</v>
      </c>
      <c r="M43" s="450" t="s">
        <v>3239</v>
      </c>
      <c r="N43" s="450" t="s">
        <v>3157</v>
      </c>
      <c r="O43" s="450" t="s">
        <v>3239</v>
      </c>
      <c r="P43" s="456" t="s">
        <v>3236</v>
      </c>
      <c r="Q43" s="456" t="s">
        <v>3072</v>
      </c>
      <c r="R43" s="456" t="s">
        <v>3237</v>
      </c>
      <c r="S43" s="480" t="s">
        <v>3062</v>
      </c>
      <c r="T43" s="481" t="s">
        <v>3073</v>
      </c>
      <c r="U43" s="480">
        <v>45771</v>
      </c>
      <c r="V43" s="481" t="s">
        <v>231</v>
      </c>
      <c r="W43" s="481" t="s">
        <v>128</v>
      </c>
      <c r="X43" s="481" t="s">
        <v>3161</v>
      </c>
      <c r="Y43" s="482" t="s">
        <v>3162</v>
      </c>
      <c r="Z43" s="482" t="s">
        <v>3077</v>
      </c>
    </row>
    <row r="44" spans="1:26" x14ac:dyDescent="0.25">
      <c r="A44" s="450" t="s">
        <v>2539</v>
      </c>
      <c r="B44" s="450" t="s">
        <v>3062</v>
      </c>
      <c r="C44" s="450" t="s">
        <v>1456</v>
      </c>
      <c r="D44" s="450" t="s">
        <v>3052</v>
      </c>
      <c r="E44" s="450" t="s">
        <v>3062</v>
      </c>
      <c r="F44" s="450" t="s">
        <v>3240</v>
      </c>
      <c r="G44" s="450" t="s">
        <v>3241</v>
      </c>
      <c r="H44" s="450" t="s">
        <v>2542</v>
      </c>
      <c r="I44" s="450" t="s">
        <v>3166</v>
      </c>
      <c r="J44" s="450" t="s">
        <v>3242</v>
      </c>
      <c r="K44" s="450" t="s">
        <v>3154</v>
      </c>
      <c r="L44" s="450" t="s">
        <v>3155</v>
      </c>
      <c r="M44" s="450" t="s">
        <v>3243</v>
      </c>
      <c r="N44" s="450" t="s">
        <v>3157</v>
      </c>
      <c r="O44" s="450" t="s">
        <v>3243</v>
      </c>
      <c r="P44" s="456" t="s">
        <v>3198</v>
      </c>
      <c r="Q44" s="456" t="s">
        <v>3072</v>
      </c>
      <c r="R44" s="456" t="s">
        <v>1456</v>
      </c>
      <c r="S44" s="480" t="s">
        <v>3062</v>
      </c>
      <c r="T44" s="481" t="s">
        <v>3073</v>
      </c>
      <c r="U44" s="480">
        <v>45642</v>
      </c>
      <c r="V44" s="481" t="s">
        <v>231</v>
      </c>
      <c r="W44" s="481" t="s">
        <v>3074</v>
      </c>
      <c r="X44" s="481" t="s">
        <v>3075</v>
      </c>
      <c r="Y44" s="482" t="s">
        <v>3076</v>
      </c>
      <c r="Z44" s="482" t="s">
        <v>3077</v>
      </c>
    </row>
    <row r="45" spans="1:26" x14ac:dyDescent="0.25">
      <c r="A45" s="450" t="s">
        <v>2550</v>
      </c>
      <c r="B45" s="450" t="s">
        <v>3062</v>
      </c>
      <c r="C45" s="450" t="s">
        <v>619</v>
      </c>
      <c r="D45" s="450" t="s">
        <v>3244</v>
      </c>
      <c r="E45" s="450" t="s">
        <v>3062</v>
      </c>
      <c r="F45" s="450" t="s">
        <v>3245</v>
      </c>
      <c r="G45" s="450" t="s">
        <v>204</v>
      </c>
      <c r="H45" s="450" t="s">
        <v>3246</v>
      </c>
      <c r="I45" s="450" t="s">
        <v>3166</v>
      </c>
      <c r="J45" s="450" t="s">
        <v>3234</v>
      </c>
      <c r="K45" s="450" t="s">
        <v>3154</v>
      </c>
      <c r="L45" s="450" t="s">
        <v>3155</v>
      </c>
      <c r="M45" s="450" t="s">
        <v>3247</v>
      </c>
      <c r="N45" s="450" t="s">
        <v>3157</v>
      </c>
      <c r="O45" s="450" t="s">
        <v>3247</v>
      </c>
      <c r="P45" s="456" t="s">
        <v>3236</v>
      </c>
      <c r="Q45" s="456" t="s">
        <v>3072</v>
      </c>
      <c r="R45" s="456" t="s">
        <v>3237</v>
      </c>
      <c r="S45" s="480" t="s">
        <v>3062</v>
      </c>
      <c r="T45" s="481" t="s">
        <v>3073</v>
      </c>
      <c r="U45" s="480">
        <v>45621</v>
      </c>
      <c r="V45" s="481" t="s">
        <v>231</v>
      </c>
      <c r="W45" s="481" t="s">
        <v>3074</v>
      </c>
      <c r="X45" s="481" t="s">
        <v>3075</v>
      </c>
      <c r="Y45" s="482" t="s">
        <v>3076</v>
      </c>
      <c r="Z45" s="482" t="s">
        <v>3077</v>
      </c>
    </row>
    <row r="46" spans="1:26" x14ac:dyDescent="0.25">
      <c r="A46" s="450"/>
      <c r="B46" s="450" t="s">
        <v>3062</v>
      </c>
      <c r="C46" s="450" t="s">
        <v>1062</v>
      </c>
      <c r="D46" s="450" t="s">
        <v>3248</v>
      </c>
      <c r="E46" s="450" t="s">
        <v>3062</v>
      </c>
      <c r="F46" s="450" t="s">
        <v>3249</v>
      </c>
      <c r="G46" s="450" t="s">
        <v>3250</v>
      </c>
      <c r="H46" s="450" t="s">
        <v>102</v>
      </c>
      <c r="I46" s="450" t="s">
        <v>3233</v>
      </c>
      <c r="J46" s="450" t="s">
        <v>3251</v>
      </c>
      <c r="K46" s="450" t="s">
        <v>3154</v>
      </c>
      <c r="L46" s="450" t="s">
        <v>3155</v>
      </c>
      <c r="M46" s="450" t="s">
        <v>3252</v>
      </c>
      <c r="N46" s="450" t="s">
        <v>3157</v>
      </c>
      <c r="O46" s="450" t="s">
        <v>3252</v>
      </c>
      <c r="P46" s="456"/>
      <c r="Q46" s="456"/>
      <c r="R46" s="456"/>
      <c r="S46" s="480" t="s">
        <v>3062</v>
      </c>
      <c r="T46" s="481" t="s">
        <v>3073</v>
      </c>
      <c r="U46" s="480">
        <v>45365</v>
      </c>
      <c r="V46" s="481" t="s">
        <v>231</v>
      </c>
      <c r="W46" s="481" t="s">
        <v>128</v>
      </c>
      <c r="X46" s="481" t="s">
        <v>3161</v>
      </c>
      <c r="Y46" s="482" t="s">
        <v>3162</v>
      </c>
      <c r="Z46" s="482" t="s">
        <v>3077</v>
      </c>
    </row>
    <row r="47" spans="1:26" x14ac:dyDescent="0.25">
      <c r="A47" s="450"/>
      <c r="B47" s="450" t="s">
        <v>3062</v>
      </c>
      <c r="C47" s="450" t="s">
        <v>3253</v>
      </c>
      <c r="D47" s="450" t="s">
        <v>3254</v>
      </c>
      <c r="E47" s="450" t="s">
        <v>3062</v>
      </c>
      <c r="F47" s="450" t="s">
        <v>3255</v>
      </c>
      <c r="G47" s="450" t="s">
        <v>3256</v>
      </c>
      <c r="H47" s="450" t="s">
        <v>3257</v>
      </c>
      <c r="I47" s="450" t="s">
        <v>3258</v>
      </c>
      <c r="J47" s="450" t="s">
        <v>3251</v>
      </c>
      <c r="K47" s="450" t="s">
        <v>3154</v>
      </c>
      <c r="L47" s="450" t="s">
        <v>3155</v>
      </c>
      <c r="M47" s="450" t="s">
        <v>3259</v>
      </c>
      <c r="N47" s="450" t="s">
        <v>3157</v>
      </c>
      <c r="O47" s="450" t="s">
        <v>3259</v>
      </c>
      <c r="P47" s="456" t="s">
        <v>3260</v>
      </c>
      <c r="Q47" s="456" t="s">
        <v>3072</v>
      </c>
      <c r="R47" s="456" t="s">
        <v>3261</v>
      </c>
      <c r="S47" s="480" t="s">
        <v>3062</v>
      </c>
      <c r="T47" s="481" t="s">
        <v>3073</v>
      </c>
      <c r="U47" s="480">
        <v>45236</v>
      </c>
      <c r="V47" s="481" t="s">
        <v>231</v>
      </c>
      <c r="W47" s="481" t="s">
        <v>3262</v>
      </c>
      <c r="X47" s="481" t="s">
        <v>3161</v>
      </c>
      <c r="Y47" s="482" t="s">
        <v>3162</v>
      </c>
      <c r="Z47" s="482" t="s">
        <v>3077</v>
      </c>
    </row>
    <row r="48" spans="1:26" x14ac:dyDescent="0.25">
      <c r="A48" s="450"/>
      <c r="B48" s="450" t="s">
        <v>3062</v>
      </c>
      <c r="C48" s="450" t="s">
        <v>3263</v>
      </c>
      <c r="D48" s="450" t="s">
        <v>3264</v>
      </c>
      <c r="E48" s="450" t="s">
        <v>3062</v>
      </c>
      <c r="F48" s="450" t="s">
        <v>3265</v>
      </c>
      <c r="G48" s="450" t="s">
        <v>3266</v>
      </c>
      <c r="H48" s="450" t="s">
        <v>3267</v>
      </c>
      <c r="I48" s="450" t="s">
        <v>3268</v>
      </c>
      <c r="J48" s="450" t="s">
        <v>3251</v>
      </c>
      <c r="K48" s="450" t="s">
        <v>3154</v>
      </c>
      <c r="L48" s="450" t="s">
        <v>3155</v>
      </c>
      <c r="M48" s="450" t="s">
        <v>3269</v>
      </c>
      <c r="N48" s="450" t="s">
        <v>3157</v>
      </c>
      <c r="O48" s="450" t="s">
        <v>3269</v>
      </c>
      <c r="P48" s="456" t="s">
        <v>3071</v>
      </c>
      <c r="Q48" s="456" t="s">
        <v>3072</v>
      </c>
      <c r="R48" s="456" t="s">
        <v>3063</v>
      </c>
      <c r="S48" s="480" t="s">
        <v>3062</v>
      </c>
      <c r="T48" s="481" t="s">
        <v>3073</v>
      </c>
      <c r="U48" s="480">
        <v>44914</v>
      </c>
      <c r="V48" s="481" t="s">
        <v>231</v>
      </c>
      <c r="W48" s="481" t="s">
        <v>3270</v>
      </c>
      <c r="X48" s="481" t="s">
        <v>3161</v>
      </c>
      <c r="Y48" s="482" t="s">
        <v>3162</v>
      </c>
      <c r="Z48" s="482" t="s">
        <v>3077</v>
      </c>
    </row>
    <row r="49" spans="1:26" x14ac:dyDescent="0.25">
      <c r="A49" s="450"/>
      <c r="B49" s="450" t="s">
        <v>3062</v>
      </c>
      <c r="C49" s="450" t="s">
        <v>3263</v>
      </c>
      <c r="D49" s="450" t="s">
        <v>3271</v>
      </c>
      <c r="E49" s="450" t="s">
        <v>3062</v>
      </c>
      <c r="F49" s="450" t="s">
        <v>3265</v>
      </c>
      <c r="G49" s="450" t="s">
        <v>3266</v>
      </c>
      <c r="H49" s="450" t="s">
        <v>3267</v>
      </c>
      <c r="I49" s="450" t="s">
        <v>3268</v>
      </c>
      <c r="J49" s="450" t="s">
        <v>3251</v>
      </c>
      <c r="K49" s="450" t="s">
        <v>3154</v>
      </c>
      <c r="L49" s="450" t="s">
        <v>3155</v>
      </c>
      <c r="M49" s="450" t="s">
        <v>3272</v>
      </c>
      <c r="N49" s="450" t="s">
        <v>3157</v>
      </c>
      <c r="O49" s="450" t="s">
        <v>3272</v>
      </c>
      <c r="P49" s="456" t="s">
        <v>3071</v>
      </c>
      <c r="Q49" s="456" t="s">
        <v>3072</v>
      </c>
      <c r="R49" s="456" t="s">
        <v>3063</v>
      </c>
      <c r="S49" s="480" t="s">
        <v>3062</v>
      </c>
      <c r="T49" s="481" t="s">
        <v>3073</v>
      </c>
      <c r="U49" s="480">
        <v>44914</v>
      </c>
      <c r="V49" s="481" t="s">
        <v>231</v>
      </c>
      <c r="W49" s="481" t="s">
        <v>3270</v>
      </c>
      <c r="X49" s="481" t="s">
        <v>3161</v>
      </c>
      <c r="Y49" s="482" t="s">
        <v>3162</v>
      </c>
      <c r="Z49" s="482" t="s">
        <v>3077</v>
      </c>
    </row>
    <row r="50" spans="1:26" x14ac:dyDescent="0.25">
      <c r="A50" s="450"/>
      <c r="B50" s="450" t="s">
        <v>3062</v>
      </c>
      <c r="C50" s="450" t="s">
        <v>3253</v>
      </c>
      <c r="D50" s="450" t="s">
        <v>3273</v>
      </c>
      <c r="E50" s="450" t="s">
        <v>3062</v>
      </c>
      <c r="F50" s="450" t="s">
        <v>3274</v>
      </c>
      <c r="G50" s="450" t="s">
        <v>3256</v>
      </c>
      <c r="H50" s="450" t="s">
        <v>3275</v>
      </c>
      <c r="I50" s="450" t="s">
        <v>3276</v>
      </c>
      <c r="J50" s="450" t="s">
        <v>3277</v>
      </c>
      <c r="K50" s="450" t="s">
        <v>3154</v>
      </c>
      <c r="L50" s="450" t="s">
        <v>3155</v>
      </c>
      <c r="M50" s="450" t="s">
        <v>3278</v>
      </c>
      <c r="N50" s="450" t="s">
        <v>3157</v>
      </c>
      <c r="O50" s="450" t="s">
        <v>3278</v>
      </c>
      <c r="P50" s="456" t="s">
        <v>3260</v>
      </c>
      <c r="Q50" s="456" t="s">
        <v>3072</v>
      </c>
      <c r="R50" s="456" t="s">
        <v>3261</v>
      </c>
      <c r="S50" s="480" t="s">
        <v>3062</v>
      </c>
      <c r="T50" s="481" t="s">
        <v>3073</v>
      </c>
      <c r="U50" s="480">
        <v>44621</v>
      </c>
      <c r="V50" s="481" t="s">
        <v>231</v>
      </c>
      <c r="W50" s="481" t="s">
        <v>3262</v>
      </c>
      <c r="X50" s="481" t="s">
        <v>3161</v>
      </c>
      <c r="Y50" s="482" t="s">
        <v>3162</v>
      </c>
      <c r="Z50" s="482" t="s">
        <v>3077</v>
      </c>
    </row>
    <row r="51" spans="1:26" x14ac:dyDescent="0.25">
      <c r="A51" s="450"/>
      <c r="B51" s="450" t="s">
        <v>3062</v>
      </c>
      <c r="C51" s="450" t="s">
        <v>3263</v>
      </c>
      <c r="D51" s="450" t="s">
        <v>3279</v>
      </c>
      <c r="E51" s="450" t="s">
        <v>3062</v>
      </c>
      <c r="F51" s="450" t="s">
        <v>3280</v>
      </c>
      <c r="G51" s="450" t="s">
        <v>3281</v>
      </c>
      <c r="H51" s="450" t="s">
        <v>2238</v>
      </c>
      <c r="I51" s="450" t="s">
        <v>3282</v>
      </c>
      <c r="J51" s="450" t="s">
        <v>3277</v>
      </c>
      <c r="K51" s="450" t="s">
        <v>3154</v>
      </c>
      <c r="L51" s="450" t="s">
        <v>3155</v>
      </c>
      <c r="M51" s="450" t="s">
        <v>3283</v>
      </c>
      <c r="N51" s="450" t="s">
        <v>3157</v>
      </c>
      <c r="O51" s="450" t="s">
        <v>3283</v>
      </c>
      <c r="P51" s="456" t="s">
        <v>3071</v>
      </c>
      <c r="Q51" s="456" t="s">
        <v>3072</v>
      </c>
      <c r="R51" s="456" t="s">
        <v>3063</v>
      </c>
      <c r="S51" s="480" t="s">
        <v>3062</v>
      </c>
      <c r="T51" s="481" t="s">
        <v>3073</v>
      </c>
      <c r="U51" s="480">
        <v>44620</v>
      </c>
      <c r="V51" s="481" t="s">
        <v>231</v>
      </c>
      <c r="W51" s="481" t="s">
        <v>3074</v>
      </c>
      <c r="X51" s="481" t="s">
        <v>3075</v>
      </c>
      <c r="Y51" s="482" t="s">
        <v>3076</v>
      </c>
      <c r="Z51" s="482" t="s">
        <v>3077</v>
      </c>
    </row>
    <row r="52" spans="1:26" x14ac:dyDescent="0.25">
      <c r="A52" s="450" t="s">
        <v>2506</v>
      </c>
      <c r="B52" s="450" t="s">
        <v>3062</v>
      </c>
      <c r="C52" s="450" t="s">
        <v>619</v>
      </c>
      <c r="D52" s="450" t="s">
        <v>3284</v>
      </c>
      <c r="E52" s="450" t="s">
        <v>3062</v>
      </c>
      <c r="F52" s="450" t="s">
        <v>3285</v>
      </c>
      <c r="G52" s="450" t="s">
        <v>3286</v>
      </c>
      <c r="H52" s="450" t="s">
        <v>3287</v>
      </c>
      <c r="I52" s="450" t="s">
        <v>3233</v>
      </c>
      <c r="J52" s="450" t="s">
        <v>3234</v>
      </c>
      <c r="K52" s="450" t="s">
        <v>3154</v>
      </c>
      <c r="L52" s="450" t="s">
        <v>3155</v>
      </c>
      <c r="M52" s="450" t="s">
        <v>3288</v>
      </c>
      <c r="N52" s="450" t="s">
        <v>3157</v>
      </c>
      <c r="O52" s="450" t="s">
        <v>3288</v>
      </c>
      <c r="P52" s="456" t="s">
        <v>3236</v>
      </c>
      <c r="Q52" s="456" t="s">
        <v>3072</v>
      </c>
      <c r="R52" s="456" t="s">
        <v>3237</v>
      </c>
      <c r="S52" s="480" t="s">
        <v>3062</v>
      </c>
      <c r="T52" s="481" t="s">
        <v>3073</v>
      </c>
      <c r="U52" s="480">
        <v>44491</v>
      </c>
      <c r="V52" s="481" t="s">
        <v>231</v>
      </c>
      <c r="W52" s="481" t="s">
        <v>128</v>
      </c>
      <c r="X52" s="481" t="s">
        <v>3161</v>
      </c>
      <c r="Y52" s="482" t="s">
        <v>3162</v>
      </c>
      <c r="Z52" s="482" t="s">
        <v>3077</v>
      </c>
    </row>
    <row r="53" spans="1:26" x14ac:dyDescent="0.25">
      <c r="A53" s="450"/>
      <c r="B53" s="450" t="s">
        <v>3062</v>
      </c>
      <c r="C53" s="450" t="s">
        <v>3263</v>
      </c>
      <c r="D53" s="450" t="s">
        <v>3289</v>
      </c>
      <c r="E53" s="450" t="s">
        <v>3062</v>
      </c>
      <c r="F53" s="450" t="s">
        <v>3290</v>
      </c>
      <c r="G53" s="450" t="s">
        <v>3281</v>
      </c>
      <c r="H53" s="450" t="s">
        <v>3286</v>
      </c>
      <c r="I53" s="450" t="s">
        <v>3233</v>
      </c>
      <c r="J53" s="450" t="s">
        <v>3251</v>
      </c>
      <c r="K53" s="450" t="s">
        <v>3154</v>
      </c>
      <c r="L53" s="450" t="s">
        <v>3155</v>
      </c>
      <c r="M53" s="450" t="s">
        <v>3291</v>
      </c>
      <c r="N53" s="450" t="s">
        <v>3157</v>
      </c>
      <c r="O53" s="450" t="s">
        <v>3291</v>
      </c>
      <c r="P53" s="456" t="s">
        <v>3071</v>
      </c>
      <c r="Q53" s="456" t="s">
        <v>3072</v>
      </c>
      <c r="R53" s="456" t="s">
        <v>3063</v>
      </c>
      <c r="S53" s="480" t="s">
        <v>3062</v>
      </c>
      <c r="T53" s="481" t="s">
        <v>3073</v>
      </c>
      <c r="U53" s="480">
        <v>44455</v>
      </c>
      <c r="V53" s="481" t="s">
        <v>231</v>
      </c>
      <c r="W53" s="481" t="s">
        <v>128</v>
      </c>
      <c r="X53" s="481" t="s">
        <v>3161</v>
      </c>
      <c r="Y53" s="482" t="s">
        <v>3162</v>
      </c>
      <c r="Z53" s="482" t="s">
        <v>3077</v>
      </c>
    </row>
    <row r="54" spans="1:26" x14ac:dyDescent="0.25">
      <c r="A54" s="450" t="s">
        <v>2474</v>
      </c>
      <c r="B54" s="450" t="s">
        <v>3062</v>
      </c>
      <c r="C54" s="450" t="s">
        <v>1456</v>
      </c>
      <c r="D54" s="450" t="s">
        <v>3045</v>
      </c>
      <c r="E54" s="450" t="s">
        <v>3062</v>
      </c>
      <c r="F54" s="450" t="s">
        <v>3292</v>
      </c>
      <c r="G54" s="450" t="s">
        <v>3024</v>
      </c>
      <c r="H54" s="450" t="s">
        <v>3025</v>
      </c>
      <c r="I54" s="450" t="s">
        <v>3293</v>
      </c>
      <c r="J54" s="450" t="s">
        <v>3242</v>
      </c>
      <c r="K54" s="450" t="s">
        <v>3154</v>
      </c>
      <c r="L54" s="450" t="s">
        <v>3155</v>
      </c>
      <c r="M54" s="450" t="s">
        <v>3294</v>
      </c>
      <c r="N54" s="450" t="s">
        <v>3157</v>
      </c>
      <c r="O54" s="450" t="s">
        <v>3294</v>
      </c>
      <c r="P54" s="456" t="s">
        <v>3198</v>
      </c>
      <c r="Q54" s="456" t="s">
        <v>3072</v>
      </c>
      <c r="R54" s="456" t="s">
        <v>1456</v>
      </c>
      <c r="S54" s="480" t="s">
        <v>3062</v>
      </c>
      <c r="T54" s="481" t="s">
        <v>3073</v>
      </c>
      <c r="U54" s="480">
        <v>44175</v>
      </c>
      <c r="V54" s="481" t="s">
        <v>231</v>
      </c>
      <c r="W54" s="481" t="s">
        <v>3074</v>
      </c>
      <c r="X54" s="481" t="s">
        <v>3075</v>
      </c>
      <c r="Y54" s="482" t="s">
        <v>3076</v>
      </c>
      <c r="Z54" s="482" t="s">
        <v>3077</v>
      </c>
    </row>
    <row r="55" spans="1:26" x14ac:dyDescent="0.25">
      <c r="A55" s="450" t="s">
        <v>2437</v>
      </c>
      <c r="B55" s="450" t="s">
        <v>3062</v>
      </c>
      <c r="C55" s="450" t="s">
        <v>619</v>
      </c>
      <c r="D55" s="450" t="s">
        <v>3295</v>
      </c>
      <c r="E55" s="450" t="s">
        <v>3062</v>
      </c>
      <c r="F55" s="450" t="s">
        <v>3296</v>
      </c>
      <c r="G55" s="450" t="s">
        <v>3297</v>
      </c>
      <c r="H55" s="450" t="s">
        <v>104</v>
      </c>
      <c r="I55" s="450" t="s">
        <v>332</v>
      </c>
      <c r="J55" s="450" t="s">
        <v>3234</v>
      </c>
      <c r="K55" s="450" t="s">
        <v>3154</v>
      </c>
      <c r="L55" s="450" t="s">
        <v>3155</v>
      </c>
      <c r="M55" s="450" t="s">
        <v>3298</v>
      </c>
      <c r="N55" s="450" t="s">
        <v>3157</v>
      </c>
      <c r="O55" s="450" t="s">
        <v>3298</v>
      </c>
      <c r="P55" s="456" t="s">
        <v>3236</v>
      </c>
      <c r="Q55" s="456" t="s">
        <v>3072</v>
      </c>
      <c r="R55" s="456" t="s">
        <v>3237</v>
      </c>
      <c r="S55" s="480" t="s">
        <v>3062</v>
      </c>
      <c r="T55" s="481" t="s">
        <v>3073</v>
      </c>
      <c r="U55" s="480">
        <v>43711</v>
      </c>
      <c r="V55" s="481" t="s">
        <v>231</v>
      </c>
      <c r="W55" s="481" t="s">
        <v>173</v>
      </c>
      <c r="X55" s="481" t="s">
        <v>3161</v>
      </c>
      <c r="Y55" s="482" t="s">
        <v>3162</v>
      </c>
      <c r="Z55" s="482" t="s">
        <v>3077</v>
      </c>
    </row>
    <row r="56" spans="1:26" x14ac:dyDescent="0.25">
      <c r="A56" s="450"/>
      <c r="B56" s="450" t="s">
        <v>3062</v>
      </c>
      <c r="C56" s="450" t="s">
        <v>3263</v>
      </c>
      <c r="D56" s="450" t="s">
        <v>3299</v>
      </c>
      <c r="E56" s="450" t="s">
        <v>3062</v>
      </c>
      <c r="F56" s="450" t="s">
        <v>3300</v>
      </c>
      <c r="G56" s="450" t="s">
        <v>3301</v>
      </c>
      <c r="H56" s="450" t="s">
        <v>3302</v>
      </c>
      <c r="I56" s="450" t="s">
        <v>3303</v>
      </c>
      <c r="J56" s="450" t="s">
        <v>3304</v>
      </c>
      <c r="K56" s="450" t="s">
        <v>3154</v>
      </c>
      <c r="L56" s="450" t="s">
        <v>3155</v>
      </c>
      <c r="M56" s="450" t="s">
        <v>3305</v>
      </c>
      <c r="N56" s="450" t="s">
        <v>3157</v>
      </c>
      <c r="O56" s="450" t="s">
        <v>3305</v>
      </c>
      <c r="P56" s="456" t="s">
        <v>3071</v>
      </c>
      <c r="Q56" s="456" t="s">
        <v>3072</v>
      </c>
      <c r="R56" s="456" t="s">
        <v>3063</v>
      </c>
      <c r="S56" s="480" t="s">
        <v>3062</v>
      </c>
      <c r="T56" s="481" t="s">
        <v>3073</v>
      </c>
      <c r="U56" s="480">
        <v>43521</v>
      </c>
      <c r="V56" s="481" t="s">
        <v>231</v>
      </c>
      <c r="W56" s="481" t="s">
        <v>145</v>
      </c>
      <c r="X56" s="481" t="s">
        <v>3161</v>
      </c>
      <c r="Y56" s="482" t="s">
        <v>3162</v>
      </c>
      <c r="Z56" s="482" t="s">
        <v>3077</v>
      </c>
    </row>
    <row r="57" spans="1:26" x14ac:dyDescent="0.25">
      <c r="A57" s="450" t="s">
        <v>2417</v>
      </c>
      <c r="B57" s="450" t="s">
        <v>3062</v>
      </c>
      <c r="C57" s="450" t="s">
        <v>1160</v>
      </c>
      <c r="D57" s="450" t="s">
        <v>3306</v>
      </c>
      <c r="E57" s="450" t="s">
        <v>3062</v>
      </c>
      <c r="F57" s="450" t="s">
        <v>3307</v>
      </c>
      <c r="G57" s="450" t="s">
        <v>3308</v>
      </c>
      <c r="H57" s="450" t="s">
        <v>3309</v>
      </c>
      <c r="I57" s="450" t="s">
        <v>3310</v>
      </c>
      <c r="J57" s="450" t="s">
        <v>3234</v>
      </c>
      <c r="K57" s="450" t="s">
        <v>3154</v>
      </c>
      <c r="L57" s="450" t="s">
        <v>3155</v>
      </c>
      <c r="M57" s="450" t="s">
        <v>3311</v>
      </c>
      <c r="N57" s="450" t="s">
        <v>3157</v>
      </c>
      <c r="O57" s="450" t="s">
        <v>3311</v>
      </c>
      <c r="P57" s="456" t="s">
        <v>3236</v>
      </c>
      <c r="Q57" s="456" t="s">
        <v>3072</v>
      </c>
      <c r="R57" s="456" t="s">
        <v>3237</v>
      </c>
      <c r="S57" s="480" t="s">
        <v>3062</v>
      </c>
      <c r="T57" s="481" t="s">
        <v>3073</v>
      </c>
      <c r="U57" s="480">
        <v>43382</v>
      </c>
      <c r="V57" s="481" t="s">
        <v>231</v>
      </c>
      <c r="W57" s="481" t="s">
        <v>173</v>
      </c>
      <c r="X57" s="481" t="s">
        <v>3161</v>
      </c>
      <c r="Y57" s="482" t="s">
        <v>3162</v>
      </c>
      <c r="Z57" s="482" t="s">
        <v>3077</v>
      </c>
    </row>
    <row r="58" spans="1:26" x14ac:dyDescent="0.25">
      <c r="A58" s="450" t="s">
        <v>2399</v>
      </c>
      <c r="B58" s="450" t="s">
        <v>3062</v>
      </c>
      <c r="C58" s="450" t="s">
        <v>1456</v>
      </c>
      <c r="D58" s="450" t="s">
        <v>3041</v>
      </c>
      <c r="E58" s="450" t="s">
        <v>3062</v>
      </c>
      <c r="F58" s="450" t="s">
        <v>3312</v>
      </c>
      <c r="G58" s="450" t="s">
        <v>2401</v>
      </c>
      <c r="H58" s="450" t="s">
        <v>2287</v>
      </c>
      <c r="I58" s="450" t="s">
        <v>3313</v>
      </c>
      <c r="J58" s="450" t="s">
        <v>3242</v>
      </c>
      <c r="K58" s="450" t="s">
        <v>3154</v>
      </c>
      <c r="L58" s="450" t="s">
        <v>3155</v>
      </c>
      <c r="M58" s="450" t="s">
        <v>3314</v>
      </c>
      <c r="N58" s="450" t="s">
        <v>3157</v>
      </c>
      <c r="O58" s="450" t="s">
        <v>3314</v>
      </c>
      <c r="P58" s="456" t="s">
        <v>3198</v>
      </c>
      <c r="Q58" s="456" t="s">
        <v>3072</v>
      </c>
      <c r="R58" s="456" t="s">
        <v>1456</v>
      </c>
      <c r="S58" s="480" t="s">
        <v>3062</v>
      </c>
      <c r="T58" s="481" t="s">
        <v>3073</v>
      </c>
      <c r="U58" s="480">
        <v>43119</v>
      </c>
      <c r="V58" s="481" t="s">
        <v>231</v>
      </c>
      <c r="W58" s="481" t="s">
        <v>3074</v>
      </c>
      <c r="X58" s="481" t="s">
        <v>3075</v>
      </c>
      <c r="Y58" s="482" t="s">
        <v>3076</v>
      </c>
      <c r="Z58" s="482" t="s">
        <v>3077</v>
      </c>
    </row>
    <row r="59" spans="1:26" x14ac:dyDescent="0.25">
      <c r="A59" s="450"/>
      <c r="B59" s="450" t="s">
        <v>3062</v>
      </c>
      <c r="C59" s="450" t="s">
        <v>3315</v>
      </c>
      <c r="D59" s="450" t="s">
        <v>3316</v>
      </c>
      <c r="E59" s="450" t="s">
        <v>3062</v>
      </c>
      <c r="F59" s="450" t="s">
        <v>3317</v>
      </c>
      <c r="G59" s="450" t="s">
        <v>3267</v>
      </c>
      <c r="H59" s="450" t="s">
        <v>3266</v>
      </c>
      <c r="I59" s="450" t="s">
        <v>3318</v>
      </c>
      <c r="J59" s="450" t="s">
        <v>3304</v>
      </c>
      <c r="K59" s="450" t="s">
        <v>3154</v>
      </c>
      <c r="L59" s="450" t="s">
        <v>3155</v>
      </c>
      <c r="M59" s="450" t="s">
        <v>3319</v>
      </c>
      <c r="N59" s="450" t="s">
        <v>3157</v>
      </c>
      <c r="O59" s="450" t="s">
        <v>3319</v>
      </c>
      <c r="P59" s="456" t="s">
        <v>3260</v>
      </c>
      <c r="Q59" s="456" t="s">
        <v>3072</v>
      </c>
      <c r="R59" s="456" t="s">
        <v>3261</v>
      </c>
      <c r="S59" s="480" t="s">
        <v>3062</v>
      </c>
      <c r="T59" s="481" t="s">
        <v>3073</v>
      </c>
      <c r="U59" s="480">
        <v>43034</v>
      </c>
      <c r="V59" s="481" t="s">
        <v>231</v>
      </c>
      <c r="W59" s="481" t="s">
        <v>3270</v>
      </c>
      <c r="X59" s="481" t="s">
        <v>3161</v>
      </c>
      <c r="Y59" s="482" t="s">
        <v>3162</v>
      </c>
      <c r="Z59" s="482" t="s">
        <v>3077</v>
      </c>
    </row>
    <row r="60" spans="1:26" x14ac:dyDescent="0.25">
      <c r="A60" s="450" t="s">
        <v>2384</v>
      </c>
      <c r="B60" s="450" t="s">
        <v>3062</v>
      </c>
      <c r="C60" s="450" t="s">
        <v>619</v>
      </c>
      <c r="D60" s="450" t="s">
        <v>3320</v>
      </c>
      <c r="E60" s="450" t="s">
        <v>3062</v>
      </c>
      <c r="F60" s="450" t="s">
        <v>3321</v>
      </c>
      <c r="G60" s="450" t="s">
        <v>374</v>
      </c>
      <c r="H60" s="450" t="s">
        <v>2914</v>
      </c>
      <c r="I60" s="450" t="s">
        <v>3322</v>
      </c>
      <c r="J60" s="450" t="s">
        <v>3234</v>
      </c>
      <c r="K60" s="450" t="s">
        <v>3154</v>
      </c>
      <c r="L60" s="450" t="s">
        <v>3155</v>
      </c>
      <c r="M60" s="450" t="s">
        <v>3323</v>
      </c>
      <c r="N60" s="450" t="s">
        <v>3157</v>
      </c>
      <c r="O60" s="450" t="s">
        <v>3323</v>
      </c>
      <c r="P60" s="456" t="s">
        <v>3236</v>
      </c>
      <c r="Q60" s="456" t="s">
        <v>3072</v>
      </c>
      <c r="R60" s="456" t="s">
        <v>3237</v>
      </c>
      <c r="S60" s="480" t="s">
        <v>3062</v>
      </c>
      <c r="T60" s="481" t="s">
        <v>3073</v>
      </c>
      <c r="U60" s="480">
        <v>42858</v>
      </c>
      <c r="V60" s="481" t="s">
        <v>231</v>
      </c>
      <c r="W60" s="481" t="s">
        <v>120</v>
      </c>
      <c r="X60" s="481" t="s">
        <v>3161</v>
      </c>
      <c r="Y60" s="482" t="s">
        <v>3162</v>
      </c>
      <c r="Z60" s="482" t="s">
        <v>3077</v>
      </c>
    </row>
    <row r="61" spans="1:26" x14ac:dyDescent="0.25">
      <c r="A61" s="450"/>
      <c r="B61" s="450" t="s">
        <v>3062</v>
      </c>
      <c r="C61" s="450" t="s">
        <v>3253</v>
      </c>
      <c r="D61" s="450" t="s">
        <v>3324</v>
      </c>
      <c r="E61" s="450" t="s">
        <v>3062</v>
      </c>
      <c r="F61" s="450" t="s">
        <v>3325</v>
      </c>
      <c r="G61" s="450" t="s">
        <v>3286</v>
      </c>
      <c r="H61" s="450" t="s">
        <v>3281</v>
      </c>
      <c r="I61" s="450" t="s">
        <v>3233</v>
      </c>
      <c r="J61" s="450" t="s">
        <v>3326</v>
      </c>
      <c r="K61" s="450" t="s">
        <v>3154</v>
      </c>
      <c r="L61" s="450" t="s">
        <v>3155</v>
      </c>
      <c r="M61" s="450" t="s">
        <v>3327</v>
      </c>
      <c r="N61" s="450" t="s">
        <v>3157</v>
      </c>
      <c r="O61" s="450" t="s">
        <v>3327</v>
      </c>
      <c r="P61" s="456" t="s">
        <v>3260</v>
      </c>
      <c r="Q61" s="456" t="s">
        <v>3072</v>
      </c>
      <c r="R61" s="456" t="s">
        <v>3261</v>
      </c>
      <c r="S61" s="480" t="s">
        <v>3062</v>
      </c>
      <c r="T61" s="481" t="s">
        <v>3073</v>
      </c>
      <c r="U61" s="480">
        <v>42761</v>
      </c>
      <c r="V61" s="481" t="s">
        <v>231</v>
      </c>
      <c r="W61" s="481" t="s">
        <v>128</v>
      </c>
      <c r="X61" s="481" t="s">
        <v>3161</v>
      </c>
      <c r="Y61" s="482" t="s">
        <v>3162</v>
      </c>
      <c r="Z61" s="482" t="s">
        <v>3077</v>
      </c>
    </row>
    <row r="62" spans="1:26" x14ac:dyDescent="0.25">
      <c r="A62" s="450"/>
      <c r="B62" s="450" t="s">
        <v>3062</v>
      </c>
      <c r="C62" s="450" t="s">
        <v>3328</v>
      </c>
      <c r="D62" s="450" t="s">
        <v>3329</v>
      </c>
      <c r="E62" s="450" t="s">
        <v>3062</v>
      </c>
      <c r="F62" s="450" t="s">
        <v>3330</v>
      </c>
      <c r="G62" s="450" t="s">
        <v>3331</v>
      </c>
      <c r="H62" s="450" t="s">
        <v>3332</v>
      </c>
      <c r="I62" s="450" t="s">
        <v>3333</v>
      </c>
      <c r="J62" s="450" t="s">
        <v>3334</v>
      </c>
      <c r="K62" s="450" t="s">
        <v>3154</v>
      </c>
      <c r="L62" s="450" t="s">
        <v>3155</v>
      </c>
      <c r="M62" s="450" t="s">
        <v>3335</v>
      </c>
      <c r="N62" s="450" t="s">
        <v>3157</v>
      </c>
      <c r="O62" s="450" t="s">
        <v>3335</v>
      </c>
      <c r="P62" s="456" t="s">
        <v>3071</v>
      </c>
      <c r="Q62" s="456" t="s">
        <v>3072</v>
      </c>
      <c r="R62" s="456" t="s">
        <v>3063</v>
      </c>
      <c r="S62" s="480" t="s">
        <v>3062</v>
      </c>
      <c r="T62" s="481" t="s">
        <v>3073</v>
      </c>
      <c r="U62" s="480">
        <v>42752</v>
      </c>
      <c r="V62" s="481" t="s">
        <v>231</v>
      </c>
      <c r="W62" s="481" t="s">
        <v>3074</v>
      </c>
      <c r="X62" s="481" t="s">
        <v>3075</v>
      </c>
      <c r="Y62" s="482" t="s">
        <v>3076</v>
      </c>
      <c r="Z62" s="482" t="s">
        <v>3077</v>
      </c>
    </row>
    <row r="63" spans="1:26" x14ac:dyDescent="0.25">
      <c r="A63" s="450" t="s">
        <v>2379</v>
      </c>
      <c r="B63" s="450" t="s">
        <v>3336</v>
      </c>
      <c r="C63" s="450" t="s">
        <v>1456</v>
      </c>
      <c r="D63" s="450" t="s">
        <v>3040</v>
      </c>
      <c r="E63" s="450" t="s">
        <v>3337</v>
      </c>
      <c r="F63" s="450" t="s">
        <v>3330</v>
      </c>
      <c r="G63" s="450" t="s">
        <v>3338</v>
      </c>
      <c r="H63" s="450" t="s">
        <v>2382</v>
      </c>
      <c r="I63" s="450" t="s">
        <v>3339</v>
      </c>
      <c r="J63" s="450" t="s">
        <v>3340</v>
      </c>
      <c r="K63" s="450" t="s">
        <v>3154</v>
      </c>
      <c r="L63" s="450" t="s">
        <v>3155</v>
      </c>
      <c r="M63" s="450" t="s">
        <v>3341</v>
      </c>
      <c r="N63" s="450" t="s">
        <v>3342</v>
      </c>
      <c r="O63" s="450"/>
      <c r="P63" s="456" t="s">
        <v>3198</v>
      </c>
      <c r="Q63" s="456" t="s">
        <v>3072</v>
      </c>
      <c r="R63" s="456" t="s">
        <v>1456</v>
      </c>
      <c r="S63" s="480" t="s">
        <v>3337</v>
      </c>
      <c r="T63" s="481" t="s">
        <v>3073</v>
      </c>
      <c r="U63" s="480">
        <v>42752</v>
      </c>
      <c r="V63" s="481" t="s">
        <v>231</v>
      </c>
      <c r="W63" s="481" t="s">
        <v>3074</v>
      </c>
      <c r="X63" s="481" t="s">
        <v>3075</v>
      </c>
      <c r="Y63" s="482" t="s">
        <v>3076</v>
      </c>
      <c r="Z63" s="482" t="s">
        <v>3077</v>
      </c>
    </row>
    <row r="64" spans="1:26" x14ac:dyDescent="0.25">
      <c r="A64" s="450"/>
      <c r="B64" s="450" t="s">
        <v>3336</v>
      </c>
      <c r="C64" s="450" t="s">
        <v>3253</v>
      </c>
      <c r="D64" s="450" t="s">
        <v>3343</v>
      </c>
      <c r="E64" s="450" t="s">
        <v>3337</v>
      </c>
      <c r="F64" s="450" t="s">
        <v>3330</v>
      </c>
      <c r="G64" s="450" t="s">
        <v>2382</v>
      </c>
      <c r="H64" s="450" t="s">
        <v>3344</v>
      </c>
      <c r="I64" s="450" t="s">
        <v>3339</v>
      </c>
      <c r="J64" s="450" t="s">
        <v>3345</v>
      </c>
      <c r="K64" s="450" t="s">
        <v>3154</v>
      </c>
      <c r="L64" s="450" t="s">
        <v>3155</v>
      </c>
      <c r="M64" s="450" t="s">
        <v>3346</v>
      </c>
      <c r="N64" s="450" t="s">
        <v>3342</v>
      </c>
      <c r="O64" s="450"/>
      <c r="P64" s="456" t="s">
        <v>3260</v>
      </c>
      <c r="Q64" s="456" t="s">
        <v>3072</v>
      </c>
      <c r="R64" s="456" t="s">
        <v>3261</v>
      </c>
      <c r="S64" s="480" t="s">
        <v>3337</v>
      </c>
      <c r="T64" s="481" t="s">
        <v>3073</v>
      </c>
      <c r="U64" s="480">
        <v>42752</v>
      </c>
      <c r="V64" s="481" t="s">
        <v>231</v>
      </c>
      <c r="W64" s="481" t="s">
        <v>3074</v>
      </c>
      <c r="X64" s="481" t="s">
        <v>3075</v>
      </c>
      <c r="Y64" s="482" t="s">
        <v>3076</v>
      </c>
      <c r="Z64" s="482" t="s">
        <v>3077</v>
      </c>
    </row>
    <row r="65" spans="1:26" x14ac:dyDescent="0.25">
      <c r="A65" s="450"/>
      <c r="B65" s="450" t="s">
        <v>3336</v>
      </c>
      <c r="C65" s="450" t="s">
        <v>3328</v>
      </c>
      <c r="D65" s="450" t="s">
        <v>3347</v>
      </c>
      <c r="E65" s="450" t="s">
        <v>3337</v>
      </c>
      <c r="F65" s="450" t="s">
        <v>3330</v>
      </c>
      <c r="G65" s="450" t="s">
        <v>3344</v>
      </c>
      <c r="H65" s="450" t="s">
        <v>3332</v>
      </c>
      <c r="I65" s="450" t="s">
        <v>3339</v>
      </c>
      <c r="J65" s="450" t="s">
        <v>3334</v>
      </c>
      <c r="K65" s="450" t="s">
        <v>3154</v>
      </c>
      <c r="L65" s="450" t="s">
        <v>3155</v>
      </c>
      <c r="M65" s="450" t="s">
        <v>3348</v>
      </c>
      <c r="N65" s="450" t="s">
        <v>3342</v>
      </c>
      <c r="O65" s="450"/>
      <c r="P65" s="456" t="s">
        <v>3071</v>
      </c>
      <c r="Q65" s="456" t="s">
        <v>3072</v>
      </c>
      <c r="R65" s="456" t="s">
        <v>3063</v>
      </c>
      <c r="S65" s="480" t="s">
        <v>3337</v>
      </c>
      <c r="T65" s="481" t="s">
        <v>3073</v>
      </c>
      <c r="U65" s="480">
        <v>42752</v>
      </c>
      <c r="V65" s="481" t="s">
        <v>231</v>
      </c>
      <c r="W65" s="481" t="s">
        <v>3074</v>
      </c>
      <c r="X65" s="481" t="s">
        <v>3075</v>
      </c>
      <c r="Y65" s="482" t="s">
        <v>3076</v>
      </c>
      <c r="Z65" s="482" t="s">
        <v>3077</v>
      </c>
    </row>
    <row r="66" spans="1:26" x14ac:dyDescent="0.25">
      <c r="A66" s="450">
        <v>397</v>
      </c>
      <c r="B66" s="450" t="s">
        <v>3349</v>
      </c>
      <c r="C66" s="450" t="s">
        <v>3350</v>
      </c>
      <c r="D66" s="450"/>
      <c r="E66" s="450"/>
      <c r="F66" s="483">
        <v>46184</v>
      </c>
      <c r="G66" s="450"/>
      <c r="H66" s="450"/>
      <c r="I66" s="450" t="s">
        <v>3351</v>
      </c>
      <c r="J66" s="450" t="s">
        <v>3352</v>
      </c>
      <c r="K66" s="450" t="s">
        <v>3353</v>
      </c>
      <c r="L66" s="450" t="s">
        <v>3354</v>
      </c>
      <c r="M66" s="450" t="s">
        <v>3355</v>
      </c>
      <c r="N66" s="450" t="s">
        <v>3356</v>
      </c>
      <c r="O66" s="450" t="s">
        <v>3357</v>
      </c>
      <c r="P66" s="456" t="s">
        <v>3358</v>
      </c>
      <c r="Q66" s="456" t="s">
        <v>3072</v>
      </c>
      <c r="R66" s="456" t="s">
        <v>3359</v>
      </c>
      <c r="S66" s="480">
        <v>46184</v>
      </c>
      <c r="T66" s="481" t="s">
        <v>3360</v>
      </c>
      <c r="U66" s="480">
        <v>46184</v>
      </c>
      <c r="V66" s="481" t="s">
        <v>231</v>
      </c>
      <c r="W66" s="481" t="s">
        <v>3074</v>
      </c>
      <c r="X66" s="481" t="s">
        <v>3075</v>
      </c>
      <c r="Y66" s="482" t="s">
        <v>3076</v>
      </c>
      <c r="Z66" s="482" t="s">
        <v>3361</v>
      </c>
    </row>
    <row r="67" spans="1:26" x14ac:dyDescent="0.25">
      <c r="A67" s="481">
        <v>398</v>
      </c>
      <c r="B67" s="481" t="s">
        <v>3362</v>
      </c>
      <c r="C67" s="481" t="s">
        <v>3363</v>
      </c>
      <c r="D67" s="481"/>
      <c r="E67" s="481"/>
      <c r="F67" s="484">
        <v>46184</v>
      </c>
      <c r="G67" s="481" t="s">
        <v>3364</v>
      </c>
      <c r="H67" s="481"/>
      <c r="I67" s="481" t="s">
        <v>3365</v>
      </c>
      <c r="J67" s="481" t="s">
        <v>3366</v>
      </c>
      <c r="K67" s="481" t="s">
        <v>3367</v>
      </c>
      <c r="L67" s="481" t="s">
        <v>3368</v>
      </c>
      <c r="M67" s="481" t="s">
        <v>3369</v>
      </c>
      <c r="N67" s="481" t="s">
        <v>3370</v>
      </c>
      <c r="O67" s="481" t="s">
        <v>3369</v>
      </c>
      <c r="P67" s="482" t="s">
        <v>3371</v>
      </c>
      <c r="Q67" s="482" t="s">
        <v>3072</v>
      </c>
      <c r="R67" s="482" t="s">
        <v>3362</v>
      </c>
      <c r="S67" s="480">
        <v>46184</v>
      </c>
      <c r="T67" s="481" t="s">
        <v>3360</v>
      </c>
      <c r="U67" s="480">
        <v>46184</v>
      </c>
      <c r="V67" s="481"/>
      <c r="W67" s="481"/>
      <c r="X67" s="481" t="s">
        <v>3372</v>
      </c>
      <c r="Y67" s="482" t="s">
        <v>3076</v>
      </c>
      <c r="Z67" s="482" t="s">
        <v>3077</v>
      </c>
    </row>
    <row r="68" spans="1:26" x14ac:dyDescent="0.25">
      <c r="A68" s="481">
        <v>399</v>
      </c>
      <c r="B68" s="481" t="s">
        <v>3362</v>
      </c>
      <c r="C68" s="481" t="s">
        <v>3373</v>
      </c>
      <c r="D68" s="481"/>
      <c r="E68" s="481"/>
      <c r="F68" s="484">
        <v>46184</v>
      </c>
      <c r="G68" s="481"/>
      <c r="H68" s="481"/>
      <c r="I68" s="481" t="s">
        <v>3351</v>
      </c>
      <c r="J68" s="481" t="s">
        <v>3374</v>
      </c>
      <c r="K68" s="481" t="s">
        <v>3375</v>
      </c>
      <c r="L68" s="481" t="s">
        <v>3376</v>
      </c>
      <c r="M68" s="481" t="s">
        <v>3355</v>
      </c>
      <c r="N68" s="481" t="s">
        <v>3377</v>
      </c>
      <c r="O68" s="481" t="s">
        <v>3355</v>
      </c>
      <c r="P68" s="482" t="s">
        <v>3378</v>
      </c>
      <c r="Q68" s="482" t="s">
        <v>3072</v>
      </c>
      <c r="R68" s="482" t="s">
        <v>3362</v>
      </c>
      <c r="S68" s="480">
        <v>46184</v>
      </c>
      <c r="T68" s="481" t="s">
        <v>3360</v>
      </c>
      <c r="U68" s="480">
        <v>46184</v>
      </c>
      <c r="V68" s="481" t="s">
        <v>231</v>
      </c>
      <c r="W68" s="481" t="s">
        <v>3074</v>
      </c>
      <c r="X68" s="481" t="s">
        <v>3075</v>
      </c>
      <c r="Y68" s="482" t="s">
        <v>3076</v>
      </c>
      <c r="Z68" s="482" t="s">
        <v>3361</v>
      </c>
    </row>
    <row r="69" spans="1:26" x14ac:dyDescent="0.25">
      <c r="A69" s="481">
        <v>400</v>
      </c>
      <c r="B69" s="481" t="s">
        <v>3362</v>
      </c>
      <c r="C69" s="481" t="s">
        <v>3379</v>
      </c>
      <c r="D69" s="481"/>
      <c r="E69" s="481"/>
      <c r="F69" s="484">
        <v>46184</v>
      </c>
      <c r="G69" s="481" t="s">
        <v>3380</v>
      </c>
      <c r="H69" s="481"/>
      <c r="I69" s="481" t="s">
        <v>3381</v>
      </c>
      <c r="J69" s="481" t="s">
        <v>3382</v>
      </c>
      <c r="K69" s="481" t="s">
        <v>3367</v>
      </c>
      <c r="L69" s="481" t="s">
        <v>3383</v>
      </c>
      <c r="M69" s="481" t="s">
        <v>3369</v>
      </c>
      <c r="N69" s="481" t="s">
        <v>3384</v>
      </c>
      <c r="O69" s="481" t="s">
        <v>3369</v>
      </c>
      <c r="P69" s="482" t="s">
        <v>3385</v>
      </c>
      <c r="Q69" s="482" t="s">
        <v>3386</v>
      </c>
      <c r="R69" s="482" t="s">
        <v>3362</v>
      </c>
      <c r="S69" s="480">
        <v>46184</v>
      </c>
      <c r="T69" s="481" t="s">
        <v>3360</v>
      </c>
      <c r="U69" s="480">
        <v>46184</v>
      </c>
      <c r="V69" s="481" t="s">
        <v>231</v>
      </c>
      <c r="W69" s="481"/>
      <c r="X69" s="481" t="s">
        <v>3372</v>
      </c>
      <c r="Y69" s="482" t="s">
        <v>3076</v>
      </c>
      <c r="Z69" s="482" t="s">
        <v>3077</v>
      </c>
    </row>
    <row r="70" spans="1:26" x14ac:dyDescent="0.25">
      <c r="A70" s="481">
        <v>401</v>
      </c>
      <c r="B70" s="481" t="s">
        <v>3362</v>
      </c>
      <c r="C70" s="481" t="s">
        <v>1456</v>
      </c>
      <c r="D70" s="481" t="s">
        <v>3387</v>
      </c>
      <c r="E70" s="481"/>
      <c r="F70" s="484">
        <v>42752</v>
      </c>
      <c r="G70" s="481" t="s">
        <v>3388</v>
      </c>
      <c r="H70" s="481" t="s">
        <v>3389</v>
      </c>
      <c r="I70" s="481" t="s">
        <v>3390</v>
      </c>
      <c r="J70" s="481" t="s">
        <v>3391</v>
      </c>
      <c r="K70" s="481" t="s">
        <v>3392</v>
      </c>
      <c r="L70" s="481" t="s">
        <v>3393</v>
      </c>
      <c r="M70" s="481" t="s">
        <v>3341</v>
      </c>
      <c r="N70" s="481" t="s">
        <v>3394</v>
      </c>
      <c r="O70" s="481" t="s">
        <v>3341</v>
      </c>
      <c r="P70" s="482" t="s">
        <v>3395</v>
      </c>
      <c r="Q70" s="482" t="s">
        <v>3072</v>
      </c>
      <c r="R70" s="482" t="s">
        <v>1456</v>
      </c>
      <c r="S70" s="480">
        <v>42752</v>
      </c>
      <c r="T70" s="481" t="s">
        <v>3360</v>
      </c>
      <c r="U70" s="480">
        <v>42752</v>
      </c>
      <c r="V70" s="481" t="s">
        <v>231</v>
      </c>
      <c r="W70" s="481" t="s">
        <v>3074</v>
      </c>
      <c r="X70" s="481" t="s">
        <v>3075</v>
      </c>
      <c r="Y70" s="482" t="s">
        <v>3076</v>
      </c>
      <c r="Z70" s="482" t="s">
        <v>3077</v>
      </c>
    </row>
    <row r="71" spans="1:26" x14ac:dyDescent="0.25">
      <c r="A71" s="481">
        <v>402</v>
      </c>
      <c r="B71" s="481" t="s">
        <v>3362</v>
      </c>
      <c r="C71" s="481" t="s">
        <v>3253</v>
      </c>
      <c r="D71" s="481" t="s">
        <v>3396</v>
      </c>
      <c r="E71" s="481"/>
      <c r="F71" s="484">
        <v>42752</v>
      </c>
      <c r="G71" s="481" t="s">
        <v>3389</v>
      </c>
      <c r="H71" s="481" t="s">
        <v>3397</v>
      </c>
      <c r="I71" s="481" t="s">
        <v>3390</v>
      </c>
      <c r="J71" s="481" t="s">
        <v>3398</v>
      </c>
      <c r="K71" s="481" t="s">
        <v>3399</v>
      </c>
      <c r="L71" s="481" t="s">
        <v>3400</v>
      </c>
      <c r="M71" s="481" t="s">
        <v>3401</v>
      </c>
      <c r="N71" s="481" t="s">
        <v>3402</v>
      </c>
      <c r="O71" s="481" t="s">
        <v>3401</v>
      </c>
      <c r="P71" s="482" t="s">
        <v>3403</v>
      </c>
      <c r="Q71" s="482" t="s">
        <v>3072</v>
      </c>
      <c r="R71" s="482" t="s">
        <v>3261</v>
      </c>
      <c r="S71" s="480">
        <v>42752</v>
      </c>
      <c r="T71" s="481" t="s">
        <v>3360</v>
      </c>
      <c r="U71" s="480">
        <v>42752</v>
      </c>
      <c r="V71" s="481" t="s">
        <v>231</v>
      </c>
      <c r="W71" s="481" t="s">
        <v>3074</v>
      </c>
      <c r="X71" s="481" t="s">
        <v>3075</v>
      </c>
      <c r="Y71" s="482" t="s">
        <v>3076</v>
      </c>
      <c r="Z71" s="482" t="s">
        <v>3077</v>
      </c>
    </row>
    <row r="72" spans="1:26" x14ac:dyDescent="0.25">
      <c r="A72" s="481">
        <v>403</v>
      </c>
      <c r="B72" s="481" t="s">
        <v>3362</v>
      </c>
      <c r="C72" s="481" t="s">
        <v>3404</v>
      </c>
      <c r="D72" s="481" t="s">
        <v>3405</v>
      </c>
      <c r="E72" s="481"/>
      <c r="F72" s="484">
        <v>45609</v>
      </c>
      <c r="G72" s="481" t="s">
        <v>3406</v>
      </c>
      <c r="H72" s="481" t="s">
        <v>3389</v>
      </c>
      <c r="I72" s="481" t="s">
        <v>3390</v>
      </c>
      <c r="J72" s="481" t="s">
        <v>3407</v>
      </c>
      <c r="K72" s="481" t="s">
        <v>3399</v>
      </c>
      <c r="L72" s="481" t="s">
        <v>3400</v>
      </c>
      <c r="M72" s="481" t="s">
        <v>3408</v>
      </c>
      <c r="N72" s="481" t="s">
        <v>3409</v>
      </c>
      <c r="O72" s="481" t="s">
        <v>3408</v>
      </c>
      <c r="P72" s="482" t="s">
        <v>3410</v>
      </c>
      <c r="Q72" s="482" t="s">
        <v>3072</v>
      </c>
      <c r="R72" s="482" t="s">
        <v>3261</v>
      </c>
      <c r="S72" s="480">
        <v>45609</v>
      </c>
      <c r="T72" s="481" t="s">
        <v>3360</v>
      </c>
      <c r="U72" s="480">
        <v>45609</v>
      </c>
      <c r="V72" s="481" t="s">
        <v>231</v>
      </c>
      <c r="W72" s="481" t="s">
        <v>3074</v>
      </c>
      <c r="X72" s="481" t="s">
        <v>3075</v>
      </c>
      <c r="Y72" s="482" t="s">
        <v>3076</v>
      </c>
      <c r="Z72" s="482" t="s">
        <v>3077</v>
      </c>
    </row>
    <row r="73" spans="1:26" x14ac:dyDescent="0.25">
      <c r="A73" s="481">
        <v>404</v>
      </c>
      <c r="B73" s="481" t="s">
        <v>3362</v>
      </c>
      <c r="C73" s="481" t="s">
        <v>3328</v>
      </c>
      <c r="D73" s="481" t="s">
        <v>3411</v>
      </c>
      <c r="E73" s="481"/>
      <c r="F73" s="484">
        <v>42752</v>
      </c>
      <c r="G73" s="481" t="s">
        <v>3412</v>
      </c>
      <c r="H73" s="481" t="s">
        <v>3413</v>
      </c>
      <c r="I73" s="481" t="s">
        <v>3414</v>
      </c>
      <c r="J73" s="481" t="s">
        <v>3415</v>
      </c>
      <c r="K73" s="481" t="s">
        <v>3392</v>
      </c>
      <c r="L73" s="481" t="s">
        <v>3416</v>
      </c>
      <c r="M73" s="481" t="s">
        <v>3335</v>
      </c>
      <c r="N73" s="481" t="s">
        <v>3417</v>
      </c>
      <c r="O73" s="481" t="s">
        <v>3335</v>
      </c>
      <c r="P73" s="482" t="s">
        <v>3418</v>
      </c>
      <c r="Q73" s="482" t="s">
        <v>3072</v>
      </c>
      <c r="R73" s="482" t="s">
        <v>3261</v>
      </c>
      <c r="S73" s="480">
        <v>42752</v>
      </c>
      <c r="T73" s="481" t="s">
        <v>3360</v>
      </c>
      <c r="U73" s="480">
        <v>42752</v>
      </c>
      <c r="V73" s="481" t="s">
        <v>231</v>
      </c>
      <c r="W73" s="481" t="s">
        <v>3074</v>
      </c>
      <c r="X73" s="481" t="s">
        <v>3075</v>
      </c>
      <c r="Y73" s="482" t="s">
        <v>3076</v>
      </c>
      <c r="Z73" s="482" t="s">
        <v>3077</v>
      </c>
    </row>
    <row r="74" spans="1:26" x14ac:dyDescent="0.25">
      <c r="A74" s="481">
        <v>405</v>
      </c>
      <c r="B74" s="481" t="s">
        <v>3362</v>
      </c>
      <c r="C74" s="481" t="s">
        <v>3419</v>
      </c>
      <c r="D74" s="481"/>
      <c r="E74" s="481"/>
      <c r="F74" s="484">
        <v>46184</v>
      </c>
      <c r="G74" s="481" t="s">
        <v>3380</v>
      </c>
      <c r="H74" s="481"/>
      <c r="I74" s="481" t="s">
        <v>3420</v>
      </c>
      <c r="J74" s="481" t="s">
        <v>3421</v>
      </c>
      <c r="K74" s="481" t="s">
        <v>3399</v>
      </c>
      <c r="L74" s="481" t="s">
        <v>3422</v>
      </c>
      <c r="M74" s="481" t="s">
        <v>3423</v>
      </c>
      <c r="N74" s="481" t="s">
        <v>3424</v>
      </c>
      <c r="O74" s="481" t="s">
        <v>3423</v>
      </c>
      <c r="P74" s="482" t="s">
        <v>3425</v>
      </c>
      <c r="Q74" s="482" t="s">
        <v>3072</v>
      </c>
      <c r="R74" s="482" t="s">
        <v>3359</v>
      </c>
      <c r="S74" s="480">
        <v>46184</v>
      </c>
      <c r="T74" s="481" t="s">
        <v>3360</v>
      </c>
      <c r="U74" s="480">
        <v>46184</v>
      </c>
      <c r="V74" s="481"/>
      <c r="W74" s="481"/>
      <c r="X74" s="481" t="s">
        <v>3372</v>
      </c>
      <c r="Y74" s="482" t="s">
        <v>3076</v>
      </c>
      <c r="Z74" s="482" t="s">
        <v>3077</v>
      </c>
    </row>
    <row r="75" spans="1:26" x14ac:dyDescent="0.25">
      <c r="A75" s="481">
        <v>406</v>
      </c>
      <c r="B75" s="481" t="s">
        <v>3426</v>
      </c>
      <c r="C75" s="481" t="s">
        <v>3253</v>
      </c>
      <c r="D75" s="481" t="s">
        <v>3427</v>
      </c>
      <c r="E75" s="481"/>
      <c r="F75" s="484">
        <v>42593</v>
      </c>
      <c r="G75" s="481" t="s">
        <v>3428</v>
      </c>
      <c r="H75" s="481" t="s">
        <v>3429</v>
      </c>
      <c r="I75" s="481" t="s">
        <v>3430</v>
      </c>
      <c r="J75" s="481" t="s">
        <v>3431</v>
      </c>
      <c r="K75" s="481" t="s">
        <v>3432</v>
      </c>
      <c r="L75" s="481" t="s">
        <v>3433</v>
      </c>
      <c r="M75" s="481" t="s">
        <v>3434</v>
      </c>
      <c r="N75" s="481" t="s">
        <v>3435</v>
      </c>
      <c r="O75" s="481" t="s">
        <v>3436</v>
      </c>
      <c r="P75" s="481" t="s">
        <v>3437</v>
      </c>
      <c r="Q75" s="481" t="s">
        <v>3072</v>
      </c>
      <c r="R75" s="481" t="s">
        <v>3261</v>
      </c>
      <c r="S75" s="480">
        <v>42593</v>
      </c>
      <c r="T75" s="481" t="s">
        <v>3438</v>
      </c>
      <c r="U75" s="480">
        <v>42593</v>
      </c>
      <c r="V75" s="481" t="s">
        <v>231</v>
      </c>
      <c r="W75" s="481" t="s">
        <v>3439</v>
      </c>
      <c r="X75" s="481" t="s">
        <v>3440</v>
      </c>
      <c r="Y75" s="482" t="s">
        <v>3162</v>
      </c>
      <c r="Z75" s="482" t="s">
        <v>3441</v>
      </c>
    </row>
    <row r="76" spans="1:26" x14ac:dyDescent="0.25">
      <c r="A76" s="481">
        <v>407</v>
      </c>
      <c r="B76" s="481" t="s">
        <v>3426</v>
      </c>
      <c r="C76" s="481" t="s">
        <v>1456</v>
      </c>
      <c r="D76" s="481" t="s">
        <v>3442</v>
      </c>
      <c r="E76" s="481"/>
      <c r="F76" s="484">
        <v>42593</v>
      </c>
      <c r="G76" s="481" t="s">
        <v>3443</v>
      </c>
      <c r="H76" s="481" t="s">
        <v>3428</v>
      </c>
      <c r="I76" s="481" t="s">
        <v>3444</v>
      </c>
      <c r="J76" s="481" t="s">
        <v>3445</v>
      </c>
      <c r="K76" s="481" t="s">
        <v>3432</v>
      </c>
      <c r="L76" s="481" t="s">
        <v>3433</v>
      </c>
      <c r="M76" s="481" t="s">
        <v>3446</v>
      </c>
      <c r="N76" s="481" t="s">
        <v>3435</v>
      </c>
      <c r="O76" s="481" t="s">
        <v>3436</v>
      </c>
      <c r="P76" s="481" t="s">
        <v>3447</v>
      </c>
      <c r="Q76" s="481" t="s">
        <v>3072</v>
      </c>
      <c r="R76" s="481" t="s">
        <v>1456</v>
      </c>
      <c r="S76" s="480">
        <v>42593</v>
      </c>
      <c r="T76" s="481" t="s">
        <v>3438</v>
      </c>
      <c r="U76" s="480">
        <v>42593</v>
      </c>
      <c r="V76" s="481"/>
      <c r="W76" s="481" t="s">
        <v>3448</v>
      </c>
      <c r="X76" s="481" t="s">
        <v>3449</v>
      </c>
      <c r="Y76" s="482" t="s">
        <v>3162</v>
      </c>
      <c r="Z76" s="482" t="s">
        <v>3450</v>
      </c>
    </row>
    <row r="77" spans="1:26" x14ac:dyDescent="0.25">
      <c r="A77" s="481">
        <v>408</v>
      </c>
      <c r="B77" s="481" t="s">
        <v>3426</v>
      </c>
      <c r="C77" s="481" t="s">
        <v>1160</v>
      </c>
      <c r="D77" s="481" t="s">
        <v>3451</v>
      </c>
      <c r="E77" s="481"/>
      <c r="F77" s="484">
        <v>42593</v>
      </c>
      <c r="G77" s="481" t="s">
        <v>3443</v>
      </c>
      <c r="H77" s="481" t="s">
        <v>3452</v>
      </c>
      <c r="I77" s="481" t="s">
        <v>3453</v>
      </c>
      <c r="J77" s="481" t="s">
        <v>3454</v>
      </c>
      <c r="K77" s="481" t="s">
        <v>3432</v>
      </c>
      <c r="L77" s="481" t="s">
        <v>3455</v>
      </c>
      <c r="M77" s="481" t="s">
        <v>3456</v>
      </c>
      <c r="N77" s="481" t="s">
        <v>3457</v>
      </c>
      <c r="O77" s="481" t="s">
        <v>3436</v>
      </c>
      <c r="P77" s="481" t="s">
        <v>3458</v>
      </c>
      <c r="Q77" s="481" t="s">
        <v>3072</v>
      </c>
      <c r="R77" s="481" t="s">
        <v>3237</v>
      </c>
      <c r="S77" s="480">
        <v>42593</v>
      </c>
      <c r="T77" s="481" t="s">
        <v>3438</v>
      </c>
      <c r="U77" s="480">
        <v>42593</v>
      </c>
      <c r="V77" s="481" t="s">
        <v>231</v>
      </c>
      <c r="W77" s="481" t="s">
        <v>3459</v>
      </c>
      <c r="X77" s="481" t="s">
        <v>3460</v>
      </c>
      <c r="Y77" s="482" t="s">
        <v>3162</v>
      </c>
      <c r="Z77" s="482" t="s">
        <v>3461</v>
      </c>
    </row>
    <row r="78" spans="1:26" x14ac:dyDescent="0.25">
      <c r="A78" s="481">
        <v>409</v>
      </c>
      <c r="B78" s="481" t="s">
        <v>3426</v>
      </c>
      <c r="C78" s="481" t="s">
        <v>3462</v>
      </c>
      <c r="D78" s="481" t="s">
        <v>3463</v>
      </c>
      <c r="E78" s="481"/>
      <c r="F78" s="484">
        <v>42872</v>
      </c>
      <c r="G78" s="481" t="s">
        <v>3464</v>
      </c>
      <c r="H78" s="481" t="s">
        <v>3465</v>
      </c>
      <c r="I78" s="481" t="s">
        <v>3466</v>
      </c>
      <c r="J78" s="481" t="s">
        <v>3467</v>
      </c>
      <c r="K78" s="481" t="s">
        <v>3432</v>
      </c>
      <c r="L78" s="481" t="s">
        <v>3433</v>
      </c>
      <c r="M78" s="481" t="s">
        <v>3468</v>
      </c>
      <c r="N78" s="481" t="s">
        <v>3435</v>
      </c>
      <c r="O78" s="481" t="s">
        <v>3469</v>
      </c>
      <c r="P78" s="481" t="s">
        <v>3470</v>
      </c>
      <c r="Q78" s="481" t="s">
        <v>3072</v>
      </c>
      <c r="R78" s="481" t="s">
        <v>3261</v>
      </c>
      <c r="S78" s="480">
        <v>42872</v>
      </c>
      <c r="T78" s="481" t="s">
        <v>3438</v>
      </c>
      <c r="U78" s="480">
        <v>42872</v>
      </c>
      <c r="V78" s="481" t="s">
        <v>231</v>
      </c>
      <c r="W78" s="481" t="s">
        <v>3439</v>
      </c>
      <c r="X78" s="481" t="s">
        <v>3471</v>
      </c>
      <c r="Y78" s="482" t="s">
        <v>3162</v>
      </c>
      <c r="Z78" s="482" t="s">
        <v>3450</v>
      </c>
    </row>
    <row r="79" spans="1:26" x14ac:dyDescent="0.25">
      <c r="A79" s="481">
        <v>410</v>
      </c>
      <c r="B79" s="481" t="s">
        <v>3426</v>
      </c>
      <c r="C79" s="481" t="s">
        <v>3472</v>
      </c>
      <c r="D79" s="481" t="s">
        <v>3473</v>
      </c>
      <c r="E79" s="481"/>
      <c r="F79" s="484">
        <v>42991</v>
      </c>
      <c r="G79" s="481" t="s">
        <v>3429</v>
      </c>
      <c r="H79" s="481" t="s">
        <v>3474</v>
      </c>
      <c r="I79" s="481" t="s">
        <v>3475</v>
      </c>
      <c r="J79" s="481" t="s">
        <v>3476</v>
      </c>
      <c r="K79" s="481" t="s">
        <v>3432</v>
      </c>
      <c r="L79" s="481" t="s">
        <v>3433</v>
      </c>
      <c r="M79" s="481" t="s">
        <v>3477</v>
      </c>
      <c r="N79" s="481" t="s">
        <v>3435</v>
      </c>
      <c r="O79" s="481" t="s">
        <v>3469</v>
      </c>
      <c r="P79" s="481" t="s">
        <v>3478</v>
      </c>
      <c r="Q79" s="481" t="s">
        <v>3072</v>
      </c>
      <c r="R79" s="481" t="s">
        <v>3261</v>
      </c>
      <c r="S79" s="480">
        <v>42991</v>
      </c>
      <c r="T79" s="481" t="s">
        <v>3438</v>
      </c>
      <c r="U79" s="480">
        <v>42991</v>
      </c>
      <c r="V79" s="481"/>
      <c r="W79" s="481" t="s">
        <v>3448</v>
      </c>
      <c r="X79" s="481" t="s">
        <v>3479</v>
      </c>
      <c r="Y79" s="482" t="s">
        <v>3162</v>
      </c>
      <c r="Z79" s="482" t="s">
        <v>3450</v>
      </c>
    </row>
    <row r="80" spans="1:26" x14ac:dyDescent="0.25">
      <c r="A80" s="481">
        <v>411</v>
      </c>
      <c r="B80" s="481" t="s">
        <v>3426</v>
      </c>
      <c r="C80" s="481" t="s">
        <v>3472</v>
      </c>
      <c r="D80" s="481" t="s">
        <v>3480</v>
      </c>
      <c r="E80" s="481"/>
      <c r="F80" s="484">
        <v>44060</v>
      </c>
      <c r="G80" s="481" t="s">
        <v>3481</v>
      </c>
      <c r="H80" s="481" t="s">
        <v>3482</v>
      </c>
      <c r="I80" s="481" t="s">
        <v>3483</v>
      </c>
      <c r="J80" s="481" t="s">
        <v>3484</v>
      </c>
      <c r="K80" s="481" t="s">
        <v>3432</v>
      </c>
      <c r="L80" s="481" t="s">
        <v>3433</v>
      </c>
      <c r="M80" s="481" t="s">
        <v>3485</v>
      </c>
      <c r="N80" s="481" t="s">
        <v>3435</v>
      </c>
      <c r="O80" s="481" t="s">
        <v>3469</v>
      </c>
      <c r="P80" s="481" t="s">
        <v>3486</v>
      </c>
      <c r="Q80" s="481" t="s">
        <v>3072</v>
      </c>
      <c r="R80" s="481" t="s">
        <v>3261</v>
      </c>
      <c r="S80" s="480">
        <v>44060</v>
      </c>
      <c r="T80" s="481" t="s">
        <v>3438</v>
      </c>
      <c r="U80" s="480">
        <v>44060</v>
      </c>
      <c r="V80" s="481"/>
      <c r="W80" s="481" t="s">
        <v>3448</v>
      </c>
      <c r="X80" s="481" t="s">
        <v>3479</v>
      </c>
      <c r="Y80" s="482" t="s">
        <v>3162</v>
      </c>
      <c r="Z80" s="482" t="s">
        <v>3450</v>
      </c>
    </row>
    <row r="81" spans="1:26" x14ac:dyDescent="0.25">
      <c r="A81" s="481">
        <v>412</v>
      </c>
      <c r="B81" s="481" t="s">
        <v>3426</v>
      </c>
      <c r="C81" s="481" t="s">
        <v>3253</v>
      </c>
      <c r="D81" s="481" t="s">
        <v>3487</v>
      </c>
      <c r="E81" s="481"/>
      <c r="F81" s="484">
        <v>40932</v>
      </c>
      <c r="G81" s="481" t="s">
        <v>3488</v>
      </c>
      <c r="H81" s="481" t="s">
        <v>3489</v>
      </c>
      <c r="I81" s="481" t="s">
        <v>3490</v>
      </c>
      <c r="J81" s="481" t="s">
        <v>3491</v>
      </c>
      <c r="K81" s="481" t="s">
        <v>3432</v>
      </c>
      <c r="L81" s="481" t="s">
        <v>3433</v>
      </c>
      <c r="M81" s="481" t="s">
        <v>3492</v>
      </c>
      <c r="N81" s="481" t="s">
        <v>3435</v>
      </c>
      <c r="O81" s="481" t="s">
        <v>3469</v>
      </c>
      <c r="P81" s="481" t="s">
        <v>3493</v>
      </c>
      <c r="Q81" s="481" t="s">
        <v>3072</v>
      </c>
      <c r="R81" s="481" t="s">
        <v>3261</v>
      </c>
      <c r="S81" s="480">
        <v>40932</v>
      </c>
      <c r="T81" s="481" t="s">
        <v>3438</v>
      </c>
      <c r="U81" s="480">
        <v>40932</v>
      </c>
      <c r="V81" s="481"/>
      <c r="W81" s="481" t="s">
        <v>3448</v>
      </c>
      <c r="X81" s="481" t="s">
        <v>3479</v>
      </c>
      <c r="Y81" s="482" t="s">
        <v>3162</v>
      </c>
      <c r="Z81" s="482" t="s">
        <v>3450</v>
      </c>
    </row>
    <row r="82" spans="1:26" x14ac:dyDescent="0.25">
      <c r="A82" s="481">
        <v>413</v>
      </c>
      <c r="B82" s="481" t="s">
        <v>3426</v>
      </c>
      <c r="C82" s="481" t="s">
        <v>3462</v>
      </c>
      <c r="D82" s="481" t="s">
        <v>3494</v>
      </c>
      <c r="E82" s="481"/>
      <c r="F82" s="484">
        <v>41136</v>
      </c>
      <c r="G82" s="481" t="s">
        <v>3495</v>
      </c>
      <c r="H82" s="481" t="s">
        <v>3429</v>
      </c>
      <c r="I82" s="481" t="s">
        <v>3496</v>
      </c>
      <c r="J82" s="481" t="s">
        <v>3497</v>
      </c>
      <c r="K82" s="481" t="s">
        <v>3432</v>
      </c>
      <c r="L82" s="481" t="s">
        <v>3433</v>
      </c>
      <c r="M82" s="481" t="s">
        <v>3498</v>
      </c>
      <c r="N82" s="481" t="s">
        <v>3435</v>
      </c>
      <c r="O82" s="481" t="s">
        <v>3499</v>
      </c>
      <c r="P82" s="481" t="s">
        <v>3500</v>
      </c>
      <c r="Q82" s="481" t="s">
        <v>3386</v>
      </c>
      <c r="R82" s="481" t="s">
        <v>3261</v>
      </c>
      <c r="S82" s="480">
        <v>41136</v>
      </c>
      <c r="T82" s="481" t="s">
        <v>3438</v>
      </c>
      <c r="U82" s="480">
        <v>41136</v>
      </c>
      <c r="V82" s="481"/>
      <c r="W82" s="481" t="s">
        <v>3448</v>
      </c>
      <c r="X82" s="481" t="s">
        <v>3479</v>
      </c>
      <c r="Y82" s="482" t="s">
        <v>3162</v>
      </c>
      <c r="Z82" s="482" t="s">
        <v>3450</v>
      </c>
    </row>
    <row r="83" spans="1:26" x14ac:dyDescent="0.25">
      <c r="A83" s="481">
        <v>414</v>
      </c>
      <c r="B83" s="481" t="s">
        <v>3426</v>
      </c>
      <c r="C83" s="481" t="s">
        <v>3501</v>
      </c>
      <c r="D83" s="481" t="s">
        <v>3502</v>
      </c>
      <c r="E83" s="481"/>
      <c r="F83" s="484">
        <v>41002</v>
      </c>
      <c r="G83" s="481" t="s">
        <v>3429</v>
      </c>
      <c r="H83" s="481" t="s">
        <v>3503</v>
      </c>
      <c r="I83" s="481" t="s">
        <v>3504</v>
      </c>
      <c r="J83" s="481" t="s">
        <v>3505</v>
      </c>
      <c r="K83" s="481" t="s">
        <v>3432</v>
      </c>
      <c r="L83" s="481" t="s">
        <v>3433</v>
      </c>
      <c r="M83" s="481" t="s">
        <v>3506</v>
      </c>
      <c r="N83" s="481" t="s">
        <v>3435</v>
      </c>
      <c r="O83" s="481" t="s">
        <v>3507</v>
      </c>
      <c r="P83" s="481" t="s">
        <v>3508</v>
      </c>
      <c r="Q83" s="481" t="s">
        <v>3072</v>
      </c>
      <c r="R83" s="481" t="s">
        <v>3261</v>
      </c>
      <c r="S83" s="480">
        <v>41002</v>
      </c>
      <c r="T83" s="481" t="s">
        <v>3438</v>
      </c>
      <c r="U83" s="480">
        <v>41002</v>
      </c>
      <c r="V83" s="481"/>
      <c r="W83" s="481" t="s">
        <v>3448</v>
      </c>
      <c r="X83" s="481" t="s">
        <v>3479</v>
      </c>
      <c r="Y83" s="482" t="s">
        <v>3162</v>
      </c>
      <c r="Z83" s="482" t="s">
        <v>3450</v>
      </c>
    </row>
    <row r="84" spans="1:26" x14ac:dyDescent="0.25">
      <c r="A84" s="481">
        <v>415</v>
      </c>
      <c r="B84" s="481" t="s">
        <v>3426</v>
      </c>
      <c r="C84" s="481" t="s">
        <v>3472</v>
      </c>
      <c r="D84" s="481" t="s">
        <v>3509</v>
      </c>
      <c r="E84" s="481"/>
      <c r="F84" s="484">
        <v>44272</v>
      </c>
      <c r="G84" s="481" t="s">
        <v>3510</v>
      </c>
      <c r="H84" s="481" t="s">
        <v>3511</v>
      </c>
      <c r="I84" s="481" t="s">
        <v>3512</v>
      </c>
      <c r="J84" s="481" t="s">
        <v>3513</v>
      </c>
      <c r="K84" s="481" t="s">
        <v>3432</v>
      </c>
      <c r="L84" s="481" t="s">
        <v>3433</v>
      </c>
      <c r="M84" s="481" t="s">
        <v>3514</v>
      </c>
      <c r="N84" s="481" t="s">
        <v>3435</v>
      </c>
      <c r="O84" s="481" t="s">
        <v>3499</v>
      </c>
      <c r="P84" s="481" t="s">
        <v>3515</v>
      </c>
      <c r="Q84" s="481" t="s">
        <v>3072</v>
      </c>
      <c r="R84" s="481" t="s">
        <v>3261</v>
      </c>
      <c r="S84" s="480">
        <v>44272</v>
      </c>
      <c r="T84" s="481" t="s">
        <v>3438</v>
      </c>
      <c r="U84" s="480">
        <v>44272</v>
      </c>
      <c r="V84" s="481"/>
      <c r="W84" s="481" t="s">
        <v>3448</v>
      </c>
      <c r="X84" s="481" t="s">
        <v>3479</v>
      </c>
      <c r="Y84" s="482" t="s">
        <v>3162</v>
      </c>
      <c r="Z84" s="482" t="s">
        <v>3450</v>
      </c>
    </row>
    <row r="85" spans="1:26" x14ac:dyDescent="0.25">
      <c r="A85" s="481">
        <v>416</v>
      </c>
      <c r="B85" s="481" t="s">
        <v>3426</v>
      </c>
      <c r="C85" s="481" t="s">
        <v>3253</v>
      </c>
      <c r="D85" s="481" t="s">
        <v>3516</v>
      </c>
      <c r="E85" s="481"/>
      <c r="F85" s="484">
        <v>44060</v>
      </c>
      <c r="G85" s="481" t="s">
        <v>3517</v>
      </c>
      <c r="H85" s="481" t="s">
        <v>3518</v>
      </c>
      <c r="I85" s="481" t="s">
        <v>3519</v>
      </c>
      <c r="J85" s="481" t="s">
        <v>3520</v>
      </c>
      <c r="K85" s="481" t="s">
        <v>3432</v>
      </c>
      <c r="L85" s="481" t="s">
        <v>3433</v>
      </c>
      <c r="M85" s="481" t="s">
        <v>3521</v>
      </c>
      <c r="N85" s="481" t="s">
        <v>3435</v>
      </c>
      <c r="O85" s="481" t="s">
        <v>3499</v>
      </c>
      <c r="P85" s="481" t="s">
        <v>3522</v>
      </c>
      <c r="Q85" s="481" t="s">
        <v>3386</v>
      </c>
      <c r="R85" s="481" t="s">
        <v>3261</v>
      </c>
      <c r="S85" s="480">
        <v>44060</v>
      </c>
      <c r="T85" s="481" t="s">
        <v>3438</v>
      </c>
      <c r="U85" s="480">
        <v>44060</v>
      </c>
      <c r="V85" s="481"/>
      <c r="W85" s="481" t="s">
        <v>3448</v>
      </c>
      <c r="X85" s="481" t="s">
        <v>3479</v>
      </c>
      <c r="Y85" s="482" t="s">
        <v>3162</v>
      </c>
      <c r="Z85" s="482" t="s">
        <v>3450</v>
      </c>
    </row>
    <row r="86" spans="1:26" x14ac:dyDescent="0.25">
      <c r="A86" s="481">
        <v>417</v>
      </c>
      <c r="B86" s="481" t="s">
        <v>3426</v>
      </c>
      <c r="C86" s="481" t="s">
        <v>3253</v>
      </c>
      <c r="D86" s="481" t="s">
        <v>3523</v>
      </c>
      <c r="E86" s="481"/>
      <c r="F86" s="484">
        <v>44462</v>
      </c>
      <c r="G86" s="481" t="s">
        <v>3517</v>
      </c>
      <c r="H86" s="481" t="s">
        <v>3524</v>
      </c>
      <c r="I86" s="481" t="s">
        <v>3525</v>
      </c>
      <c r="J86" s="481" t="s">
        <v>3526</v>
      </c>
      <c r="K86" s="481" t="s">
        <v>3432</v>
      </c>
      <c r="L86" s="481" t="s">
        <v>3433</v>
      </c>
      <c r="M86" s="481" t="s">
        <v>3527</v>
      </c>
      <c r="N86" s="481" t="s">
        <v>3435</v>
      </c>
      <c r="O86" s="481" t="s">
        <v>3469</v>
      </c>
      <c r="P86" s="481" t="s">
        <v>3522</v>
      </c>
      <c r="Q86" s="481" t="s">
        <v>3386</v>
      </c>
      <c r="R86" s="481" t="s">
        <v>3261</v>
      </c>
      <c r="S86" s="480">
        <v>44462</v>
      </c>
      <c r="T86" s="481" t="s">
        <v>3438</v>
      </c>
      <c r="U86" s="480">
        <v>44462</v>
      </c>
      <c r="V86" s="481"/>
      <c r="W86" s="481" t="s">
        <v>3448</v>
      </c>
      <c r="X86" s="481" t="s">
        <v>3479</v>
      </c>
      <c r="Y86" s="482" t="s">
        <v>3162</v>
      </c>
      <c r="Z86" s="482" t="s">
        <v>3450</v>
      </c>
    </row>
    <row r="87" spans="1:26" x14ac:dyDescent="0.25">
      <c r="A87" s="481">
        <v>418</v>
      </c>
      <c r="B87" s="481" t="s">
        <v>3426</v>
      </c>
      <c r="C87" s="481" t="s">
        <v>3528</v>
      </c>
      <c r="D87" s="481" t="s">
        <v>3529</v>
      </c>
      <c r="E87" s="481"/>
      <c r="F87" s="484">
        <v>44404</v>
      </c>
      <c r="G87" s="481" t="s">
        <v>3530</v>
      </c>
      <c r="H87" s="481" t="s">
        <v>3531</v>
      </c>
      <c r="I87" s="481" t="s">
        <v>3532</v>
      </c>
      <c r="J87" s="481" t="s">
        <v>3533</v>
      </c>
      <c r="K87" s="481" t="s">
        <v>3432</v>
      </c>
      <c r="L87" s="481" t="s">
        <v>3433</v>
      </c>
      <c r="M87" s="481" t="s">
        <v>3534</v>
      </c>
      <c r="N87" s="481" t="s">
        <v>3435</v>
      </c>
      <c r="O87" s="481" t="s">
        <v>3535</v>
      </c>
      <c r="P87" s="481" t="s">
        <v>3536</v>
      </c>
      <c r="Q87" s="481" t="s">
        <v>3072</v>
      </c>
      <c r="R87" s="481" t="s">
        <v>3261</v>
      </c>
      <c r="S87" s="480">
        <v>44404</v>
      </c>
      <c r="T87" s="481" t="s">
        <v>3438</v>
      </c>
      <c r="U87" s="480">
        <v>44404</v>
      </c>
      <c r="V87" s="481"/>
      <c r="W87" s="481" t="s">
        <v>3448</v>
      </c>
      <c r="X87" s="481" t="s">
        <v>3537</v>
      </c>
      <c r="Y87" s="482" t="s">
        <v>3162</v>
      </c>
      <c r="Z87" s="482" t="s">
        <v>3450</v>
      </c>
    </row>
    <row r="88" spans="1:26" x14ac:dyDescent="0.25">
      <c r="A88" s="481">
        <v>419</v>
      </c>
      <c r="B88" s="481" t="s">
        <v>3426</v>
      </c>
      <c r="C88" s="481" t="s">
        <v>3462</v>
      </c>
      <c r="D88" s="481" t="s">
        <v>3538</v>
      </c>
      <c r="E88" s="481"/>
      <c r="F88" s="484">
        <v>43350</v>
      </c>
      <c r="G88" s="481" t="s">
        <v>3481</v>
      </c>
      <c r="H88" s="481" t="s">
        <v>3482</v>
      </c>
      <c r="I88" s="481" t="s">
        <v>3539</v>
      </c>
      <c r="J88" s="481" t="s">
        <v>3540</v>
      </c>
      <c r="K88" s="481" t="s">
        <v>3432</v>
      </c>
      <c r="L88" s="481" t="s">
        <v>3433</v>
      </c>
      <c r="M88" s="481" t="s">
        <v>3541</v>
      </c>
      <c r="N88" s="481" t="s">
        <v>3435</v>
      </c>
      <c r="O88" s="481" t="s">
        <v>3535</v>
      </c>
      <c r="P88" s="481" t="s">
        <v>3542</v>
      </c>
      <c r="Q88" s="481" t="s">
        <v>3386</v>
      </c>
      <c r="R88" s="481" t="s">
        <v>3261</v>
      </c>
      <c r="S88" s="480">
        <v>43350</v>
      </c>
      <c r="T88" s="481" t="s">
        <v>3438</v>
      </c>
      <c r="U88" s="480">
        <v>43350</v>
      </c>
      <c r="V88" s="481"/>
      <c r="W88" s="481" t="s">
        <v>3448</v>
      </c>
      <c r="X88" s="481" t="s">
        <v>3537</v>
      </c>
      <c r="Y88" s="482" t="s">
        <v>3162</v>
      </c>
      <c r="Z88" s="482" t="s">
        <v>3450</v>
      </c>
    </row>
    <row r="89" spans="1:26" x14ac:dyDescent="0.25">
      <c r="A89" s="481">
        <v>420</v>
      </c>
      <c r="B89" s="481" t="s">
        <v>3426</v>
      </c>
      <c r="C89" s="481" t="s">
        <v>3543</v>
      </c>
      <c r="D89" s="481" t="s">
        <v>3544</v>
      </c>
      <c r="E89" s="481"/>
      <c r="F89" s="484">
        <v>42671</v>
      </c>
      <c r="G89" s="481" t="s">
        <v>3481</v>
      </c>
      <c r="H89" s="481" t="s">
        <v>3428</v>
      </c>
      <c r="I89" s="481" t="s">
        <v>3545</v>
      </c>
      <c r="J89" s="481" t="s">
        <v>3546</v>
      </c>
      <c r="K89" s="481" t="s">
        <v>3432</v>
      </c>
      <c r="L89" s="481" t="s">
        <v>3433</v>
      </c>
      <c r="M89" s="481" t="s">
        <v>3547</v>
      </c>
      <c r="N89" s="481" t="s">
        <v>3435</v>
      </c>
      <c r="O89" s="481" t="s">
        <v>3535</v>
      </c>
      <c r="P89" s="481" t="s">
        <v>3548</v>
      </c>
      <c r="Q89" s="481" t="s">
        <v>3386</v>
      </c>
      <c r="R89" s="481" t="s">
        <v>3261</v>
      </c>
      <c r="S89" s="480">
        <v>42671</v>
      </c>
      <c r="T89" s="481" t="s">
        <v>3438</v>
      </c>
      <c r="U89" s="480">
        <v>42671</v>
      </c>
      <c r="V89" s="481"/>
      <c r="W89" s="481" t="s">
        <v>3549</v>
      </c>
      <c r="X89" s="481" t="s">
        <v>3550</v>
      </c>
      <c r="Y89" s="482" t="s">
        <v>3162</v>
      </c>
      <c r="Z89" s="482" t="s">
        <v>3450</v>
      </c>
    </row>
    <row r="90" spans="1:26" x14ac:dyDescent="0.25">
      <c r="A90" s="481">
        <v>421</v>
      </c>
      <c r="B90" s="481" t="s">
        <v>3426</v>
      </c>
      <c r="C90" s="481" t="s">
        <v>2189</v>
      </c>
      <c r="D90" s="481" t="s">
        <v>3551</v>
      </c>
      <c r="E90" s="481"/>
      <c r="F90" s="484">
        <v>41190</v>
      </c>
      <c r="G90" s="481" t="s">
        <v>3481</v>
      </c>
      <c r="H90" s="481" t="s">
        <v>3552</v>
      </c>
      <c r="I90" s="481" t="s">
        <v>3545</v>
      </c>
      <c r="J90" s="481" t="s">
        <v>3553</v>
      </c>
      <c r="K90" s="481" t="s">
        <v>3432</v>
      </c>
      <c r="L90" s="481" t="s">
        <v>3433</v>
      </c>
      <c r="M90" s="481" t="s">
        <v>3554</v>
      </c>
      <c r="N90" s="481" t="s">
        <v>3435</v>
      </c>
      <c r="O90" s="481" t="s">
        <v>3535</v>
      </c>
      <c r="P90" s="481" t="s">
        <v>3555</v>
      </c>
      <c r="Q90" s="481" t="s">
        <v>3386</v>
      </c>
      <c r="R90" s="481" t="s">
        <v>3556</v>
      </c>
      <c r="S90" s="480">
        <v>41190</v>
      </c>
      <c r="T90" s="481" t="s">
        <v>3438</v>
      </c>
      <c r="U90" s="480">
        <v>41190</v>
      </c>
      <c r="V90" s="481"/>
      <c r="W90" s="481" t="s">
        <v>3549</v>
      </c>
      <c r="X90" s="481" t="s">
        <v>3550</v>
      </c>
      <c r="Y90" s="482" t="s">
        <v>3162</v>
      </c>
      <c r="Z90" s="482" t="s">
        <v>3450</v>
      </c>
    </row>
    <row r="91" spans="1:26" x14ac:dyDescent="0.25">
      <c r="A91" s="481">
        <v>422</v>
      </c>
      <c r="B91" s="481" t="s">
        <v>3426</v>
      </c>
      <c r="C91" s="481" t="s">
        <v>3253</v>
      </c>
      <c r="D91" s="481" t="s">
        <v>3557</v>
      </c>
      <c r="E91" s="481"/>
      <c r="F91" s="484">
        <v>36888</v>
      </c>
      <c r="G91" s="481" t="s">
        <v>3558</v>
      </c>
      <c r="H91" s="481" t="s">
        <v>3559</v>
      </c>
      <c r="I91" s="481" t="s">
        <v>3545</v>
      </c>
      <c r="J91" s="481" t="s">
        <v>3560</v>
      </c>
      <c r="K91" s="481" t="s">
        <v>3432</v>
      </c>
      <c r="L91" s="481" t="s">
        <v>3433</v>
      </c>
      <c r="M91" s="481" t="s">
        <v>3561</v>
      </c>
      <c r="N91" s="481" t="s">
        <v>3435</v>
      </c>
      <c r="O91" s="481" t="s">
        <v>3535</v>
      </c>
      <c r="P91" s="481" t="s">
        <v>3562</v>
      </c>
      <c r="Q91" s="481" t="s">
        <v>3386</v>
      </c>
      <c r="R91" s="481" t="s">
        <v>3261</v>
      </c>
      <c r="S91" s="480">
        <v>36888</v>
      </c>
      <c r="T91" s="481" t="s">
        <v>3438</v>
      </c>
      <c r="U91" s="480">
        <v>36888</v>
      </c>
      <c r="V91" s="481"/>
      <c r="W91" s="481" t="s">
        <v>3549</v>
      </c>
      <c r="X91" s="481" t="s">
        <v>3550</v>
      </c>
      <c r="Y91" s="482" t="s">
        <v>3162</v>
      </c>
      <c r="Z91" s="482" t="s">
        <v>3450</v>
      </c>
    </row>
    <row r="92" spans="1:26" x14ac:dyDescent="0.25">
      <c r="A92" s="481">
        <v>423</v>
      </c>
      <c r="B92" s="481" t="s">
        <v>3426</v>
      </c>
      <c r="C92" s="481" t="s">
        <v>3404</v>
      </c>
      <c r="D92" s="481" t="s">
        <v>3563</v>
      </c>
      <c r="E92" s="481"/>
      <c r="F92" s="484">
        <v>42530</v>
      </c>
      <c r="G92" s="481" t="s">
        <v>3428</v>
      </c>
      <c r="H92" s="481" t="s">
        <v>3429</v>
      </c>
      <c r="I92" s="481" t="s">
        <v>3545</v>
      </c>
      <c r="J92" s="481" t="s">
        <v>3564</v>
      </c>
      <c r="K92" s="481" t="s">
        <v>3432</v>
      </c>
      <c r="L92" s="481" t="s">
        <v>3433</v>
      </c>
      <c r="M92" s="481" t="s">
        <v>3565</v>
      </c>
      <c r="N92" s="481" t="s">
        <v>3435</v>
      </c>
      <c r="O92" s="481" t="s">
        <v>3535</v>
      </c>
      <c r="P92" s="481" t="s">
        <v>3566</v>
      </c>
      <c r="Q92" s="481" t="s">
        <v>3072</v>
      </c>
      <c r="R92" s="481" t="s">
        <v>3261</v>
      </c>
      <c r="S92" s="480">
        <v>42530</v>
      </c>
      <c r="T92" s="481" t="s">
        <v>3438</v>
      </c>
      <c r="U92" s="480">
        <v>42530</v>
      </c>
      <c r="V92" s="481"/>
      <c r="W92" s="481" t="s">
        <v>3549</v>
      </c>
      <c r="X92" s="481" t="s">
        <v>3550</v>
      </c>
      <c r="Y92" s="482" t="s">
        <v>3162</v>
      </c>
      <c r="Z92" s="482" t="s">
        <v>3450</v>
      </c>
    </row>
    <row r="93" spans="1:26" x14ac:dyDescent="0.25">
      <c r="A93" s="481">
        <v>424</v>
      </c>
      <c r="B93" s="481" t="s">
        <v>3426</v>
      </c>
      <c r="C93" s="481" t="s">
        <v>1456</v>
      </c>
      <c r="D93" s="481" t="s">
        <v>3567</v>
      </c>
      <c r="E93" s="481"/>
      <c r="F93" s="484">
        <v>42723</v>
      </c>
      <c r="G93" s="481" t="s">
        <v>3568</v>
      </c>
      <c r="H93" s="481" t="s">
        <v>3569</v>
      </c>
      <c r="I93" s="481" t="s">
        <v>3570</v>
      </c>
      <c r="J93" s="481" t="s">
        <v>3571</v>
      </c>
      <c r="K93" s="481" t="s">
        <v>3432</v>
      </c>
      <c r="L93" s="481" t="s">
        <v>3433</v>
      </c>
      <c r="M93" s="481" t="s">
        <v>3572</v>
      </c>
      <c r="N93" s="481" t="s">
        <v>3435</v>
      </c>
      <c r="O93" s="481" t="s">
        <v>3535</v>
      </c>
      <c r="P93" s="481" t="s">
        <v>3573</v>
      </c>
      <c r="Q93" s="481" t="s">
        <v>3386</v>
      </c>
      <c r="R93" s="481" t="s">
        <v>1456</v>
      </c>
      <c r="S93" s="480">
        <v>42723</v>
      </c>
      <c r="T93" s="481" t="s">
        <v>3438</v>
      </c>
      <c r="U93" s="480">
        <v>42723</v>
      </c>
      <c r="V93" s="481"/>
      <c r="W93" s="481" t="s">
        <v>3448</v>
      </c>
      <c r="X93" s="481" t="s">
        <v>3574</v>
      </c>
      <c r="Y93" s="482" t="s">
        <v>3162</v>
      </c>
      <c r="Z93" s="482" t="s">
        <v>3450</v>
      </c>
    </row>
    <row r="94" spans="1:26" x14ac:dyDescent="0.25">
      <c r="A94" s="481">
        <v>425</v>
      </c>
      <c r="B94" s="481" t="s">
        <v>3426</v>
      </c>
      <c r="C94" s="481" t="s">
        <v>3328</v>
      </c>
      <c r="D94" s="481" t="s">
        <v>3575</v>
      </c>
      <c r="E94" s="481"/>
      <c r="F94" s="484">
        <v>42723</v>
      </c>
      <c r="G94" s="481" t="s">
        <v>3481</v>
      </c>
      <c r="H94" s="481" t="s">
        <v>3568</v>
      </c>
      <c r="I94" s="481" t="s">
        <v>3570</v>
      </c>
      <c r="J94" s="481" t="s">
        <v>3576</v>
      </c>
      <c r="K94" s="481" t="s">
        <v>3432</v>
      </c>
      <c r="L94" s="481" t="s">
        <v>3433</v>
      </c>
      <c r="M94" s="481" t="s">
        <v>3577</v>
      </c>
      <c r="N94" s="481" t="s">
        <v>3435</v>
      </c>
      <c r="O94" s="481" t="s">
        <v>3535</v>
      </c>
      <c r="P94" s="481" t="s">
        <v>3578</v>
      </c>
      <c r="Q94" s="481" t="s">
        <v>3386</v>
      </c>
      <c r="R94" s="481" t="s">
        <v>3261</v>
      </c>
      <c r="S94" s="480">
        <v>42723</v>
      </c>
      <c r="T94" s="481" t="s">
        <v>3438</v>
      </c>
      <c r="U94" s="480">
        <v>42723</v>
      </c>
      <c r="V94" s="481"/>
      <c r="W94" s="481" t="s">
        <v>3448</v>
      </c>
      <c r="X94" s="481" t="s">
        <v>3574</v>
      </c>
      <c r="Y94" s="482" t="s">
        <v>3162</v>
      </c>
      <c r="Z94" s="482" t="s">
        <v>3450</v>
      </c>
    </row>
    <row r="95" spans="1:26" x14ac:dyDescent="0.25">
      <c r="A95" s="481">
        <v>426</v>
      </c>
      <c r="B95" s="481" t="s">
        <v>3426</v>
      </c>
      <c r="C95" s="481" t="s">
        <v>3579</v>
      </c>
      <c r="D95" s="481" t="s">
        <v>3580</v>
      </c>
      <c r="E95" s="481"/>
      <c r="F95" s="484">
        <v>41592</v>
      </c>
      <c r="G95" s="481" t="s">
        <v>3581</v>
      </c>
      <c r="H95" s="481" t="s">
        <v>3582</v>
      </c>
      <c r="I95" s="481" t="s">
        <v>3583</v>
      </c>
      <c r="J95" s="481" t="s">
        <v>3584</v>
      </c>
      <c r="K95" s="481" t="s">
        <v>3432</v>
      </c>
      <c r="L95" s="481" t="s">
        <v>3433</v>
      </c>
      <c r="M95" s="481" t="s">
        <v>3585</v>
      </c>
      <c r="N95" s="481" t="s">
        <v>3435</v>
      </c>
      <c r="O95" s="481" t="s">
        <v>3535</v>
      </c>
      <c r="P95" s="481" t="s">
        <v>3586</v>
      </c>
      <c r="Q95" s="481" t="s">
        <v>3386</v>
      </c>
      <c r="R95" s="481" t="s">
        <v>3587</v>
      </c>
      <c r="S95" s="480">
        <v>41592</v>
      </c>
      <c r="T95" s="481" t="s">
        <v>3438</v>
      </c>
      <c r="U95" s="480">
        <v>41592</v>
      </c>
      <c r="V95" s="481"/>
      <c r="W95" s="481" t="s">
        <v>3448</v>
      </c>
      <c r="X95" s="481" t="s">
        <v>3574</v>
      </c>
      <c r="Y95" s="482" t="s">
        <v>3162</v>
      </c>
      <c r="Z95" s="482" t="s">
        <v>3450</v>
      </c>
    </row>
    <row r="96" spans="1:26" x14ac:dyDescent="0.25">
      <c r="A96" s="481">
        <v>427</v>
      </c>
      <c r="B96" s="481" t="s">
        <v>3426</v>
      </c>
      <c r="C96" s="481" t="s">
        <v>3588</v>
      </c>
      <c r="D96" s="481" t="s">
        <v>3589</v>
      </c>
      <c r="E96" s="481"/>
      <c r="F96" s="484">
        <v>43462</v>
      </c>
      <c r="G96" s="481" t="s">
        <v>3590</v>
      </c>
      <c r="H96" s="481" t="s">
        <v>3591</v>
      </c>
      <c r="I96" s="481" t="s">
        <v>3592</v>
      </c>
      <c r="J96" s="481" t="s">
        <v>3593</v>
      </c>
      <c r="K96" s="481" t="s">
        <v>3432</v>
      </c>
      <c r="L96" s="481" t="s">
        <v>3433</v>
      </c>
      <c r="M96" s="481" t="s">
        <v>3594</v>
      </c>
      <c r="N96" s="481" t="s">
        <v>3435</v>
      </c>
      <c r="O96" s="481" t="s">
        <v>3535</v>
      </c>
      <c r="P96" s="481" t="s">
        <v>3595</v>
      </c>
      <c r="Q96" s="481" t="s">
        <v>3072</v>
      </c>
      <c r="R96" s="481" t="s">
        <v>3261</v>
      </c>
      <c r="S96" s="480">
        <v>43462</v>
      </c>
      <c r="T96" s="481" t="s">
        <v>3438</v>
      </c>
      <c r="U96" s="480">
        <v>43462</v>
      </c>
      <c r="V96" s="481"/>
      <c r="W96" s="481" t="s">
        <v>3448</v>
      </c>
      <c r="X96" s="481" t="s">
        <v>3574</v>
      </c>
      <c r="Y96" s="482" t="s">
        <v>3162</v>
      </c>
      <c r="Z96" s="482" t="s">
        <v>3450</v>
      </c>
    </row>
    <row r="97" spans="1:26" x14ac:dyDescent="0.25">
      <c r="A97" s="481">
        <v>428</v>
      </c>
      <c r="B97" s="481" t="s">
        <v>3426</v>
      </c>
      <c r="C97" s="481" t="s">
        <v>3596</v>
      </c>
      <c r="D97" s="481" t="s">
        <v>3597</v>
      </c>
      <c r="E97" s="481"/>
      <c r="F97" s="484">
        <v>41232</v>
      </c>
      <c r="G97" s="481" t="s">
        <v>3598</v>
      </c>
      <c r="H97" s="481" t="s">
        <v>3599</v>
      </c>
      <c r="I97" s="481" t="s">
        <v>3600</v>
      </c>
      <c r="J97" s="481" t="s">
        <v>3601</v>
      </c>
      <c r="K97" s="481" t="s">
        <v>3432</v>
      </c>
      <c r="L97" s="481" t="s">
        <v>3433</v>
      </c>
      <c r="M97" s="481" t="s">
        <v>3602</v>
      </c>
      <c r="N97" s="481" t="s">
        <v>3435</v>
      </c>
      <c r="O97" s="481" t="s">
        <v>3535</v>
      </c>
      <c r="P97" s="481" t="s">
        <v>3603</v>
      </c>
      <c r="Q97" s="481" t="s">
        <v>3386</v>
      </c>
      <c r="R97" s="481" t="s">
        <v>3587</v>
      </c>
      <c r="S97" s="480">
        <v>41232</v>
      </c>
      <c r="T97" s="481" t="s">
        <v>3438</v>
      </c>
      <c r="U97" s="480">
        <v>41232</v>
      </c>
      <c r="V97" s="481"/>
      <c r="W97" s="481" t="s">
        <v>3448</v>
      </c>
      <c r="X97" s="481" t="s">
        <v>3574</v>
      </c>
      <c r="Y97" s="482" t="s">
        <v>3162</v>
      </c>
      <c r="Z97" s="482" t="s">
        <v>3450</v>
      </c>
    </row>
    <row r="98" spans="1:26" x14ac:dyDescent="0.25">
      <c r="A98" s="481">
        <v>429</v>
      </c>
      <c r="B98" s="481" t="s">
        <v>3426</v>
      </c>
      <c r="C98" s="481" t="s">
        <v>2189</v>
      </c>
      <c r="D98" s="481" t="s">
        <v>3604</v>
      </c>
      <c r="E98" s="481"/>
      <c r="F98" s="484">
        <v>41387</v>
      </c>
      <c r="G98" s="481" t="s">
        <v>3605</v>
      </c>
      <c r="H98" s="481" t="s">
        <v>3606</v>
      </c>
      <c r="I98" s="481" t="s">
        <v>3607</v>
      </c>
      <c r="J98" s="481" t="s">
        <v>3608</v>
      </c>
      <c r="K98" s="481" t="s">
        <v>3432</v>
      </c>
      <c r="L98" s="481" t="s">
        <v>3433</v>
      </c>
      <c r="M98" s="481" t="s">
        <v>3609</v>
      </c>
      <c r="N98" s="481" t="s">
        <v>3435</v>
      </c>
      <c r="O98" s="481" t="s">
        <v>3535</v>
      </c>
      <c r="P98" s="481" t="s">
        <v>3610</v>
      </c>
      <c r="Q98" s="481" t="s">
        <v>3386</v>
      </c>
      <c r="R98" s="481" t="s">
        <v>3556</v>
      </c>
      <c r="S98" s="480">
        <v>41387</v>
      </c>
      <c r="T98" s="481" t="s">
        <v>3438</v>
      </c>
      <c r="U98" s="480">
        <v>41387</v>
      </c>
      <c r="V98" s="481"/>
      <c r="W98" s="481" t="s">
        <v>3448</v>
      </c>
      <c r="X98" s="481" t="s">
        <v>3574</v>
      </c>
      <c r="Y98" s="482" t="s">
        <v>3162</v>
      </c>
      <c r="Z98" s="482" t="s">
        <v>3450</v>
      </c>
    </row>
    <row r="99" spans="1:26" x14ac:dyDescent="0.25">
      <c r="A99" s="481">
        <v>430</v>
      </c>
      <c r="B99" s="481" t="s">
        <v>3426</v>
      </c>
      <c r="C99" s="481" t="s">
        <v>3328</v>
      </c>
      <c r="D99" s="481" t="s">
        <v>3611</v>
      </c>
      <c r="E99" s="481"/>
      <c r="F99" s="484">
        <v>42886</v>
      </c>
      <c r="G99" s="481" t="s">
        <v>3612</v>
      </c>
      <c r="H99" s="481" t="s">
        <v>3443</v>
      </c>
      <c r="I99" s="481" t="s">
        <v>3613</v>
      </c>
      <c r="J99" s="481" t="s">
        <v>3614</v>
      </c>
      <c r="K99" s="481" t="s">
        <v>3432</v>
      </c>
      <c r="L99" s="481" t="s">
        <v>3433</v>
      </c>
      <c r="M99" s="481" t="s">
        <v>3615</v>
      </c>
      <c r="N99" s="481" t="s">
        <v>3435</v>
      </c>
      <c r="O99" s="481" t="s">
        <v>3535</v>
      </c>
      <c r="P99" s="481" t="s">
        <v>3616</v>
      </c>
      <c r="Q99" s="481" t="s">
        <v>3386</v>
      </c>
      <c r="R99" s="481" t="s">
        <v>3261</v>
      </c>
      <c r="S99" s="480">
        <v>42886</v>
      </c>
      <c r="T99" s="481" t="s">
        <v>3438</v>
      </c>
      <c r="U99" s="480">
        <v>42886</v>
      </c>
      <c r="V99" s="481"/>
      <c r="W99" s="481" t="s">
        <v>3549</v>
      </c>
      <c r="X99" s="481" t="s">
        <v>3550</v>
      </c>
      <c r="Y99" s="482" t="s">
        <v>3162</v>
      </c>
      <c r="Z99" s="482" t="s">
        <v>3450</v>
      </c>
    </row>
    <row r="100" spans="1:26" x14ac:dyDescent="0.25">
      <c r="A100" s="481">
        <v>431</v>
      </c>
      <c r="B100" s="481" t="s">
        <v>3617</v>
      </c>
      <c r="C100" s="481" t="s">
        <v>3618</v>
      </c>
      <c r="D100" s="481" t="s">
        <v>3619</v>
      </c>
      <c r="E100" s="481" t="s">
        <v>3062</v>
      </c>
      <c r="F100" s="484">
        <v>36600</v>
      </c>
      <c r="G100" s="481" t="s">
        <v>3620</v>
      </c>
      <c r="H100" s="481" t="s">
        <v>3621</v>
      </c>
      <c r="I100" s="481" t="s">
        <v>3622</v>
      </c>
      <c r="J100" s="481" t="s">
        <v>3623</v>
      </c>
      <c r="K100" s="481" t="s">
        <v>3624</v>
      </c>
      <c r="L100" s="481" t="s">
        <v>3625</v>
      </c>
      <c r="M100" s="481" t="s">
        <v>3626</v>
      </c>
      <c r="N100" s="481" t="s">
        <v>3627</v>
      </c>
      <c r="O100" s="481" t="s">
        <v>3626</v>
      </c>
      <c r="P100" s="481" t="s">
        <v>3628</v>
      </c>
      <c r="Q100" s="481" t="s">
        <v>3072</v>
      </c>
      <c r="R100" s="481" t="s">
        <v>1456</v>
      </c>
      <c r="S100" s="480">
        <v>36600</v>
      </c>
      <c r="T100" s="481" t="s">
        <v>3629</v>
      </c>
      <c r="U100" s="480">
        <v>36600</v>
      </c>
      <c r="V100" s="481" t="s">
        <v>231</v>
      </c>
      <c r="W100" s="481" t="s">
        <v>3630</v>
      </c>
      <c r="X100" s="481" t="s">
        <v>3631</v>
      </c>
      <c r="Y100" s="482" t="s">
        <v>3632</v>
      </c>
      <c r="Z100" s="482" t="s">
        <v>3633</v>
      </c>
    </row>
    <row r="101" spans="1:26" x14ac:dyDescent="0.25">
      <c r="A101" s="481">
        <v>432</v>
      </c>
      <c r="B101" s="481" t="s">
        <v>3617</v>
      </c>
      <c r="C101" s="481" t="s">
        <v>3634</v>
      </c>
      <c r="D101" s="481" t="s">
        <v>3635</v>
      </c>
      <c r="E101" s="481" t="s">
        <v>3062</v>
      </c>
      <c r="F101" s="484">
        <v>36612</v>
      </c>
      <c r="G101" s="481" t="s">
        <v>3636</v>
      </c>
      <c r="H101" s="481" t="s">
        <v>3620</v>
      </c>
      <c r="I101" s="481" t="s">
        <v>3637</v>
      </c>
      <c r="J101" s="481" t="s">
        <v>3638</v>
      </c>
      <c r="K101" s="481" t="s">
        <v>3624</v>
      </c>
      <c r="L101" s="481" t="s">
        <v>3625</v>
      </c>
      <c r="M101" s="481" t="s">
        <v>3639</v>
      </c>
      <c r="N101" s="481" t="s">
        <v>3627</v>
      </c>
      <c r="O101" s="481" t="s">
        <v>3639</v>
      </c>
      <c r="P101" s="481" t="s">
        <v>3628</v>
      </c>
      <c r="Q101" s="481" t="s">
        <v>3072</v>
      </c>
      <c r="R101" s="481" t="s">
        <v>3063</v>
      </c>
      <c r="S101" s="480">
        <v>36612</v>
      </c>
      <c r="T101" s="481" t="s">
        <v>3629</v>
      </c>
      <c r="U101" s="480">
        <v>36612</v>
      </c>
      <c r="V101" s="481" t="s">
        <v>231</v>
      </c>
      <c r="W101" s="481" t="s">
        <v>3640</v>
      </c>
      <c r="X101" s="481" t="s">
        <v>3631</v>
      </c>
      <c r="Y101" s="482" t="s">
        <v>3632</v>
      </c>
      <c r="Z101" s="482" t="s">
        <v>3633</v>
      </c>
    </row>
    <row r="102" spans="1:26" x14ac:dyDescent="0.25">
      <c r="A102" s="481">
        <v>436</v>
      </c>
      <c r="B102" s="481" t="s">
        <v>3617</v>
      </c>
      <c r="C102" s="481" t="s">
        <v>3634</v>
      </c>
      <c r="D102" s="481" t="s">
        <v>3641</v>
      </c>
      <c r="E102" s="481" t="s">
        <v>3062</v>
      </c>
      <c r="F102" s="484">
        <v>36613</v>
      </c>
      <c r="G102" s="481" t="s">
        <v>3642</v>
      </c>
      <c r="H102" s="481" t="s">
        <v>3643</v>
      </c>
      <c r="I102" s="481" t="s">
        <v>3644</v>
      </c>
      <c r="J102" s="481" t="s">
        <v>3645</v>
      </c>
      <c r="K102" s="481" t="s">
        <v>3624</v>
      </c>
      <c r="L102" s="481" t="s">
        <v>3625</v>
      </c>
      <c r="M102" s="481" t="s">
        <v>3646</v>
      </c>
      <c r="N102" s="481" t="s">
        <v>3627</v>
      </c>
      <c r="O102" s="481" t="s">
        <v>3646</v>
      </c>
      <c r="P102" s="481" t="s">
        <v>3628</v>
      </c>
      <c r="Q102" s="481" t="s">
        <v>3072</v>
      </c>
      <c r="R102" s="481" t="s">
        <v>3063</v>
      </c>
      <c r="S102" s="480">
        <v>36613</v>
      </c>
      <c r="T102" s="481" t="s">
        <v>3629</v>
      </c>
      <c r="U102" s="480">
        <v>36613</v>
      </c>
      <c r="V102" s="481" t="s">
        <v>231</v>
      </c>
      <c r="W102" s="481" t="s">
        <v>173</v>
      </c>
      <c r="X102" s="481" t="s">
        <v>3631</v>
      </c>
      <c r="Y102" s="482" t="s">
        <v>3632</v>
      </c>
      <c r="Z102" s="482" t="s">
        <v>3633</v>
      </c>
    </row>
    <row r="103" spans="1:26" x14ac:dyDescent="0.25">
      <c r="A103" s="481">
        <v>440</v>
      </c>
      <c r="B103" s="481" t="s">
        <v>3617</v>
      </c>
      <c r="C103" s="481" t="s">
        <v>3634</v>
      </c>
      <c r="D103" s="481" t="s">
        <v>3647</v>
      </c>
      <c r="E103" s="481" t="s">
        <v>3062</v>
      </c>
      <c r="F103" s="484">
        <v>36613</v>
      </c>
      <c r="G103" s="481" t="s">
        <v>3648</v>
      </c>
      <c r="H103" s="481" t="s">
        <v>3643</v>
      </c>
      <c r="I103" s="481" t="s">
        <v>3644</v>
      </c>
      <c r="J103" s="481" t="s">
        <v>3649</v>
      </c>
      <c r="K103" s="481" t="s">
        <v>3624</v>
      </c>
      <c r="L103" s="481" t="s">
        <v>3625</v>
      </c>
      <c r="M103" s="481" t="s">
        <v>3650</v>
      </c>
      <c r="N103" s="481" t="s">
        <v>3627</v>
      </c>
      <c r="O103" s="481" t="s">
        <v>3650</v>
      </c>
      <c r="P103" s="481" t="s">
        <v>3628</v>
      </c>
      <c r="Q103" s="481" t="s">
        <v>3072</v>
      </c>
      <c r="R103" s="481" t="s">
        <v>3063</v>
      </c>
      <c r="S103" s="480">
        <v>36613</v>
      </c>
      <c r="T103" s="481" t="s">
        <v>3629</v>
      </c>
      <c r="U103" s="480">
        <v>36613</v>
      </c>
      <c r="V103" s="481" t="s">
        <v>231</v>
      </c>
      <c r="W103" s="481" t="s">
        <v>173</v>
      </c>
      <c r="X103" s="481" t="s">
        <v>3631</v>
      </c>
      <c r="Y103" s="482" t="s">
        <v>3632</v>
      </c>
      <c r="Z103" s="482" t="s">
        <v>3633</v>
      </c>
    </row>
    <row r="104" spans="1:26" x14ac:dyDescent="0.25">
      <c r="A104" s="481">
        <v>444</v>
      </c>
      <c r="B104" s="481" t="s">
        <v>3617</v>
      </c>
      <c r="C104" s="481" t="s">
        <v>3618</v>
      </c>
      <c r="D104" s="481" t="s">
        <v>3651</v>
      </c>
      <c r="E104" s="481"/>
      <c r="F104" s="484">
        <v>39336</v>
      </c>
      <c r="G104" s="481" t="s">
        <v>3652</v>
      </c>
      <c r="H104" s="481" t="s">
        <v>3653</v>
      </c>
      <c r="I104" s="481" t="s">
        <v>3644</v>
      </c>
      <c r="J104" s="481" t="s">
        <v>3654</v>
      </c>
      <c r="K104" s="481" t="s">
        <v>3624</v>
      </c>
      <c r="L104" s="481" t="s">
        <v>3625</v>
      </c>
      <c r="M104" s="481" t="s">
        <v>3655</v>
      </c>
      <c r="N104" s="481" t="s">
        <v>3627</v>
      </c>
      <c r="O104" s="481" t="s">
        <v>3655</v>
      </c>
      <c r="P104" s="481" t="s">
        <v>3628</v>
      </c>
      <c r="Q104" s="481" t="s">
        <v>3072</v>
      </c>
      <c r="R104" s="481" t="s">
        <v>1456</v>
      </c>
      <c r="S104" s="480">
        <v>39336</v>
      </c>
      <c r="T104" s="481" t="s">
        <v>3629</v>
      </c>
      <c r="U104" s="480">
        <v>39336</v>
      </c>
      <c r="V104" s="481" t="s">
        <v>231</v>
      </c>
      <c r="W104" s="481" t="s">
        <v>173</v>
      </c>
      <c r="X104" s="481" t="s">
        <v>3631</v>
      </c>
      <c r="Y104" s="482" t="s">
        <v>3632</v>
      </c>
      <c r="Z104" s="482" t="s">
        <v>3633</v>
      </c>
    </row>
    <row r="105" spans="1:26" x14ac:dyDescent="0.25">
      <c r="A105" s="481">
        <v>448</v>
      </c>
      <c r="B105" s="481" t="s">
        <v>3617</v>
      </c>
      <c r="C105" s="481" t="s">
        <v>3634</v>
      </c>
      <c r="D105" s="481" t="s">
        <v>3656</v>
      </c>
      <c r="E105" s="481"/>
      <c r="F105" s="484">
        <v>36564</v>
      </c>
      <c r="G105" s="481" t="s">
        <v>3657</v>
      </c>
      <c r="H105" s="481" t="s">
        <v>3658</v>
      </c>
      <c r="I105" s="481" t="s">
        <v>3659</v>
      </c>
      <c r="J105" s="481" t="s">
        <v>3660</v>
      </c>
      <c r="K105" s="481" t="s">
        <v>3624</v>
      </c>
      <c r="L105" s="481" t="s">
        <v>3661</v>
      </c>
      <c r="M105" s="481" t="s">
        <v>3662</v>
      </c>
      <c r="N105" s="481" t="s">
        <v>3627</v>
      </c>
      <c r="O105" s="481" t="s">
        <v>3662</v>
      </c>
      <c r="P105" s="481" t="s">
        <v>3628</v>
      </c>
      <c r="Q105" s="481" t="s">
        <v>3072</v>
      </c>
      <c r="R105" s="481" t="s">
        <v>3063</v>
      </c>
      <c r="S105" s="480">
        <v>36564</v>
      </c>
      <c r="T105" s="481" t="s">
        <v>3629</v>
      </c>
      <c r="U105" s="480">
        <v>36564</v>
      </c>
      <c r="V105" s="481" t="s">
        <v>231</v>
      </c>
      <c r="W105" s="481" t="s">
        <v>3663</v>
      </c>
      <c r="X105" s="481" t="s">
        <v>3631</v>
      </c>
      <c r="Y105" s="482" t="s">
        <v>3632</v>
      </c>
      <c r="Z105" s="482" t="s">
        <v>3633</v>
      </c>
    </row>
    <row r="106" spans="1:26" x14ac:dyDescent="0.25">
      <c r="A106" s="481">
        <v>451</v>
      </c>
      <c r="B106" s="481" t="s">
        <v>3617</v>
      </c>
      <c r="C106" s="481" t="s">
        <v>3634</v>
      </c>
      <c r="D106" s="481" t="s">
        <v>3664</v>
      </c>
      <c r="E106" s="481"/>
      <c r="F106" s="484">
        <v>36564</v>
      </c>
      <c r="G106" s="481" t="s">
        <v>3665</v>
      </c>
      <c r="H106" s="481" t="s">
        <v>3658</v>
      </c>
      <c r="I106" s="481" t="s">
        <v>3666</v>
      </c>
      <c r="J106" s="481" t="s">
        <v>3667</v>
      </c>
      <c r="K106" s="481" t="s">
        <v>3624</v>
      </c>
      <c r="L106" s="481" t="s">
        <v>3661</v>
      </c>
      <c r="M106" s="481" t="s">
        <v>3668</v>
      </c>
      <c r="N106" s="481" t="s">
        <v>3627</v>
      </c>
      <c r="O106" s="481" t="s">
        <v>3668</v>
      </c>
      <c r="P106" s="481" t="s">
        <v>3628</v>
      </c>
      <c r="Q106" s="481" t="s">
        <v>3386</v>
      </c>
      <c r="R106" s="481" t="s">
        <v>3063</v>
      </c>
      <c r="S106" s="480">
        <v>36564</v>
      </c>
      <c r="T106" s="481" t="s">
        <v>3629</v>
      </c>
      <c r="U106" s="480">
        <v>36564</v>
      </c>
      <c r="V106" s="481" t="s">
        <v>231</v>
      </c>
      <c r="W106" s="481" t="s">
        <v>128</v>
      </c>
      <c r="X106" s="481" t="s">
        <v>3669</v>
      </c>
      <c r="Y106" s="482" t="s">
        <v>3632</v>
      </c>
      <c r="Z106" s="482" t="s">
        <v>3633</v>
      </c>
    </row>
    <row r="107" spans="1:26" x14ac:dyDescent="0.25">
      <c r="A107" s="481">
        <v>453</v>
      </c>
      <c r="B107" s="481" t="s">
        <v>3617</v>
      </c>
      <c r="C107" s="481" t="s">
        <v>3634</v>
      </c>
      <c r="D107" s="481" t="s">
        <v>3670</v>
      </c>
      <c r="E107" s="481"/>
      <c r="F107" s="484">
        <v>36564</v>
      </c>
      <c r="G107" s="481" t="s">
        <v>3671</v>
      </c>
      <c r="H107" s="481" t="s">
        <v>3658</v>
      </c>
      <c r="I107" s="481" t="s">
        <v>3659</v>
      </c>
      <c r="J107" s="481" t="s">
        <v>3672</v>
      </c>
      <c r="K107" s="481" t="s">
        <v>3624</v>
      </c>
      <c r="L107" s="481" t="s">
        <v>3661</v>
      </c>
      <c r="M107" s="481" t="s">
        <v>3673</v>
      </c>
      <c r="N107" s="481" t="s">
        <v>3627</v>
      </c>
      <c r="O107" s="481" t="s">
        <v>3673</v>
      </c>
      <c r="P107" s="481" t="s">
        <v>3628</v>
      </c>
      <c r="Q107" s="481" t="s">
        <v>3072</v>
      </c>
      <c r="R107" s="481" t="s">
        <v>3063</v>
      </c>
      <c r="S107" s="480">
        <v>36564</v>
      </c>
      <c r="T107" s="481" t="s">
        <v>3629</v>
      </c>
      <c r="U107" s="480">
        <v>36564</v>
      </c>
      <c r="V107" s="481" t="s">
        <v>231</v>
      </c>
      <c r="W107" s="481" t="s">
        <v>3663</v>
      </c>
      <c r="X107" s="481" t="s">
        <v>3631</v>
      </c>
      <c r="Y107" s="482" t="s">
        <v>3632</v>
      </c>
      <c r="Z107" s="482" t="s">
        <v>3633</v>
      </c>
    </row>
    <row r="108" spans="1:26" x14ac:dyDescent="0.25">
      <c r="A108" s="481">
        <v>456</v>
      </c>
      <c r="B108" s="481" t="s">
        <v>3617</v>
      </c>
      <c r="C108" s="481" t="s">
        <v>3634</v>
      </c>
      <c r="D108" s="481" t="s">
        <v>3674</v>
      </c>
      <c r="E108" s="481"/>
      <c r="F108" s="484">
        <v>36565</v>
      </c>
      <c r="G108" s="481" t="s">
        <v>3675</v>
      </c>
      <c r="H108" s="481" t="s">
        <v>3620</v>
      </c>
      <c r="I108" s="481" t="s">
        <v>3676</v>
      </c>
      <c r="J108" s="481" t="s">
        <v>3677</v>
      </c>
      <c r="K108" s="481" t="s">
        <v>3624</v>
      </c>
      <c r="L108" s="481" t="s">
        <v>3661</v>
      </c>
      <c r="M108" s="481" t="s">
        <v>3678</v>
      </c>
      <c r="N108" s="481" t="s">
        <v>3627</v>
      </c>
      <c r="O108" s="481" t="s">
        <v>3678</v>
      </c>
      <c r="P108" s="481" t="s">
        <v>3628</v>
      </c>
      <c r="Q108" s="481" t="s">
        <v>3072</v>
      </c>
      <c r="R108" s="481" t="s">
        <v>3063</v>
      </c>
      <c r="S108" s="480">
        <v>36565</v>
      </c>
      <c r="T108" s="481" t="s">
        <v>3629</v>
      </c>
      <c r="U108" s="480">
        <v>36565</v>
      </c>
      <c r="V108" s="481" t="s">
        <v>231</v>
      </c>
      <c r="W108" s="481" t="s">
        <v>3679</v>
      </c>
      <c r="X108" s="481" t="s">
        <v>3631</v>
      </c>
      <c r="Y108" s="482" t="s">
        <v>3632</v>
      </c>
      <c r="Z108" s="482" t="s">
        <v>3633</v>
      </c>
    </row>
    <row r="109" spans="1:26" x14ac:dyDescent="0.25">
      <c r="A109" s="481">
        <v>457</v>
      </c>
      <c r="B109" s="481" t="s">
        <v>3617</v>
      </c>
      <c r="C109" s="481" t="s">
        <v>3634</v>
      </c>
      <c r="D109" s="481" t="s">
        <v>3680</v>
      </c>
      <c r="E109" s="481"/>
      <c r="F109" s="484">
        <v>36565</v>
      </c>
      <c r="G109" s="481" t="s">
        <v>3681</v>
      </c>
      <c r="H109" s="481" t="s">
        <v>3620</v>
      </c>
      <c r="I109" s="481" t="s">
        <v>3676</v>
      </c>
      <c r="J109" s="481" t="s">
        <v>3682</v>
      </c>
      <c r="K109" s="481" t="s">
        <v>3624</v>
      </c>
      <c r="L109" s="481" t="s">
        <v>3661</v>
      </c>
      <c r="M109" s="481" t="s">
        <v>3683</v>
      </c>
      <c r="N109" s="481" t="s">
        <v>3627</v>
      </c>
      <c r="O109" s="481" t="s">
        <v>3683</v>
      </c>
      <c r="P109" s="481" t="s">
        <v>3628</v>
      </c>
      <c r="Q109" s="481" t="s">
        <v>3072</v>
      </c>
      <c r="R109" s="481" t="s">
        <v>3063</v>
      </c>
      <c r="S109" s="480">
        <v>36565</v>
      </c>
      <c r="T109" s="481" t="s">
        <v>3629</v>
      </c>
      <c r="U109" s="480">
        <v>36565</v>
      </c>
      <c r="V109" s="481" t="s">
        <v>231</v>
      </c>
      <c r="W109" s="481" t="s">
        <v>3679</v>
      </c>
      <c r="X109" s="481" t="s">
        <v>3631</v>
      </c>
      <c r="Y109" s="482" t="s">
        <v>3632</v>
      </c>
      <c r="Z109" s="482" t="s">
        <v>3633</v>
      </c>
    </row>
    <row r="110" spans="1:26" x14ac:dyDescent="0.25">
      <c r="A110" s="481">
        <v>458</v>
      </c>
      <c r="B110" s="481" t="s">
        <v>3617</v>
      </c>
      <c r="C110" s="481" t="s">
        <v>3634</v>
      </c>
      <c r="D110" s="481" t="s">
        <v>3684</v>
      </c>
      <c r="E110" s="481"/>
      <c r="F110" s="484">
        <v>36565</v>
      </c>
      <c r="G110" s="481" t="s">
        <v>3685</v>
      </c>
      <c r="H110" s="481" t="s">
        <v>3620</v>
      </c>
      <c r="I110" s="481" t="s">
        <v>3686</v>
      </c>
      <c r="J110" s="481" t="s">
        <v>3687</v>
      </c>
      <c r="K110" s="481" t="s">
        <v>3624</v>
      </c>
      <c r="L110" s="481" t="s">
        <v>3661</v>
      </c>
      <c r="M110" s="481" t="s">
        <v>3688</v>
      </c>
      <c r="N110" s="481" t="s">
        <v>3627</v>
      </c>
      <c r="O110" s="481" t="s">
        <v>3688</v>
      </c>
      <c r="P110" s="481" t="s">
        <v>3628</v>
      </c>
      <c r="Q110" s="481" t="s">
        <v>3072</v>
      </c>
      <c r="R110" s="481" t="s">
        <v>3063</v>
      </c>
      <c r="S110" s="480">
        <v>36565</v>
      </c>
      <c r="T110" s="481" t="s">
        <v>3629</v>
      </c>
      <c r="U110" s="480">
        <v>36565</v>
      </c>
      <c r="V110" s="481" t="s">
        <v>231</v>
      </c>
      <c r="W110" s="481" t="s">
        <v>3689</v>
      </c>
      <c r="X110" s="481" t="s">
        <v>3631</v>
      </c>
      <c r="Y110" s="482" t="s">
        <v>3632</v>
      </c>
      <c r="Z110" s="482" t="s">
        <v>3633</v>
      </c>
    </row>
    <row r="111" spans="1:26" x14ac:dyDescent="0.25">
      <c r="A111" s="481">
        <v>460</v>
      </c>
      <c r="B111" s="481" t="s">
        <v>3617</v>
      </c>
      <c r="C111" s="481" t="s">
        <v>3634</v>
      </c>
      <c r="D111" s="481" t="s">
        <v>3690</v>
      </c>
      <c r="E111" s="481"/>
      <c r="F111" s="484">
        <v>36565</v>
      </c>
      <c r="G111" s="481" t="s">
        <v>3691</v>
      </c>
      <c r="H111" s="481" t="s">
        <v>3620</v>
      </c>
      <c r="I111" s="481" t="s">
        <v>3676</v>
      </c>
      <c r="J111" s="481" t="s">
        <v>3692</v>
      </c>
      <c r="K111" s="481" t="s">
        <v>3624</v>
      </c>
      <c r="L111" s="481" t="s">
        <v>3693</v>
      </c>
      <c r="M111" s="481" t="s">
        <v>3694</v>
      </c>
      <c r="N111" s="481" t="s">
        <v>3627</v>
      </c>
      <c r="O111" s="481" t="s">
        <v>3694</v>
      </c>
      <c r="P111" s="481" t="s">
        <v>3628</v>
      </c>
      <c r="Q111" s="481" t="s">
        <v>3072</v>
      </c>
      <c r="R111" s="481" t="s">
        <v>3063</v>
      </c>
      <c r="S111" s="480">
        <v>36565</v>
      </c>
      <c r="T111" s="481" t="s">
        <v>3629</v>
      </c>
      <c r="U111" s="480">
        <v>36565</v>
      </c>
      <c r="V111" s="481" t="s">
        <v>231</v>
      </c>
      <c r="W111" s="481" t="s">
        <v>3679</v>
      </c>
      <c r="X111" s="481" t="s">
        <v>3631</v>
      </c>
      <c r="Y111" s="482" t="s">
        <v>3632</v>
      </c>
      <c r="Z111" s="482" t="s">
        <v>3633</v>
      </c>
    </row>
    <row r="112" spans="1:26" x14ac:dyDescent="0.25">
      <c r="A112" s="481">
        <v>462</v>
      </c>
      <c r="B112" s="481" t="s">
        <v>3617</v>
      </c>
      <c r="C112" s="481" t="s">
        <v>3634</v>
      </c>
      <c r="D112" s="481" t="s">
        <v>3695</v>
      </c>
      <c r="E112" s="481"/>
      <c r="F112" s="484">
        <v>36565</v>
      </c>
      <c r="G112" s="481" t="s">
        <v>3696</v>
      </c>
      <c r="H112" s="481" t="s">
        <v>3658</v>
      </c>
      <c r="I112" s="481" t="s">
        <v>3697</v>
      </c>
      <c r="J112" s="481" t="s">
        <v>3698</v>
      </c>
      <c r="K112" s="481" t="s">
        <v>3624</v>
      </c>
      <c r="L112" s="481" t="s">
        <v>3693</v>
      </c>
      <c r="M112" s="481" t="s">
        <v>3699</v>
      </c>
      <c r="N112" s="481" t="s">
        <v>3627</v>
      </c>
      <c r="O112" s="481" t="s">
        <v>3699</v>
      </c>
      <c r="P112" s="481" t="s">
        <v>3628</v>
      </c>
      <c r="Q112" s="481" t="s">
        <v>3072</v>
      </c>
      <c r="R112" s="481" t="s">
        <v>3063</v>
      </c>
      <c r="S112" s="480">
        <v>36565</v>
      </c>
      <c r="T112" s="481" t="s">
        <v>3629</v>
      </c>
      <c r="U112" s="480">
        <v>36565</v>
      </c>
      <c r="V112" s="481" t="s">
        <v>231</v>
      </c>
      <c r="W112" s="481" t="s">
        <v>129</v>
      </c>
      <c r="X112" s="481" t="s">
        <v>3631</v>
      </c>
      <c r="Y112" s="482" t="s">
        <v>3632</v>
      </c>
      <c r="Z112" s="482" t="s">
        <v>3633</v>
      </c>
    </row>
    <row r="113" spans="1:26" x14ac:dyDescent="0.25">
      <c r="A113" s="481">
        <v>465</v>
      </c>
      <c r="B113" s="481" t="s">
        <v>3617</v>
      </c>
      <c r="C113" s="481" t="s">
        <v>3634</v>
      </c>
      <c r="D113" s="481" t="s">
        <v>3700</v>
      </c>
      <c r="E113" s="481"/>
      <c r="F113" s="484">
        <v>36565</v>
      </c>
      <c r="G113" s="481" t="s">
        <v>3701</v>
      </c>
      <c r="H113" s="481" t="s">
        <v>3658</v>
      </c>
      <c r="I113" s="481" t="s">
        <v>3697</v>
      </c>
      <c r="J113" s="481" t="s">
        <v>3702</v>
      </c>
      <c r="K113" s="481" t="s">
        <v>3624</v>
      </c>
      <c r="L113" s="481" t="s">
        <v>3693</v>
      </c>
      <c r="M113" s="481" t="s">
        <v>3703</v>
      </c>
      <c r="N113" s="481" t="s">
        <v>3627</v>
      </c>
      <c r="O113" s="481" t="s">
        <v>3703</v>
      </c>
      <c r="P113" s="481" t="s">
        <v>3628</v>
      </c>
      <c r="Q113" s="481" t="s">
        <v>3072</v>
      </c>
      <c r="R113" s="481" t="s">
        <v>3063</v>
      </c>
      <c r="S113" s="480">
        <v>36565</v>
      </c>
      <c r="T113" s="481" t="s">
        <v>3629</v>
      </c>
      <c r="U113" s="480">
        <v>36565</v>
      </c>
      <c r="V113" s="481" t="s">
        <v>231</v>
      </c>
      <c r="W113" s="481" t="s">
        <v>129</v>
      </c>
      <c r="X113" s="481" t="s">
        <v>3631</v>
      </c>
      <c r="Y113" s="482" t="s">
        <v>3632</v>
      </c>
      <c r="Z113" s="482" t="s">
        <v>3633</v>
      </c>
    </row>
    <row r="114" spans="1:26" x14ac:dyDescent="0.25">
      <c r="A114" s="481">
        <v>468</v>
      </c>
      <c r="B114" s="481" t="s">
        <v>3617</v>
      </c>
      <c r="C114" s="481" t="s">
        <v>3634</v>
      </c>
      <c r="D114" s="481" t="s">
        <v>3704</v>
      </c>
      <c r="E114" s="481"/>
      <c r="F114" s="484">
        <v>36565</v>
      </c>
      <c r="G114" s="481" t="s">
        <v>3705</v>
      </c>
      <c r="H114" s="481" t="s">
        <v>3658</v>
      </c>
      <c r="I114" s="481" t="s">
        <v>3697</v>
      </c>
      <c r="J114" s="481" t="s">
        <v>3706</v>
      </c>
      <c r="K114" s="481" t="s">
        <v>3624</v>
      </c>
      <c r="L114" s="481" t="s">
        <v>3693</v>
      </c>
      <c r="M114" s="481" t="s">
        <v>3707</v>
      </c>
      <c r="N114" s="481" t="s">
        <v>3627</v>
      </c>
      <c r="O114" s="481" t="s">
        <v>3707</v>
      </c>
      <c r="P114" s="481" t="s">
        <v>3628</v>
      </c>
      <c r="Q114" s="481" t="s">
        <v>3072</v>
      </c>
      <c r="R114" s="481" t="s">
        <v>3063</v>
      </c>
      <c r="S114" s="480">
        <v>36565</v>
      </c>
      <c r="T114" s="481" t="s">
        <v>3629</v>
      </c>
      <c r="U114" s="480">
        <v>36565</v>
      </c>
      <c r="V114" s="481" t="s">
        <v>231</v>
      </c>
      <c r="W114" s="481" t="s">
        <v>129</v>
      </c>
      <c r="X114" s="481" t="s">
        <v>3631</v>
      </c>
      <c r="Y114" s="482" t="s">
        <v>3632</v>
      </c>
      <c r="Z114" s="482" t="s">
        <v>3633</v>
      </c>
    </row>
    <row r="115" spans="1:26" x14ac:dyDescent="0.25">
      <c r="A115" s="481">
        <v>471</v>
      </c>
      <c r="B115" s="481" t="s">
        <v>3617</v>
      </c>
      <c r="C115" s="481" t="s">
        <v>3634</v>
      </c>
      <c r="D115" s="481" t="s">
        <v>3708</v>
      </c>
      <c r="E115" s="481"/>
      <c r="F115" s="484">
        <v>36566</v>
      </c>
      <c r="G115" s="481" t="s">
        <v>3709</v>
      </c>
      <c r="H115" s="481" t="s">
        <v>3643</v>
      </c>
      <c r="I115" s="481" t="s">
        <v>3622</v>
      </c>
      <c r="J115" s="481" t="s">
        <v>3710</v>
      </c>
      <c r="K115" s="481" t="s">
        <v>3624</v>
      </c>
      <c r="L115" s="481" t="s">
        <v>3693</v>
      </c>
      <c r="M115" s="481" t="s">
        <v>3711</v>
      </c>
      <c r="N115" s="481" t="s">
        <v>3627</v>
      </c>
      <c r="O115" s="481" t="s">
        <v>3711</v>
      </c>
      <c r="P115" s="481" t="s">
        <v>3628</v>
      </c>
      <c r="Q115" s="481" t="s">
        <v>3072</v>
      </c>
      <c r="R115" s="481" t="s">
        <v>3063</v>
      </c>
      <c r="S115" s="480">
        <v>36566</v>
      </c>
      <c r="T115" s="481" t="s">
        <v>3629</v>
      </c>
      <c r="U115" s="480">
        <v>36566</v>
      </c>
      <c r="V115" s="481" t="s">
        <v>231</v>
      </c>
      <c r="W115" s="481" t="s">
        <v>3630</v>
      </c>
      <c r="X115" s="481" t="s">
        <v>3631</v>
      </c>
      <c r="Y115" s="482" t="s">
        <v>3632</v>
      </c>
      <c r="Z115" s="482" t="s">
        <v>3633</v>
      </c>
    </row>
    <row r="116" spans="1:26" x14ac:dyDescent="0.25">
      <c r="A116" s="481">
        <v>472</v>
      </c>
      <c r="B116" s="481" t="s">
        <v>3617</v>
      </c>
      <c r="C116" s="481" t="s">
        <v>3634</v>
      </c>
      <c r="D116" s="481" t="s">
        <v>3712</v>
      </c>
      <c r="E116" s="481"/>
      <c r="F116" s="484">
        <v>36572</v>
      </c>
      <c r="G116" s="481" t="s">
        <v>3713</v>
      </c>
      <c r="H116" s="481" t="s">
        <v>3658</v>
      </c>
      <c r="I116" s="481" t="s">
        <v>3644</v>
      </c>
      <c r="J116" s="481" t="s">
        <v>3714</v>
      </c>
      <c r="K116" s="481" t="s">
        <v>3624</v>
      </c>
      <c r="L116" s="481" t="s">
        <v>3693</v>
      </c>
      <c r="M116" s="481" t="s">
        <v>3715</v>
      </c>
      <c r="N116" s="481" t="s">
        <v>3627</v>
      </c>
      <c r="O116" s="481" t="s">
        <v>3715</v>
      </c>
      <c r="P116" s="481" t="s">
        <v>3628</v>
      </c>
      <c r="Q116" s="481" t="s">
        <v>3072</v>
      </c>
      <c r="R116" s="481" t="s">
        <v>3063</v>
      </c>
      <c r="S116" s="480">
        <v>36572</v>
      </c>
      <c r="T116" s="481" t="s">
        <v>3629</v>
      </c>
      <c r="U116" s="480">
        <v>36572</v>
      </c>
      <c r="V116" s="481" t="s">
        <v>231</v>
      </c>
      <c r="W116" s="481" t="s">
        <v>173</v>
      </c>
      <c r="X116" s="481" t="s">
        <v>3631</v>
      </c>
      <c r="Y116" s="482" t="s">
        <v>3632</v>
      </c>
      <c r="Z116" s="482" t="s">
        <v>3633</v>
      </c>
    </row>
    <row r="117" spans="1:26" x14ac:dyDescent="0.25">
      <c r="A117" s="481">
        <v>475</v>
      </c>
      <c r="B117" s="481" t="s">
        <v>3617</v>
      </c>
      <c r="C117" s="481" t="s">
        <v>3716</v>
      </c>
      <c r="D117" s="481" t="s">
        <v>3717</v>
      </c>
      <c r="E117" s="481"/>
      <c r="F117" s="484">
        <v>42593</v>
      </c>
      <c r="G117" s="481" t="s">
        <v>3443</v>
      </c>
      <c r="H117" s="481" t="s">
        <v>3452</v>
      </c>
      <c r="I117" s="481" t="s">
        <v>3718</v>
      </c>
      <c r="J117" s="481" t="s">
        <v>3719</v>
      </c>
      <c r="K117" s="481" t="s">
        <v>3624</v>
      </c>
      <c r="L117" s="481" t="s">
        <v>3720</v>
      </c>
      <c r="M117" s="481" t="s">
        <v>3456</v>
      </c>
      <c r="N117" s="481" t="s">
        <v>3627</v>
      </c>
      <c r="O117" s="481" t="s">
        <v>3456</v>
      </c>
      <c r="P117" s="481" t="s">
        <v>3628</v>
      </c>
      <c r="Q117" s="481" t="s">
        <v>3072</v>
      </c>
      <c r="R117" s="481" t="s">
        <v>3237</v>
      </c>
      <c r="S117" s="480">
        <v>42593</v>
      </c>
      <c r="T117" s="481" t="s">
        <v>3629</v>
      </c>
      <c r="U117" s="480">
        <v>42593</v>
      </c>
      <c r="V117" s="481" t="s">
        <v>231</v>
      </c>
      <c r="W117" s="481" t="s">
        <v>145</v>
      </c>
      <c r="X117" s="481" t="s">
        <v>3631</v>
      </c>
      <c r="Y117" s="482" t="s">
        <v>3632</v>
      </c>
      <c r="Z117" s="482" t="s">
        <v>3633</v>
      </c>
    </row>
    <row r="118" spans="1:26" x14ac:dyDescent="0.25">
      <c r="A118" s="481">
        <v>477</v>
      </c>
      <c r="B118" s="481" t="s">
        <v>3617</v>
      </c>
      <c r="C118" s="481" t="s">
        <v>3618</v>
      </c>
      <c r="D118" s="481" t="s">
        <v>3721</v>
      </c>
      <c r="E118" s="481"/>
      <c r="F118" s="484">
        <v>42593</v>
      </c>
      <c r="G118" s="481" t="s">
        <v>3443</v>
      </c>
      <c r="H118" s="481" t="s">
        <v>3428</v>
      </c>
      <c r="I118" s="481" t="s">
        <v>3622</v>
      </c>
      <c r="J118" s="481" t="s">
        <v>3722</v>
      </c>
      <c r="K118" s="481" t="s">
        <v>3624</v>
      </c>
      <c r="L118" s="481" t="s">
        <v>3720</v>
      </c>
      <c r="M118" s="481" t="s">
        <v>3446</v>
      </c>
      <c r="N118" s="481" t="s">
        <v>3627</v>
      </c>
      <c r="O118" s="481" t="s">
        <v>3446</v>
      </c>
      <c r="P118" s="481" t="s">
        <v>3628</v>
      </c>
      <c r="Q118" s="481" t="s">
        <v>3072</v>
      </c>
      <c r="R118" s="481" t="s">
        <v>1456</v>
      </c>
      <c r="S118" s="480">
        <v>42593</v>
      </c>
      <c r="T118" s="481" t="s">
        <v>3629</v>
      </c>
      <c r="U118" s="480">
        <v>42593</v>
      </c>
      <c r="V118" s="481" t="s">
        <v>231</v>
      </c>
      <c r="W118" s="481" t="s">
        <v>3630</v>
      </c>
      <c r="X118" s="481" t="s">
        <v>3631</v>
      </c>
      <c r="Y118" s="482" t="s">
        <v>3632</v>
      </c>
      <c r="Z118" s="482" t="s">
        <v>3633</v>
      </c>
    </row>
    <row r="119" spans="1:26" x14ac:dyDescent="0.25">
      <c r="A119" s="481">
        <v>478</v>
      </c>
      <c r="B119" s="481" t="s">
        <v>3617</v>
      </c>
      <c r="C119" s="481" t="s">
        <v>3723</v>
      </c>
      <c r="D119" s="481" t="s">
        <v>3724</v>
      </c>
      <c r="E119" s="481"/>
      <c r="F119" s="484">
        <v>42593</v>
      </c>
      <c r="G119" s="481" t="s">
        <v>3428</v>
      </c>
      <c r="H119" s="481" t="s">
        <v>3429</v>
      </c>
      <c r="I119" s="481" t="s">
        <v>3622</v>
      </c>
      <c r="J119" s="481" t="s">
        <v>3725</v>
      </c>
      <c r="K119" s="481" t="s">
        <v>3624</v>
      </c>
      <c r="L119" s="481" t="s">
        <v>3720</v>
      </c>
      <c r="M119" s="481" t="s">
        <v>3434</v>
      </c>
      <c r="N119" s="481" t="s">
        <v>3627</v>
      </c>
      <c r="O119" s="481" t="s">
        <v>3434</v>
      </c>
      <c r="P119" s="481" t="s">
        <v>3628</v>
      </c>
      <c r="Q119" s="481" t="s">
        <v>3072</v>
      </c>
      <c r="R119" s="481" t="s">
        <v>3261</v>
      </c>
      <c r="S119" s="480">
        <v>42593</v>
      </c>
      <c r="T119" s="481" t="s">
        <v>3629</v>
      </c>
      <c r="U119" s="480">
        <v>42593</v>
      </c>
      <c r="V119" s="481" t="s">
        <v>231</v>
      </c>
      <c r="W119" s="481" t="s">
        <v>3630</v>
      </c>
      <c r="X119" s="481" t="s">
        <v>3631</v>
      </c>
      <c r="Y119" s="482" t="s">
        <v>3632</v>
      </c>
      <c r="Z119" s="482" t="s">
        <v>3633</v>
      </c>
    </row>
    <row r="120" spans="1:26" x14ac:dyDescent="0.25">
      <c r="A120" s="481">
        <v>479</v>
      </c>
      <c r="B120" s="481" t="s">
        <v>3617</v>
      </c>
      <c r="C120" s="481" t="s">
        <v>3726</v>
      </c>
      <c r="D120" s="481" t="s">
        <v>3727</v>
      </c>
      <c r="E120" s="481"/>
      <c r="F120" s="484">
        <v>42641</v>
      </c>
      <c r="G120" s="481" t="s">
        <v>3728</v>
      </c>
      <c r="H120" s="481" t="s">
        <v>3729</v>
      </c>
      <c r="I120" s="481" t="s">
        <v>3644</v>
      </c>
      <c r="J120" s="481" t="s">
        <v>3730</v>
      </c>
      <c r="K120" s="481" t="s">
        <v>3624</v>
      </c>
      <c r="L120" s="481" t="s">
        <v>3720</v>
      </c>
      <c r="M120" s="481" t="s">
        <v>3547</v>
      </c>
      <c r="N120" s="481" t="s">
        <v>3627</v>
      </c>
      <c r="O120" s="481" t="s">
        <v>3547</v>
      </c>
      <c r="P120" s="481" t="s">
        <v>3628</v>
      </c>
      <c r="Q120" s="481" t="s">
        <v>3072</v>
      </c>
      <c r="R120" s="481" t="s">
        <v>3261</v>
      </c>
      <c r="S120" s="480">
        <v>42641</v>
      </c>
      <c r="T120" s="481" t="s">
        <v>3629</v>
      </c>
      <c r="U120" s="480">
        <v>42641</v>
      </c>
      <c r="V120" s="481" t="s">
        <v>231</v>
      </c>
      <c r="W120" s="481" t="s">
        <v>173</v>
      </c>
      <c r="X120" s="481" t="s">
        <v>3631</v>
      </c>
      <c r="Y120" s="482" t="s">
        <v>3632</v>
      </c>
      <c r="Z120" s="482" t="s">
        <v>3633</v>
      </c>
    </row>
    <row r="121" spans="1:26" x14ac:dyDescent="0.25">
      <c r="A121" s="481">
        <v>482</v>
      </c>
      <c r="B121" s="481" t="s">
        <v>3617</v>
      </c>
      <c r="C121" s="481" t="s">
        <v>3618</v>
      </c>
      <c r="D121" s="481" t="s">
        <v>3731</v>
      </c>
      <c r="E121" s="481"/>
      <c r="F121" s="484">
        <v>42719</v>
      </c>
      <c r="G121" s="481" t="s">
        <v>3732</v>
      </c>
      <c r="H121" s="481" t="s">
        <v>3733</v>
      </c>
      <c r="I121" s="481" t="s">
        <v>3622</v>
      </c>
      <c r="J121" s="481" t="s">
        <v>3734</v>
      </c>
      <c r="K121" s="481" t="s">
        <v>3624</v>
      </c>
      <c r="L121" s="481" t="s">
        <v>3720</v>
      </c>
      <c r="M121" s="481" t="s">
        <v>3735</v>
      </c>
      <c r="N121" s="481" t="s">
        <v>3627</v>
      </c>
      <c r="O121" s="481" t="s">
        <v>3735</v>
      </c>
      <c r="P121" s="481" t="s">
        <v>3628</v>
      </c>
      <c r="Q121" s="481" t="s">
        <v>3072</v>
      </c>
      <c r="R121" s="481" t="s">
        <v>1456</v>
      </c>
      <c r="S121" s="480">
        <v>42719</v>
      </c>
      <c r="T121" s="481" t="s">
        <v>3629</v>
      </c>
      <c r="U121" s="480">
        <v>42719</v>
      </c>
      <c r="V121" s="481" t="s">
        <v>231</v>
      </c>
      <c r="W121" s="481" t="s">
        <v>3630</v>
      </c>
      <c r="X121" s="481" t="s">
        <v>3631</v>
      </c>
      <c r="Y121" s="482" t="s">
        <v>3632</v>
      </c>
      <c r="Z121" s="482" t="s">
        <v>3633</v>
      </c>
    </row>
    <row r="122" spans="1:26" x14ac:dyDescent="0.25">
      <c r="A122" s="481">
        <v>483</v>
      </c>
      <c r="B122" s="481" t="s">
        <v>3617</v>
      </c>
      <c r="C122" s="481" t="s">
        <v>3736</v>
      </c>
      <c r="D122" s="481" t="s">
        <v>3737</v>
      </c>
      <c r="E122" s="481"/>
      <c r="F122" s="484">
        <v>42752</v>
      </c>
      <c r="G122" s="481" t="s">
        <v>3412</v>
      </c>
      <c r="H122" s="481" t="s">
        <v>3738</v>
      </c>
      <c r="I122" s="481" t="s">
        <v>3739</v>
      </c>
      <c r="J122" s="481" t="s">
        <v>3740</v>
      </c>
      <c r="K122" s="481" t="s">
        <v>3624</v>
      </c>
      <c r="L122" s="481" t="s">
        <v>3720</v>
      </c>
      <c r="M122" s="481" t="s">
        <v>3741</v>
      </c>
      <c r="N122" s="481" t="s">
        <v>3627</v>
      </c>
      <c r="O122" s="481" t="s">
        <v>3741</v>
      </c>
      <c r="P122" s="481" t="s">
        <v>3628</v>
      </c>
      <c r="Q122" s="481" t="s">
        <v>3072</v>
      </c>
      <c r="R122" s="481" t="s">
        <v>3261</v>
      </c>
      <c r="S122" s="480">
        <v>42752</v>
      </c>
      <c r="T122" s="481" t="s">
        <v>3629</v>
      </c>
      <c r="U122" s="480">
        <v>42752</v>
      </c>
      <c r="V122" s="481" t="s">
        <v>231</v>
      </c>
      <c r="W122" s="481" t="s">
        <v>3742</v>
      </c>
      <c r="X122" s="481" t="s">
        <v>3631</v>
      </c>
      <c r="Y122" s="482" t="s">
        <v>3632</v>
      </c>
      <c r="Z122" s="482" t="s">
        <v>3633</v>
      </c>
    </row>
    <row r="123" spans="1:26" x14ac:dyDescent="0.25">
      <c r="A123" s="481">
        <v>484</v>
      </c>
      <c r="B123" s="481" t="s">
        <v>3617</v>
      </c>
      <c r="C123" s="481" t="s">
        <v>3736</v>
      </c>
      <c r="D123" s="481" t="s">
        <v>3743</v>
      </c>
      <c r="E123" s="481"/>
      <c r="F123" s="484">
        <v>42752</v>
      </c>
      <c r="G123" s="481" t="s">
        <v>3397</v>
      </c>
      <c r="H123" s="481" t="s">
        <v>3738</v>
      </c>
      <c r="I123" s="481" t="s">
        <v>3739</v>
      </c>
      <c r="J123" s="481" t="s">
        <v>3744</v>
      </c>
      <c r="K123" s="481" t="s">
        <v>3624</v>
      </c>
      <c r="L123" s="481" t="s">
        <v>3720</v>
      </c>
      <c r="M123" s="481" t="s">
        <v>3348</v>
      </c>
      <c r="N123" s="481" t="s">
        <v>3627</v>
      </c>
      <c r="O123" s="481" t="s">
        <v>3348</v>
      </c>
      <c r="P123" s="481" t="s">
        <v>3628</v>
      </c>
      <c r="Q123" s="481" t="s">
        <v>3072</v>
      </c>
      <c r="R123" s="481" t="s">
        <v>3261</v>
      </c>
      <c r="S123" s="480">
        <v>42752</v>
      </c>
      <c r="T123" s="481" t="s">
        <v>3629</v>
      </c>
      <c r="U123" s="480">
        <v>42752</v>
      </c>
      <c r="V123" s="481" t="s">
        <v>231</v>
      </c>
      <c r="W123" s="481" t="s">
        <v>3742</v>
      </c>
      <c r="X123" s="481" t="s">
        <v>3631</v>
      </c>
      <c r="Y123" s="482" t="s">
        <v>3632</v>
      </c>
      <c r="Z123" s="482" t="s">
        <v>3633</v>
      </c>
    </row>
    <row r="124" spans="1:26" x14ac:dyDescent="0.25">
      <c r="A124" s="481">
        <v>485</v>
      </c>
      <c r="B124" s="481" t="s">
        <v>3617</v>
      </c>
      <c r="C124" s="481" t="s">
        <v>3618</v>
      </c>
      <c r="D124" s="481" t="s">
        <v>3745</v>
      </c>
      <c r="E124" s="481"/>
      <c r="F124" s="484">
        <v>42752</v>
      </c>
      <c r="G124" s="481" t="s">
        <v>3746</v>
      </c>
      <c r="H124" s="481" t="s">
        <v>3389</v>
      </c>
      <c r="I124" s="481" t="s">
        <v>3739</v>
      </c>
      <c r="J124" s="481" t="s">
        <v>3747</v>
      </c>
      <c r="K124" s="481" t="s">
        <v>3624</v>
      </c>
      <c r="L124" s="481" t="s">
        <v>3720</v>
      </c>
      <c r="M124" s="481" t="s">
        <v>3341</v>
      </c>
      <c r="N124" s="481" t="s">
        <v>3627</v>
      </c>
      <c r="O124" s="481" t="s">
        <v>3341</v>
      </c>
      <c r="P124" s="481" t="s">
        <v>3628</v>
      </c>
      <c r="Q124" s="481" t="s">
        <v>3072</v>
      </c>
      <c r="R124" s="481" t="s">
        <v>1456</v>
      </c>
      <c r="S124" s="480">
        <v>42752</v>
      </c>
      <c r="T124" s="481" t="s">
        <v>3629</v>
      </c>
      <c r="U124" s="480">
        <v>42752</v>
      </c>
      <c r="V124" s="481" t="s">
        <v>231</v>
      </c>
      <c r="W124" s="481" t="s">
        <v>3742</v>
      </c>
      <c r="X124" s="481" t="s">
        <v>3631</v>
      </c>
      <c r="Y124" s="482" t="s">
        <v>3632</v>
      </c>
      <c r="Z124" s="482" t="s">
        <v>3633</v>
      </c>
    </row>
    <row r="125" spans="1:26" x14ac:dyDescent="0.25">
      <c r="A125" s="481">
        <v>486</v>
      </c>
      <c r="B125" s="481" t="s">
        <v>3617</v>
      </c>
      <c r="C125" s="481" t="s">
        <v>3723</v>
      </c>
      <c r="D125" s="481" t="s">
        <v>3748</v>
      </c>
      <c r="E125" s="481"/>
      <c r="F125" s="484">
        <v>42752</v>
      </c>
      <c r="G125" s="481" t="s">
        <v>3389</v>
      </c>
      <c r="H125" s="481" t="s">
        <v>3397</v>
      </c>
      <c r="I125" s="481" t="s">
        <v>3739</v>
      </c>
      <c r="J125" s="481" t="s">
        <v>3749</v>
      </c>
      <c r="K125" s="481" t="s">
        <v>3624</v>
      </c>
      <c r="L125" s="481" t="s">
        <v>3720</v>
      </c>
      <c r="M125" s="481" t="s">
        <v>3346</v>
      </c>
      <c r="N125" s="481" t="s">
        <v>3627</v>
      </c>
      <c r="O125" s="481" t="s">
        <v>3346</v>
      </c>
      <c r="P125" s="481" t="s">
        <v>3628</v>
      </c>
      <c r="Q125" s="481" t="s">
        <v>3072</v>
      </c>
      <c r="R125" s="481" t="s">
        <v>3261</v>
      </c>
      <c r="S125" s="480">
        <v>42752</v>
      </c>
      <c r="T125" s="481" t="s">
        <v>3629</v>
      </c>
      <c r="U125" s="480">
        <v>42752</v>
      </c>
      <c r="V125" s="481" t="s">
        <v>231</v>
      </c>
      <c r="W125" s="481" t="s">
        <v>3742</v>
      </c>
      <c r="X125" s="481" t="s">
        <v>3631</v>
      </c>
      <c r="Y125" s="482" t="s">
        <v>3632</v>
      </c>
      <c r="Z125" s="482" t="s">
        <v>3633</v>
      </c>
    </row>
    <row r="126" spans="1:26" x14ac:dyDescent="0.25">
      <c r="A126" s="481">
        <v>487</v>
      </c>
      <c r="B126" s="481" t="s">
        <v>3617</v>
      </c>
      <c r="C126" s="481" t="s">
        <v>3750</v>
      </c>
      <c r="D126" s="481" t="s">
        <v>3751</v>
      </c>
      <c r="E126" s="481"/>
      <c r="F126" s="484">
        <v>42930</v>
      </c>
      <c r="G126" s="481" t="s">
        <v>3752</v>
      </c>
      <c r="H126" s="481" t="s">
        <v>3753</v>
      </c>
      <c r="I126" s="481" t="s">
        <v>3622</v>
      </c>
      <c r="J126" s="481" t="s">
        <v>3754</v>
      </c>
      <c r="K126" s="481" t="s">
        <v>3624</v>
      </c>
      <c r="L126" s="481" t="s">
        <v>3755</v>
      </c>
      <c r="M126" s="481" t="s">
        <v>3756</v>
      </c>
      <c r="N126" s="481" t="s">
        <v>3627</v>
      </c>
      <c r="O126" s="481" t="s">
        <v>3756</v>
      </c>
      <c r="P126" s="481" t="s">
        <v>3628</v>
      </c>
      <c r="Q126" s="481" t="s">
        <v>3386</v>
      </c>
      <c r="R126" s="481" t="s">
        <v>3556</v>
      </c>
      <c r="S126" s="480">
        <v>42930</v>
      </c>
      <c r="T126" s="481" t="s">
        <v>3629</v>
      </c>
      <c r="U126" s="480">
        <v>42930</v>
      </c>
      <c r="V126" s="481" t="s">
        <v>231</v>
      </c>
      <c r="W126" s="481" t="s">
        <v>3630</v>
      </c>
      <c r="X126" s="481" t="s">
        <v>3669</v>
      </c>
      <c r="Y126" s="482" t="s">
        <v>3632</v>
      </c>
      <c r="Z126" s="482" t="s">
        <v>3633</v>
      </c>
    </row>
    <row r="127" spans="1:26" x14ac:dyDescent="0.25">
      <c r="A127" s="481">
        <v>488</v>
      </c>
      <c r="B127" s="481" t="s">
        <v>3617</v>
      </c>
      <c r="C127" s="481" t="s">
        <v>3757</v>
      </c>
      <c r="D127" s="481" t="s">
        <v>3758</v>
      </c>
      <c r="E127" s="481"/>
      <c r="F127" s="484">
        <v>43088</v>
      </c>
      <c r="G127" s="481" t="s">
        <v>3428</v>
      </c>
      <c r="H127" s="481" t="s">
        <v>3759</v>
      </c>
      <c r="I127" s="481" t="s">
        <v>3622</v>
      </c>
      <c r="J127" s="481" t="s">
        <v>3760</v>
      </c>
      <c r="K127" s="481" t="s">
        <v>3624</v>
      </c>
      <c r="L127" s="481" t="s">
        <v>3755</v>
      </c>
      <c r="M127" s="481" t="s">
        <v>3761</v>
      </c>
      <c r="N127" s="481" t="s">
        <v>3627</v>
      </c>
      <c r="O127" s="481" t="s">
        <v>3761</v>
      </c>
      <c r="P127" s="481" t="s">
        <v>3628</v>
      </c>
      <c r="Q127" s="481" t="s">
        <v>3072</v>
      </c>
      <c r="R127" s="481" t="s">
        <v>3237</v>
      </c>
      <c r="S127" s="480">
        <v>43088</v>
      </c>
      <c r="T127" s="481" t="s">
        <v>3629</v>
      </c>
      <c r="U127" s="480">
        <v>43088</v>
      </c>
      <c r="V127" s="481" t="s">
        <v>231</v>
      </c>
      <c r="W127" s="481" t="s">
        <v>3630</v>
      </c>
      <c r="X127" s="481" t="s">
        <v>3631</v>
      </c>
      <c r="Y127" s="482" t="s">
        <v>3632</v>
      </c>
      <c r="Z127" s="482" t="s">
        <v>3633</v>
      </c>
    </row>
    <row r="128" spans="1:26" x14ac:dyDescent="0.25">
      <c r="A128" s="481">
        <v>489</v>
      </c>
      <c r="B128" s="481" t="s">
        <v>3617</v>
      </c>
      <c r="C128" s="481" t="s">
        <v>3618</v>
      </c>
      <c r="D128" s="481" t="s">
        <v>3762</v>
      </c>
      <c r="E128" s="481"/>
      <c r="F128" s="484">
        <v>43119</v>
      </c>
      <c r="G128" s="481" t="s">
        <v>3763</v>
      </c>
      <c r="H128" s="481" t="s">
        <v>3764</v>
      </c>
      <c r="I128" s="481" t="s">
        <v>3765</v>
      </c>
      <c r="J128" s="481" t="s">
        <v>3766</v>
      </c>
      <c r="K128" s="481" t="s">
        <v>3624</v>
      </c>
      <c r="L128" s="481" t="s">
        <v>3755</v>
      </c>
      <c r="M128" s="481" t="s">
        <v>3767</v>
      </c>
      <c r="N128" s="481" t="s">
        <v>3627</v>
      </c>
      <c r="O128" s="481" t="s">
        <v>3767</v>
      </c>
      <c r="P128" s="481" t="s">
        <v>3628</v>
      </c>
      <c r="Q128" s="481" t="s">
        <v>3072</v>
      </c>
      <c r="R128" s="481" t="s">
        <v>1456</v>
      </c>
      <c r="S128" s="480">
        <v>43119</v>
      </c>
      <c r="T128" s="481" t="s">
        <v>3629</v>
      </c>
      <c r="U128" s="480">
        <v>43119</v>
      </c>
      <c r="V128" s="481" t="s">
        <v>231</v>
      </c>
      <c r="W128" s="481" t="s">
        <v>3059</v>
      </c>
      <c r="X128" s="481" t="s">
        <v>3631</v>
      </c>
      <c r="Y128" s="482" t="s">
        <v>3632</v>
      </c>
      <c r="Z128" s="482" t="s">
        <v>3633</v>
      </c>
    </row>
    <row r="129" spans="1:26" x14ac:dyDescent="0.25">
      <c r="A129" s="481">
        <v>490</v>
      </c>
      <c r="B129" s="481" t="s">
        <v>3617</v>
      </c>
      <c r="C129" s="481" t="s">
        <v>3768</v>
      </c>
      <c r="D129" s="481" t="s">
        <v>3769</v>
      </c>
      <c r="E129" s="481"/>
      <c r="F129" s="484">
        <v>43327</v>
      </c>
      <c r="G129" s="481" t="s">
        <v>3770</v>
      </c>
      <c r="H129" s="481" t="s">
        <v>3753</v>
      </c>
      <c r="I129" s="481" t="s">
        <v>3771</v>
      </c>
      <c r="J129" s="481" t="s">
        <v>3772</v>
      </c>
      <c r="K129" s="481" t="s">
        <v>3624</v>
      </c>
      <c r="L129" s="481" t="s">
        <v>3755</v>
      </c>
      <c r="M129" s="481" t="s">
        <v>3773</v>
      </c>
      <c r="N129" s="481" t="s">
        <v>3627</v>
      </c>
      <c r="O129" s="481" t="s">
        <v>3773</v>
      </c>
      <c r="P129" s="481" t="s">
        <v>3628</v>
      </c>
      <c r="Q129" s="481" t="s">
        <v>3072</v>
      </c>
      <c r="R129" s="481" t="s">
        <v>3556</v>
      </c>
      <c r="S129" s="480">
        <v>43327</v>
      </c>
      <c r="T129" s="481" t="s">
        <v>3629</v>
      </c>
      <c r="U129" s="480">
        <v>43327</v>
      </c>
      <c r="V129" s="481" t="s">
        <v>231</v>
      </c>
      <c r="W129" s="481" t="s">
        <v>3774</v>
      </c>
      <c r="X129" s="481" t="s">
        <v>3631</v>
      </c>
      <c r="Y129" s="482" t="s">
        <v>3632</v>
      </c>
      <c r="Z129" s="482" t="s">
        <v>3633</v>
      </c>
    </row>
    <row r="130" spans="1:26" x14ac:dyDescent="0.25">
      <c r="A130" s="481">
        <v>491</v>
      </c>
      <c r="B130" s="481" t="s">
        <v>3617</v>
      </c>
      <c r="C130" s="481" t="s">
        <v>3775</v>
      </c>
      <c r="D130" s="481" t="s">
        <v>3776</v>
      </c>
      <c r="E130" s="481"/>
      <c r="F130" s="484">
        <v>43353</v>
      </c>
      <c r="G130" s="481" t="s">
        <v>3777</v>
      </c>
      <c r="H130" s="481" t="s">
        <v>3429</v>
      </c>
      <c r="I130" s="481" t="s">
        <v>3622</v>
      </c>
      <c r="J130" s="481" t="s">
        <v>3778</v>
      </c>
      <c r="K130" s="481" t="s">
        <v>3624</v>
      </c>
      <c r="L130" s="481" t="s">
        <v>3755</v>
      </c>
      <c r="M130" s="481" t="s">
        <v>3541</v>
      </c>
      <c r="N130" s="481" t="s">
        <v>3627</v>
      </c>
      <c r="O130" s="481" t="s">
        <v>3541</v>
      </c>
      <c r="P130" s="481" t="s">
        <v>3628</v>
      </c>
      <c r="Q130" s="481" t="s">
        <v>3072</v>
      </c>
      <c r="R130" s="481" t="s">
        <v>3261</v>
      </c>
      <c r="S130" s="480">
        <v>43353</v>
      </c>
      <c r="T130" s="481" t="s">
        <v>3629</v>
      </c>
      <c r="U130" s="480">
        <v>43353</v>
      </c>
      <c r="V130" s="481" t="s">
        <v>231</v>
      </c>
      <c r="W130" s="481" t="s">
        <v>3630</v>
      </c>
      <c r="X130" s="481" t="s">
        <v>3631</v>
      </c>
      <c r="Y130" s="482" t="s">
        <v>3632</v>
      </c>
      <c r="Z130" s="482" t="s">
        <v>3633</v>
      </c>
    </row>
    <row r="131" spans="1:26" x14ac:dyDescent="0.25">
      <c r="A131" s="481">
        <v>492</v>
      </c>
      <c r="B131" s="481" t="s">
        <v>3617</v>
      </c>
      <c r="C131" s="481" t="s">
        <v>3779</v>
      </c>
      <c r="D131" s="481" t="s">
        <v>3780</v>
      </c>
      <c r="E131" s="481"/>
      <c r="F131" s="484">
        <v>43521</v>
      </c>
      <c r="G131" s="481" t="s">
        <v>3781</v>
      </c>
      <c r="H131" s="481" t="s">
        <v>3782</v>
      </c>
      <c r="I131" s="481" t="s">
        <v>3718</v>
      </c>
      <c r="J131" s="481" t="s">
        <v>3783</v>
      </c>
      <c r="K131" s="481" t="s">
        <v>3624</v>
      </c>
      <c r="L131" s="481" t="s">
        <v>3784</v>
      </c>
      <c r="M131" s="481" t="s">
        <v>3785</v>
      </c>
      <c r="N131" s="481" t="s">
        <v>3627</v>
      </c>
      <c r="O131" s="481" t="s">
        <v>3785</v>
      </c>
      <c r="P131" s="481" t="s">
        <v>3628</v>
      </c>
      <c r="Q131" s="481" t="s">
        <v>3072</v>
      </c>
      <c r="R131" s="481" t="s">
        <v>3261</v>
      </c>
      <c r="S131" s="480">
        <v>43521</v>
      </c>
      <c r="T131" s="481" t="s">
        <v>3629</v>
      </c>
      <c r="U131" s="480">
        <v>43521</v>
      </c>
      <c r="V131" s="481" t="s">
        <v>231</v>
      </c>
      <c r="W131" s="481" t="s">
        <v>145</v>
      </c>
      <c r="X131" s="481" t="s">
        <v>3631</v>
      </c>
      <c r="Y131" s="482" t="s">
        <v>3632</v>
      </c>
      <c r="Z131" s="482" t="s">
        <v>3633</v>
      </c>
    </row>
    <row r="132" spans="1:26" x14ac:dyDescent="0.25">
      <c r="A132" s="481">
        <v>495</v>
      </c>
      <c r="B132" s="481" t="s">
        <v>3617</v>
      </c>
      <c r="C132" s="481" t="s">
        <v>3618</v>
      </c>
      <c r="D132" s="481" t="s">
        <v>3786</v>
      </c>
      <c r="E132" s="481"/>
      <c r="F132" s="484">
        <v>43698</v>
      </c>
      <c r="G132" s="481" t="s">
        <v>3787</v>
      </c>
      <c r="H132" s="481" t="s">
        <v>3788</v>
      </c>
      <c r="I132" s="481" t="s">
        <v>3789</v>
      </c>
      <c r="J132" s="481" t="s">
        <v>3790</v>
      </c>
      <c r="K132" s="481" t="s">
        <v>3624</v>
      </c>
      <c r="L132" s="481" t="s">
        <v>3784</v>
      </c>
      <c r="M132" s="481" t="s">
        <v>3791</v>
      </c>
      <c r="N132" s="481" t="s">
        <v>3627</v>
      </c>
      <c r="O132" s="481" t="s">
        <v>3791</v>
      </c>
      <c r="P132" s="481" t="s">
        <v>3628</v>
      </c>
      <c r="Q132" s="481" t="s">
        <v>3072</v>
      </c>
      <c r="R132" s="481" t="s">
        <v>1456</v>
      </c>
      <c r="S132" s="480">
        <v>43698</v>
      </c>
      <c r="T132" s="481" t="s">
        <v>3629</v>
      </c>
      <c r="U132" s="480">
        <v>43698</v>
      </c>
      <c r="V132" s="481" t="s">
        <v>231</v>
      </c>
      <c r="W132" s="481" t="s">
        <v>110</v>
      </c>
      <c r="X132" s="481" t="s">
        <v>3631</v>
      </c>
      <c r="Y132" s="482" t="s">
        <v>3632</v>
      </c>
      <c r="Z132" s="482" t="s">
        <v>3633</v>
      </c>
    </row>
    <row r="133" spans="1:26" x14ac:dyDescent="0.25">
      <c r="A133" s="481">
        <v>496</v>
      </c>
      <c r="B133" s="481" t="s">
        <v>3617</v>
      </c>
      <c r="C133" s="481" t="s">
        <v>3775</v>
      </c>
      <c r="D133" s="481" t="s">
        <v>3792</v>
      </c>
      <c r="E133" s="481"/>
      <c r="F133" s="484">
        <v>43759</v>
      </c>
      <c r="G133" s="481" t="s">
        <v>3793</v>
      </c>
      <c r="H133" s="481" t="s">
        <v>3481</v>
      </c>
      <c r="I133" s="481" t="s">
        <v>3622</v>
      </c>
      <c r="J133" s="481" t="s">
        <v>3794</v>
      </c>
      <c r="K133" s="481" t="s">
        <v>3624</v>
      </c>
      <c r="L133" s="481" t="s">
        <v>3784</v>
      </c>
      <c r="M133" s="481" t="s">
        <v>3795</v>
      </c>
      <c r="N133" s="481" t="s">
        <v>3627</v>
      </c>
      <c r="O133" s="481" t="s">
        <v>3795</v>
      </c>
      <c r="P133" s="481" t="s">
        <v>3628</v>
      </c>
      <c r="Q133" s="481" t="s">
        <v>3072</v>
      </c>
      <c r="R133" s="481" t="s">
        <v>3261</v>
      </c>
      <c r="S133" s="480">
        <v>43759</v>
      </c>
      <c r="T133" s="481" t="s">
        <v>3629</v>
      </c>
      <c r="U133" s="480">
        <v>43759</v>
      </c>
      <c r="V133" s="481" t="s">
        <v>231</v>
      </c>
      <c r="W133" s="481" t="s">
        <v>3630</v>
      </c>
      <c r="X133" s="481" t="s">
        <v>3631</v>
      </c>
      <c r="Y133" s="482" t="s">
        <v>3632</v>
      </c>
      <c r="Z133" s="482" t="s">
        <v>3633</v>
      </c>
    </row>
    <row r="134" spans="1:26" x14ac:dyDescent="0.25">
      <c r="A134" s="481">
        <v>497</v>
      </c>
      <c r="B134" s="481" t="s">
        <v>3617</v>
      </c>
      <c r="C134" s="481" t="s">
        <v>3796</v>
      </c>
      <c r="D134" s="481" t="s">
        <v>3797</v>
      </c>
      <c r="E134" s="481"/>
      <c r="F134" s="484">
        <v>43759</v>
      </c>
      <c r="G134" s="481" t="s">
        <v>3793</v>
      </c>
      <c r="H134" s="481" t="s">
        <v>3481</v>
      </c>
      <c r="I134" s="481" t="s">
        <v>3622</v>
      </c>
      <c r="J134" s="481" t="s">
        <v>3798</v>
      </c>
      <c r="K134" s="481" t="s">
        <v>3624</v>
      </c>
      <c r="L134" s="481" t="s">
        <v>3784</v>
      </c>
      <c r="M134" s="481" t="s">
        <v>3799</v>
      </c>
      <c r="N134" s="481" t="s">
        <v>3627</v>
      </c>
      <c r="O134" s="481" t="s">
        <v>3799</v>
      </c>
      <c r="P134" s="481" t="s">
        <v>3628</v>
      </c>
      <c r="Q134" s="481" t="s">
        <v>3072</v>
      </c>
      <c r="R134" s="481" t="s">
        <v>3261</v>
      </c>
      <c r="S134" s="480">
        <v>43759</v>
      </c>
      <c r="T134" s="481" t="s">
        <v>3629</v>
      </c>
      <c r="U134" s="480">
        <v>43759</v>
      </c>
      <c r="V134" s="481" t="s">
        <v>231</v>
      </c>
      <c r="W134" s="481" t="s">
        <v>3630</v>
      </c>
      <c r="X134" s="481" t="s">
        <v>3631</v>
      </c>
      <c r="Y134" s="482" t="s">
        <v>3632</v>
      </c>
      <c r="Z134" s="482" t="s">
        <v>3633</v>
      </c>
    </row>
    <row r="135" spans="1:26" x14ac:dyDescent="0.25">
      <c r="A135" s="481">
        <v>498</v>
      </c>
      <c r="B135" s="481" t="s">
        <v>3617</v>
      </c>
      <c r="C135" s="481" t="s">
        <v>3779</v>
      </c>
      <c r="D135" s="481" t="s">
        <v>3800</v>
      </c>
      <c r="E135" s="481"/>
      <c r="F135" s="484">
        <v>43802</v>
      </c>
      <c r="G135" s="481" t="s">
        <v>3801</v>
      </c>
      <c r="H135" s="481" t="s">
        <v>3802</v>
      </c>
      <c r="I135" s="481" t="s">
        <v>3622</v>
      </c>
      <c r="J135" s="481" t="s">
        <v>3803</v>
      </c>
      <c r="K135" s="481" t="s">
        <v>3624</v>
      </c>
      <c r="L135" s="481" t="s">
        <v>3784</v>
      </c>
      <c r="M135" s="481" t="s">
        <v>3804</v>
      </c>
      <c r="N135" s="481" t="s">
        <v>3627</v>
      </c>
      <c r="O135" s="481" t="s">
        <v>3804</v>
      </c>
      <c r="P135" s="481" t="s">
        <v>3628</v>
      </c>
      <c r="Q135" s="481" t="s">
        <v>3072</v>
      </c>
      <c r="R135" s="481" t="s">
        <v>3261</v>
      </c>
      <c r="S135" s="480">
        <v>43802</v>
      </c>
      <c r="T135" s="481" t="s">
        <v>3629</v>
      </c>
      <c r="U135" s="480">
        <v>43802</v>
      </c>
      <c r="V135" s="481" t="s">
        <v>231</v>
      </c>
      <c r="W135" s="481" t="s">
        <v>3630</v>
      </c>
      <c r="X135" s="481" t="s">
        <v>3631</v>
      </c>
      <c r="Y135" s="482" t="s">
        <v>3632</v>
      </c>
      <c r="Z135" s="482" t="s">
        <v>3633</v>
      </c>
    </row>
    <row r="136" spans="1:26" x14ac:dyDescent="0.25">
      <c r="A136" s="481">
        <v>499</v>
      </c>
      <c r="B136" s="481" t="s">
        <v>3617</v>
      </c>
      <c r="C136" s="481" t="s">
        <v>3723</v>
      </c>
      <c r="D136" s="481" t="s">
        <v>3805</v>
      </c>
      <c r="E136" s="481"/>
      <c r="F136" s="484">
        <v>43802</v>
      </c>
      <c r="G136" s="481" t="s">
        <v>3802</v>
      </c>
      <c r="H136" s="481" t="s">
        <v>3397</v>
      </c>
      <c r="I136" s="481" t="s">
        <v>3622</v>
      </c>
      <c r="J136" s="481" t="s">
        <v>3806</v>
      </c>
      <c r="K136" s="481" t="s">
        <v>3624</v>
      </c>
      <c r="L136" s="481" t="s">
        <v>3784</v>
      </c>
      <c r="M136" s="481" t="s">
        <v>3807</v>
      </c>
      <c r="N136" s="481" t="s">
        <v>3627</v>
      </c>
      <c r="O136" s="481" t="s">
        <v>3807</v>
      </c>
      <c r="P136" s="481" t="s">
        <v>3628</v>
      </c>
      <c r="Q136" s="481" t="s">
        <v>3072</v>
      </c>
      <c r="R136" s="481" t="s">
        <v>3261</v>
      </c>
      <c r="S136" s="480">
        <v>43802</v>
      </c>
      <c r="T136" s="481" t="s">
        <v>3629</v>
      </c>
      <c r="U136" s="480">
        <v>43802</v>
      </c>
      <c r="V136" s="481" t="s">
        <v>231</v>
      </c>
      <c r="W136" s="481" t="s">
        <v>3630</v>
      </c>
      <c r="X136" s="481" t="s">
        <v>3631</v>
      </c>
      <c r="Y136" s="482" t="s">
        <v>3632</v>
      </c>
      <c r="Z136" s="482" t="s">
        <v>3633</v>
      </c>
    </row>
    <row r="137" spans="1:26" x14ac:dyDescent="0.25">
      <c r="A137" s="481">
        <v>500</v>
      </c>
      <c r="B137" s="481" t="s">
        <v>3617</v>
      </c>
      <c r="C137" s="481" t="s">
        <v>3796</v>
      </c>
      <c r="D137" s="481" t="s">
        <v>3808</v>
      </c>
      <c r="E137" s="481"/>
      <c r="F137" s="484">
        <v>43802</v>
      </c>
      <c r="G137" s="481" t="s">
        <v>3802</v>
      </c>
      <c r="H137" s="481" t="s">
        <v>3809</v>
      </c>
      <c r="I137" s="481" t="s">
        <v>3622</v>
      </c>
      <c r="J137" s="481" t="s">
        <v>3810</v>
      </c>
      <c r="K137" s="481" t="s">
        <v>3624</v>
      </c>
      <c r="L137" s="481" t="s">
        <v>3784</v>
      </c>
      <c r="M137" s="481" t="s">
        <v>3811</v>
      </c>
      <c r="N137" s="481" t="s">
        <v>3627</v>
      </c>
      <c r="O137" s="481" t="s">
        <v>3811</v>
      </c>
      <c r="P137" s="481" t="s">
        <v>3628</v>
      </c>
      <c r="Q137" s="481" t="s">
        <v>3072</v>
      </c>
      <c r="R137" s="481" t="s">
        <v>3261</v>
      </c>
      <c r="S137" s="480">
        <v>43802</v>
      </c>
      <c r="T137" s="481" t="s">
        <v>3629</v>
      </c>
      <c r="U137" s="480">
        <v>43802</v>
      </c>
      <c r="V137" s="481" t="s">
        <v>231</v>
      </c>
      <c r="W137" s="481" t="s">
        <v>3630</v>
      </c>
      <c r="X137" s="481" t="s">
        <v>3631</v>
      </c>
      <c r="Y137" s="482" t="s">
        <v>3632</v>
      </c>
      <c r="Z137" s="482" t="s">
        <v>3633</v>
      </c>
    </row>
    <row r="138" spans="1:26" x14ac:dyDescent="0.25">
      <c r="A138" s="481">
        <v>501</v>
      </c>
      <c r="B138" s="481" t="s">
        <v>3617</v>
      </c>
      <c r="C138" s="481" t="s">
        <v>3779</v>
      </c>
      <c r="D138" s="481" t="s">
        <v>3812</v>
      </c>
      <c r="E138" s="481"/>
      <c r="F138" s="484">
        <v>44060</v>
      </c>
      <c r="G138" s="481" t="s">
        <v>3813</v>
      </c>
      <c r="H138" s="481" t="s">
        <v>3729</v>
      </c>
      <c r="I138" s="481" t="s">
        <v>3622</v>
      </c>
      <c r="J138" s="481" t="s">
        <v>3814</v>
      </c>
      <c r="K138" s="481" t="s">
        <v>3624</v>
      </c>
      <c r="L138" s="481" t="s">
        <v>3784</v>
      </c>
      <c r="M138" s="481" t="s">
        <v>3815</v>
      </c>
      <c r="N138" s="481" t="s">
        <v>3627</v>
      </c>
      <c r="O138" s="481" t="s">
        <v>3815</v>
      </c>
      <c r="P138" s="481" t="s">
        <v>3628</v>
      </c>
      <c r="Q138" s="481" t="s">
        <v>3072</v>
      </c>
      <c r="R138" s="481" t="s">
        <v>3261</v>
      </c>
      <c r="S138" s="480">
        <v>44060</v>
      </c>
      <c r="T138" s="481" t="s">
        <v>3629</v>
      </c>
      <c r="U138" s="480">
        <v>44060</v>
      </c>
      <c r="V138" s="481" t="s">
        <v>231</v>
      </c>
      <c r="W138" s="481" t="s">
        <v>3630</v>
      </c>
      <c r="X138" s="481" t="s">
        <v>3631</v>
      </c>
      <c r="Y138" s="482" t="s">
        <v>3632</v>
      </c>
      <c r="Z138" s="482" t="s">
        <v>3633</v>
      </c>
    </row>
    <row r="139" spans="1:26" x14ac:dyDescent="0.25">
      <c r="A139" s="481">
        <v>502</v>
      </c>
      <c r="B139" s="481" t="s">
        <v>3617</v>
      </c>
      <c r="C139" s="481" t="s">
        <v>3816</v>
      </c>
      <c r="D139" s="481" t="s">
        <v>3817</v>
      </c>
      <c r="E139" s="481"/>
      <c r="F139" s="484">
        <v>44060</v>
      </c>
      <c r="G139" s="481" t="s">
        <v>3813</v>
      </c>
      <c r="H139" s="481" t="s">
        <v>3818</v>
      </c>
      <c r="I139" s="481" t="s">
        <v>3622</v>
      </c>
      <c r="J139" s="481" t="s">
        <v>3814</v>
      </c>
      <c r="K139" s="481" t="s">
        <v>3624</v>
      </c>
      <c r="L139" s="481" t="s">
        <v>3784</v>
      </c>
      <c r="M139" s="481" t="s">
        <v>3815</v>
      </c>
      <c r="N139" s="481" t="s">
        <v>3627</v>
      </c>
      <c r="O139" s="481" t="s">
        <v>3815</v>
      </c>
      <c r="P139" s="481" t="s">
        <v>3628</v>
      </c>
      <c r="Q139" s="481" t="s">
        <v>3072</v>
      </c>
      <c r="R139" s="481" t="s">
        <v>3261</v>
      </c>
      <c r="S139" s="480">
        <v>44060</v>
      </c>
      <c r="T139" s="481" t="s">
        <v>3629</v>
      </c>
      <c r="U139" s="480">
        <v>44060</v>
      </c>
      <c r="V139" s="481" t="s">
        <v>231</v>
      </c>
      <c r="W139" s="481" t="s">
        <v>3630</v>
      </c>
      <c r="X139" s="481" t="s">
        <v>3631</v>
      </c>
      <c r="Y139" s="482" t="s">
        <v>3632</v>
      </c>
      <c r="Z139" s="482" t="s">
        <v>3633</v>
      </c>
    </row>
    <row r="140" spans="1:26" x14ac:dyDescent="0.25">
      <c r="A140" s="481">
        <v>503</v>
      </c>
      <c r="B140" s="481" t="s">
        <v>3617</v>
      </c>
      <c r="C140" s="481" t="s">
        <v>3618</v>
      </c>
      <c r="D140" s="481" t="s">
        <v>3819</v>
      </c>
      <c r="E140" s="481"/>
      <c r="F140" s="484">
        <v>44060</v>
      </c>
      <c r="G140" s="481" t="s">
        <v>3820</v>
      </c>
      <c r="H140" s="481" t="s">
        <v>3517</v>
      </c>
      <c r="I140" s="481" t="s">
        <v>3622</v>
      </c>
      <c r="J140" s="481" t="s">
        <v>3821</v>
      </c>
      <c r="K140" s="481" t="s">
        <v>3624</v>
      </c>
      <c r="L140" s="481" t="s">
        <v>3822</v>
      </c>
      <c r="M140" s="481" t="s">
        <v>3823</v>
      </c>
      <c r="N140" s="481" t="s">
        <v>3627</v>
      </c>
      <c r="O140" s="481" t="s">
        <v>3823</v>
      </c>
      <c r="P140" s="481" t="s">
        <v>3628</v>
      </c>
      <c r="Q140" s="481" t="s">
        <v>3072</v>
      </c>
      <c r="R140" s="481" t="s">
        <v>1456</v>
      </c>
      <c r="S140" s="480">
        <v>44060</v>
      </c>
      <c r="T140" s="481" t="s">
        <v>3629</v>
      </c>
      <c r="U140" s="480">
        <v>44060</v>
      </c>
      <c r="V140" s="481" t="s">
        <v>231</v>
      </c>
      <c r="W140" s="481" t="s">
        <v>3630</v>
      </c>
      <c r="X140" s="481" t="s">
        <v>3631</v>
      </c>
      <c r="Y140" s="482" t="s">
        <v>3632</v>
      </c>
      <c r="Z140" s="482" t="s">
        <v>3633</v>
      </c>
    </row>
    <row r="141" spans="1:26" x14ac:dyDescent="0.25">
      <c r="A141" s="481">
        <v>504</v>
      </c>
      <c r="B141" s="481" t="s">
        <v>3617</v>
      </c>
      <c r="C141" s="481" t="s">
        <v>3723</v>
      </c>
      <c r="D141" s="481" t="s">
        <v>3824</v>
      </c>
      <c r="E141" s="481"/>
      <c r="F141" s="484">
        <v>44060</v>
      </c>
      <c r="G141" s="481" t="s">
        <v>3517</v>
      </c>
      <c r="H141" s="481" t="s">
        <v>3518</v>
      </c>
      <c r="I141" s="481" t="s">
        <v>3622</v>
      </c>
      <c r="J141" s="481" t="s">
        <v>3825</v>
      </c>
      <c r="K141" s="481" t="s">
        <v>3624</v>
      </c>
      <c r="L141" s="481" t="s">
        <v>3822</v>
      </c>
      <c r="M141" s="481" t="s">
        <v>3521</v>
      </c>
      <c r="N141" s="481" t="s">
        <v>3627</v>
      </c>
      <c r="O141" s="481" t="s">
        <v>3521</v>
      </c>
      <c r="P141" s="481" t="s">
        <v>3628</v>
      </c>
      <c r="Q141" s="481" t="s">
        <v>3072</v>
      </c>
      <c r="R141" s="481" t="s">
        <v>3261</v>
      </c>
      <c r="S141" s="480">
        <v>44060</v>
      </c>
      <c r="T141" s="481" t="s">
        <v>3629</v>
      </c>
      <c r="U141" s="480">
        <v>44060</v>
      </c>
      <c r="V141" s="481" t="s">
        <v>231</v>
      </c>
      <c r="W141" s="481" t="s">
        <v>3630</v>
      </c>
      <c r="X141" s="481" t="s">
        <v>3631</v>
      </c>
      <c r="Y141" s="482" t="s">
        <v>3632</v>
      </c>
      <c r="Z141" s="482" t="s">
        <v>3633</v>
      </c>
    </row>
    <row r="142" spans="1:26" x14ac:dyDescent="0.25">
      <c r="A142" s="481">
        <v>505</v>
      </c>
      <c r="B142" s="481" t="s">
        <v>3617</v>
      </c>
      <c r="C142" s="481" t="s">
        <v>3796</v>
      </c>
      <c r="D142" s="481" t="s">
        <v>3826</v>
      </c>
      <c r="E142" s="481"/>
      <c r="F142" s="484">
        <v>44060</v>
      </c>
      <c r="G142" s="481" t="s">
        <v>3517</v>
      </c>
      <c r="H142" s="481" t="s">
        <v>3518</v>
      </c>
      <c r="I142" s="481" t="s">
        <v>3622</v>
      </c>
      <c r="J142" s="481" t="s">
        <v>3827</v>
      </c>
      <c r="K142" s="481" t="s">
        <v>3624</v>
      </c>
      <c r="L142" s="481" t="s">
        <v>3822</v>
      </c>
      <c r="M142" s="481" t="s">
        <v>3828</v>
      </c>
      <c r="N142" s="481" t="s">
        <v>3627</v>
      </c>
      <c r="O142" s="481" t="s">
        <v>3828</v>
      </c>
      <c r="P142" s="481" t="s">
        <v>3628</v>
      </c>
      <c r="Q142" s="481" t="s">
        <v>3072</v>
      </c>
      <c r="R142" s="481" t="s">
        <v>3261</v>
      </c>
      <c r="S142" s="480">
        <v>44060</v>
      </c>
      <c r="T142" s="481" t="s">
        <v>3629</v>
      </c>
      <c r="U142" s="480">
        <v>44060</v>
      </c>
      <c r="V142" s="481" t="s">
        <v>231</v>
      </c>
      <c r="W142" s="481" t="s">
        <v>3630</v>
      </c>
      <c r="X142" s="481" t="s">
        <v>3631</v>
      </c>
      <c r="Y142" s="482" t="s">
        <v>3632</v>
      </c>
      <c r="Z142" s="482" t="s">
        <v>3633</v>
      </c>
    </row>
    <row r="143" spans="1:26" x14ac:dyDescent="0.25">
      <c r="A143" s="481">
        <v>506</v>
      </c>
      <c r="B143" s="481" t="s">
        <v>3617</v>
      </c>
      <c r="C143" s="481" t="s">
        <v>3618</v>
      </c>
      <c r="D143" s="481" t="s">
        <v>3829</v>
      </c>
      <c r="E143" s="481"/>
      <c r="F143" s="484">
        <v>44118</v>
      </c>
      <c r="G143" s="481" t="s">
        <v>3830</v>
      </c>
      <c r="H143" s="481" t="s">
        <v>3831</v>
      </c>
      <c r="I143" s="481" t="s">
        <v>3622</v>
      </c>
      <c r="J143" s="481" t="s">
        <v>3832</v>
      </c>
      <c r="K143" s="481" t="s">
        <v>3624</v>
      </c>
      <c r="L143" s="481" t="s">
        <v>3822</v>
      </c>
      <c r="M143" s="481" t="s">
        <v>3833</v>
      </c>
      <c r="N143" s="481" t="s">
        <v>3627</v>
      </c>
      <c r="O143" s="481" t="s">
        <v>3833</v>
      </c>
      <c r="P143" s="481" t="s">
        <v>3628</v>
      </c>
      <c r="Q143" s="481" t="s">
        <v>3072</v>
      </c>
      <c r="R143" s="481" t="s">
        <v>1456</v>
      </c>
      <c r="S143" s="480">
        <v>44118</v>
      </c>
      <c r="T143" s="481" t="s">
        <v>3629</v>
      </c>
      <c r="U143" s="480">
        <v>44118</v>
      </c>
      <c r="V143" s="481" t="s">
        <v>231</v>
      </c>
      <c r="W143" s="481" t="s">
        <v>3630</v>
      </c>
      <c r="X143" s="481" t="s">
        <v>3631</v>
      </c>
      <c r="Y143" s="482" t="s">
        <v>3632</v>
      </c>
      <c r="Z143" s="482" t="s">
        <v>3633</v>
      </c>
    </row>
    <row r="144" spans="1:26" x14ac:dyDescent="0.25">
      <c r="A144" s="481">
        <v>507</v>
      </c>
      <c r="B144" s="481" t="s">
        <v>3617</v>
      </c>
      <c r="C144" s="481" t="s">
        <v>3726</v>
      </c>
      <c r="D144" s="481" t="s">
        <v>3834</v>
      </c>
      <c r="E144" s="481"/>
      <c r="F144" s="484">
        <v>44126</v>
      </c>
      <c r="G144" s="481" t="s">
        <v>3397</v>
      </c>
      <c r="H144" s="481" t="s">
        <v>3428</v>
      </c>
      <c r="I144" s="481" t="s">
        <v>3622</v>
      </c>
      <c r="J144" s="481" t="s">
        <v>3835</v>
      </c>
      <c r="K144" s="481" t="s">
        <v>3624</v>
      </c>
      <c r="L144" s="481" t="s">
        <v>3822</v>
      </c>
      <c r="M144" s="481" t="s">
        <v>3836</v>
      </c>
      <c r="N144" s="481" t="s">
        <v>3627</v>
      </c>
      <c r="O144" s="481" t="s">
        <v>3836</v>
      </c>
      <c r="P144" s="481" t="s">
        <v>3628</v>
      </c>
      <c r="Q144" s="481" t="s">
        <v>3072</v>
      </c>
      <c r="R144" s="481" t="s">
        <v>3261</v>
      </c>
      <c r="S144" s="480">
        <v>44126</v>
      </c>
      <c r="T144" s="481" t="s">
        <v>3629</v>
      </c>
      <c r="U144" s="480">
        <v>44126</v>
      </c>
      <c r="V144" s="481" t="s">
        <v>231</v>
      </c>
      <c r="W144" s="481" t="s">
        <v>3630</v>
      </c>
      <c r="X144" s="481" t="s">
        <v>3631</v>
      </c>
      <c r="Y144" s="482" t="s">
        <v>3632</v>
      </c>
      <c r="Z144" s="482" t="s">
        <v>3633</v>
      </c>
    </row>
    <row r="145" spans="1:26" x14ac:dyDescent="0.25">
      <c r="A145" s="481">
        <v>508</v>
      </c>
      <c r="B145" s="481" t="s">
        <v>3617</v>
      </c>
      <c r="C145" s="481" t="s">
        <v>64</v>
      </c>
      <c r="D145" s="481" t="s">
        <v>3837</v>
      </c>
      <c r="E145" s="481"/>
      <c r="F145" s="484">
        <v>44144</v>
      </c>
      <c r="G145" s="481" t="s">
        <v>3838</v>
      </c>
      <c r="H145" s="481" t="s">
        <v>3839</v>
      </c>
      <c r="I145" s="481" t="s">
        <v>3622</v>
      </c>
      <c r="J145" s="481" t="s">
        <v>3840</v>
      </c>
      <c r="K145" s="481" t="s">
        <v>3624</v>
      </c>
      <c r="L145" s="481" t="s">
        <v>3822</v>
      </c>
      <c r="M145" s="481" t="s">
        <v>3841</v>
      </c>
      <c r="N145" s="481" t="s">
        <v>3627</v>
      </c>
      <c r="O145" s="481" t="s">
        <v>3841</v>
      </c>
      <c r="P145" s="481" t="s">
        <v>3628</v>
      </c>
      <c r="Q145" s="481" t="s">
        <v>3072</v>
      </c>
      <c r="R145" s="481" t="s">
        <v>3237</v>
      </c>
      <c r="S145" s="480">
        <v>44144</v>
      </c>
      <c r="T145" s="481" t="s">
        <v>3629</v>
      </c>
      <c r="U145" s="480">
        <v>44144</v>
      </c>
      <c r="V145" s="481" t="s">
        <v>231</v>
      </c>
      <c r="W145" s="481" t="s">
        <v>3630</v>
      </c>
      <c r="X145" s="481" t="s">
        <v>3631</v>
      </c>
      <c r="Y145" s="482" t="s">
        <v>3632</v>
      </c>
      <c r="Z145" s="482" t="s">
        <v>3633</v>
      </c>
    </row>
    <row r="146" spans="1:26" x14ac:dyDescent="0.25">
      <c r="A146" s="481">
        <v>509</v>
      </c>
      <c r="B146" s="481" t="s">
        <v>3617</v>
      </c>
      <c r="C146" s="481" t="s">
        <v>3779</v>
      </c>
      <c r="D146" s="481" t="s">
        <v>3842</v>
      </c>
      <c r="E146" s="481"/>
      <c r="F146" s="484">
        <v>44272</v>
      </c>
      <c r="G146" s="481" t="s">
        <v>3397</v>
      </c>
      <c r="H146" s="481" t="s">
        <v>3843</v>
      </c>
      <c r="I146" s="481" t="s">
        <v>3622</v>
      </c>
      <c r="J146" s="481" t="s">
        <v>3844</v>
      </c>
      <c r="K146" s="481" t="s">
        <v>3624</v>
      </c>
      <c r="L146" s="481" t="s">
        <v>3822</v>
      </c>
      <c r="M146" s="481" t="s">
        <v>3514</v>
      </c>
      <c r="N146" s="481" t="s">
        <v>3627</v>
      </c>
      <c r="O146" s="481" t="s">
        <v>3514</v>
      </c>
      <c r="P146" s="481" t="s">
        <v>3628</v>
      </c>
      <c r="Q146" s="481" t="s">
        <v>3072</v>
      </c>
      <c r="R146" s="481" t="s">
        <v>3261</v>
      </c>
      <c r="S146" s="480">
        <v>44272</v>
      </c>
      <c r="T146" s="481" t="s">
        <v>3629</v>
      </c>
      <c r="U146" s="480">
        <v>44272</v>
      </c>
      <c r="V146" s="481" t="s">
        <v>231</v>
      </c>
      <c r="W146" s="481" t="s">
        <v>3630</v>
      </c>
      <c r="X146" s="481" t="s">
        <v>3631</v>
      </c>
      <c r="Y146" s="482" t="s">
        <v>3632</v>
      </c>
      <c r="Z146" s="482" t="s">
        <v>3633</v>
      </c>
    </row>
    <row r="147" spans="1:26" x14ac:dyDescent="0.25">
      <c r="A147" s="481">
        <v>510</v>
      </c>
      <c r="B147" s="481" t="s">
        <v>3617</v>
      </c>
      <c r="C147" s="481" t="s">
        <v>3726</v>
      </c>
      <c r="D147" s="481" t="s">
        <v>3845</v>
      </c>
      <c r="E147" s="481"/>
      <c r="F147" s="484">
        <v>44312</v>
      </c>
      <c r="G147" s="481" t="s">
        <v>3809</v>
      </c>
      <c r="H147" s="481" t="s">
        <v>3846</v>
      </c>
      <c r="I147" s="481" t="s">
        <v>3847</v>
      </c>
      <c r="J147" s="481" t="s">
        <v>3848</v>
      </c>
      <c r="K147" s="481" t="s">
        <v>3624</v>
      </c>
      <c r="L147" s="481" t="s">
        <v>3822</v>
      </c>
      <c r="M147" s="481" t="s">
        <v>3849</v>
      </c>
      <c r="N147" s="481" t="s">
        <v>3627</v>
      </c>
      <c r="O147" s="481" t="s">
        <v>3849</v>
      </c>
      <c r="P147" s="481" t="s">
        <v>3628</v>
      </c>
      <c r="Q147" s="481" t="s">
        <v>3072</v>
      </c>
      <c r="R147" s="481" t="s">
        <v>3261</v>
      </c>
      <c r="S147" s="480">
        <v>44312</v>
      </c>
      <c r="T147" s="481" t="s">
        <v>3629</v>
      </c>
      <c r="U147" s="480">
        <v>44312</v>
      </c>
      <c r="V147" s="481" t="s">
        <v>231</v>
      </c>
      <c r="W147" s="481" t="s">
        <v>3850</v>
      </c>
      <c r="X147" s="481" t="s">
        <v>3631</v>
      </c>
      <c r="Y147" s="482" t="s">
        <v>3632</v>
      </c>
      <c r="Z147" s="482" t="s">
        <v>3633</v>
      </c>
    </row>
    <row r="148" spans="1:26" x14ac:dyDescent="0.25">
      <c r="A148" s="481">
        <v>511</v>
      </c>
      <c r="B148" s="481" t="s">
        <v>3617</v>
      </c>
      <c r="C148" s="481" t="s">
        <v>3851</v>
      </c>
      <c r="D148" s="481" t="s">
        <v>3852</v>
      </c>
      <c r="E148" s="481"/>
      <c r="F148" s="484">
        <v>44314</v>
      </c>
      <c r="G148" s="481" t="s">
        <v>3846</v>
      </c>
      <c r="H148" s="481" t="s">
        <v>3853</v>
      </c>
      <c r="I148" s="481" t="s">
        <v>3622</v>
      </c>
      <c r="J148" s="481" t="s">
        <v>3854</v>
      </c>
      <c r="K148" s="481" t="s">
        <v>3624</v>
      </c>
      <c r="L148" s="481" t="s">
        <v>3822</v>
      </c>
      <c r="M148" s="481" t="s">
        <v>3855</v>
      </c>
      <c r="N148" s="481" t="s">
        <v>3627</v>
      </c>
      <c r="O148" s="481" t="s">
        <v>3855</v>
      </c>
      <c r="P148" s="481" t="s">
        <v>3628</v>
      </c>
      <c r="Q148" s="481" t="s">
        <v>3072</v>
      </c>
      <c r="R148" s="481" t="s">
        <v>3556</v>
      </c>
      <c r="S148" s="480">
        <v>44314</v>
      </c>
      <c r="T148" s="481" t="s">
        <v>3629</v>
      </c>
      <c r="U148" s="480">
        <v>44314</v>
      </c>
      <c r="V148" s="481" t="s">
        <v>231</v>
      </c>
      <c r="W148" s="481" t="s">
        <v>3630</v>
      </c>
      <c r="X148" s="481" t="s">
        <v>3631</v>
      </c>
      <c r="Y148" s="482" t="s">
        <v>3632</v>
      </c>
      <c r="Z148" s="482" t="s">
        <v>3633</v>
      </c>
    </row>
    <row r="149" spans="1:26" x14ac:dyDescent="0.25">
      <c r="A149" s="481">
        <v>512</v>
      </c>
      <c r="B149" s="481" t="s">
        <v>3617</v>
      </c>
      <c r="C149" s="481" t="s">
        <v>3723</v>
      </c>
      <c r="D149" s="481" t="s">
        <v>3856</v>
      </c>
      <c r="E149" s="481"/>
      <c r="F149" s="484">
        <v>44462</v>
      </c>
      <c r="G149" s="481" t="s">
        <v>3517</v>
      </c>
      <c r="H149" s="481" t="s">
        <v>3524</v>
      </c>
      <c r="I149" s="481" t="s">
        <v>3622</v>
      </c>
      <c r="J149" s="481" t="s">
        <v>3857</v>
      </c>
      <c r="K149" s="481" t="s">
        <v>3624</v>
      </c>
      <c r="L149" s="481" t="s">
        <v>3858</v>
      </c>
      <c r="M149" s="481" t="s">
        <v>3527</v>
      </c>
      <c r="N149" s="481" t="s">
        <v>3627</v>
      </c>
      <c r="O149" s="481" t="s">
        <v>3527</v>
      </c>
      <c r="P149" s="481" t="s">
        <v>3628</v>
      </c>
      <c r="Q149" s="481" t="s">
        <v>3072</v>
      </c>
      <c r="R149" s="481" t="s">
        <v>3261</v>
      </c>
      <c r="S149" s="480">
        <v>44462</v>
      </c>
      <c r="T149" s="481" t="s">
        <v>3629</v>
      </c>
      <c r="U149" s="480">
        <v>44462</v>
      </c>
      <c r="V149" s="481" t="s">
        <v>231</v>
      </c>
      <c r="W149" s="481" t="s">
        <v>3630</v>
      </c>
      <c r="X149" s="481" t="s">
        <v>3631</v>
      </c>
      <c r="Y149" s="482" t="s">
        <v>3632</v>
      </c>
      <c r="Z149" s="482" t="s">
        <v>3633</v>
      </c>
    </row>
    <row r="150" spans="1:26" x14ac:dyDescent="0.25">
      <c r="A150" s="481">
        <v>513</v>
      </c>
      <c r="B150" s="481" t="s">
        <v>3617</v>
      </c>
      <c r="C150" s="481" t="s">
        <v>113</v>
      </c>
      <c r="D150" s="481" t="s">
        <v>3859</v>
      </c>
      <c r="E150" s="481"/>
      <c r="F150" s="484">
        <v>44462</v>
      </c>
      <c r="G150" s="481" t="s">
        <v>3860</v>
      </c>
      <c r="H150" s="481" t="s">
        <v>3753</v>
      </c>
      <c r="I150" s="481" t="s">
        <v>3622</v>
      </c>
      <c r="J150" s="481" t="s">
        <v>3861</v>
      </c>
      <c r="K150" s="481" t="s">
        <v>3624</v>
      </c>
      <c r="L150" s="481" t="s">
        <v>3858</v>
      </c>
      <c r="M150" s="481" t="s">
        <v>3862</v>
      </c>
      <c r="N150" s="481" t="s">
        <v>3627</v>
      </c>
      <c r="O150" s="481" t="s">
        <v>3862</v>
      </c>
      <c r="P150" s="481" t="s">
        <v>3628</v>
      </c>
      <c r="Q150" s="481" t="s">
        <v>3072</v>
      </c>
      <c r="R150" s="481" t="s">
        <v>3863</v>
      </c>
      <c r="S150" s="480">
        <v>44462</v>
      </c>
      <c r="T150" s="481" t="s">
        <v>3629</v>
      </c>
      <c r="U150" s="480">
        <v>44462</v>
      </c>
      <c r="V150" s="481" t="s">
        <v>231</v>
      </c>
      <c r="W150" s="481" t="s">
        <v>3630</v>
      </c>
      <c r="X150" s="481" t="s">
        <v>3631</v>
      </c>
      <c r="Y150" s="482" t="s">
        <v>3632</v>
      </c>
      <c r="Z150" s="482" t="s">
        <v>3633</v>
      </c>
    </row>
    <row r="151" spans="1:26" x14ac:dyDescent="0.25">
      <c r="A151" s="481">
        <v>514</v>
      </c>
      <c r="B151" s="481" t="s">
        <v>3617</v>
      </c>
      <c r="C151" s="481" t="s">
        <v>3723</v>
      </c>
      <c r="D151" s="481" t="s">
        <v>3864</v>
      </c>
      <c r="E151" s="481"/>
      <c r="F151" s="484">
        <v>44462</v>
      </c>
      <c r="G151" s="481" t="s">
        <v>3524</v>
      </c>
      <c r="H151" s="481" t="s">
        <v>3865</v>
      </c>
      <c r="I151" s="481" t="s">
        <v>3622</v>
      </c>
      <c r="J151" s="481" t="s">
        <v>3866</v>
      </c>
      <c r="K151" s="481" t="s">
        <v>3624</v>
      </c>
      <c r="L151" s="481" t="s">
        <v>3858</v>
      </c>
      <c r="M151" s="481" t="s">
        <v>3867</v>
      </c>
      <c r="N151" s="481" t="s">
        <v>3627</v>
      </c>
      <c r="O151" s="481" t="s">
        <v>3867</v>
      </c>
      <c r="P151" s="481" t="s">
        <v>3628</v>
      </c>
      <c r="Q151" s="481" t="s">
        <v>3072</v>
      </c>
      <c r="R151" s="481" t="s">
        <v>3261</v>
      </c>
      <c r="S151" s="480">
        <v>44462</v>
      </c>
      <c r="T151" s="481" t="s">
        <v>3629</v>
      </c>
      <c r="U151" s="480">
        <v>44462</v>
      </c>
      <c r="V151" s="481" t="s">
        <v>231</v>
      </c>
      <c r="W151" s="481" t="s">
        <v>3630</v>
      </c>
      <c r="X151" s="481" t="s">
        <v>3631</v>
      </c>
      <c r="Y151" s="482" t="s">
        <v>3632</v>
      </c>
      <c r="Z151" s="482" t="s">
        <v>3633</v>
      </c>
    </row>
    <row r="152" spans="1:26" x14ac:dyDescent="0.25">
      <c r="A152" s="481">
        <v>515</v>
      </c>
      <c r="B152" s="481" t="s">
        <v>3617</v>
      </c>
      <c r="C152" s="481" t="s">
        <v>3868</v>
      </c>
      <c r="D152" s="481" t="s">
        <v>3869</v>
      </c>
      <c r="E152" s="481"/>
      <c r="F152" s="484">
        <v>44462</v>
      </c>
      <c r="G152" s="481" t="s">
        <v>3870</v>
      </c>
      <c r="H152" s="481" t="s">
        <v>3871</v>
      </c>
      <c r="I152" s="481" t="s">
        <v>3622</v>
      </c>
      <c r="J152" s="481" t="s">
        <v>3872</v>
      </c>
      <c r="K152" s="481" t="s">
        <v>3624</v>
      </c>
      <c r="L152" s="481" t="s">
        <v>3858</v>
      </c>
      <c r="M152" s="481" t="s">
        <v>3873</v>
      </c>
      <c r="N152" s="481" t="s">
        <v>3627</v>
      </c>
      <c r="O152" s="481" t="s">
        <v>3873</v>
      </c>
      <c r="P152" s="481" t="s">
        <v>3628</v>
      </c>
      <c r="Q152" s="481" t="s">
        <v>3072</v>
      </c>
      <c r="R152" s="481" t="s">
        <v>3556</v>
      </c>
      <c r="S152" s="480">
        <v>44462</v>
      </c>
      <c r="T152" s="481" t="s">
        <v>3629</v>
      </c>
      <c r="U152" s="480">
        <v>44462</v>
      </c>
      <c r="V152" s="481" t="s">
        <v>231</v>
      </c>
      <c r="W152" s="481" t="s">
        <v>3630</v>
      </c>
      <c r="X152" s="481" t="s">
        <v>3631</v>
      </c>
      <c r="Y152" s="482" t="s">
        <v>3632</v>
      </c>
      <c r="Z152" s="482" t="s">
        <v>3633</v>
      </c>
    </row>
    <row r="153" spans="1:26" x14ac:dyDescent="0.25">
      <c r="A153" s="481">
        <v>516</v>
      </c>
      <c r="B153" s="481" t="s">
        <v>3617</v>
      </c>
      <c r="C153" s="481" t="s">
        <v>3618</v>
      </c>
      <c r="D153" s="481" t="s">
        <v>3874</v>
      </c>
      <c r="E153" s="481"/>
      <c r="F153" s="484">
        <v>44463</v>
      </c>
      <c r="G153" s="481" t="s">
        <v>3875</v>
      </c>
      <c r="H153" s="481" t="s">
        <v>3831</v>
      </c>
      <c r="I153" s="481" t="s">
        <v>3644</v>
      </c>
      <c r="J153" s="481" t="s">
        <v>3876</v>
      </c>
      <c r="K153" s="481" t="s">
        <v>3624</v>
      </c>
      <c r="L153" s="481" t="s">
        <v>3858</v>
      </c>
      <c r="M153" s="481" t="s">
        <v>3877</v>
      </c>
      <c r="N153" s="481" t="s">
        <v>3627</v>
      </c>
      <c r="O153" s="481" t="s">
        <v>3877</v>
      </c>
      <c r="P153" s="481" t="s">
        <v>3628</v>
      </c>
      <c r="Q153" s="481" t="s">
        <v>3072</v>
      </c>
      <c r="R153" s="481" t="s">
        <v>1456</v>
      </c>
      <c r="S153" s="480">
        <v>44463</v>
      </c>
      <c r="T153" s="481" t="s">
        <v>3629</v>
      </c>
      <c r="U153" s="480">
        <v>44463</v>
      </c>
      <c r="V153" s="481" t="s">
        <v>231</v>
      </c>
      <c r="W153" s="481" t="s">
        <v>173</v>
      </c>
      <c r="X153" s="481" t="s">
        <v>3631</v>
      </c>
      <c r="Y153" s="482" t="s">
        <v>3632</v>
      </c>
      <c r="Z153" s="482" t="s">
        <v>3633</v>
      </c>
    </row>
    <row r="154" spans="1:26" x14ac:dyDescent="0.25">
      <c r="A154" s="481">
        <v>517</v>
      </c>
      <c r="B154" s="481" t="s">
        <v>3617</v>
      </c>
      <c r="C154" s="481" t="s">
        <v>3618</v>
      </c>
      <c r="D154" s="481" t="s">
        <v>3878</v>
      </c>
      <c r="E154" s="481"/>
      <c r="F154" s="484">
        <v>44476</v>
      </c>
      <c r="G154" s="481" t="s">
        <v>3879</v>
      </c>
      <c r="H154" s="481" t="s">
        <v>3880</v>
      </c>
      <c r="I154" s="481" t="s">
        <v>3622</v>
      </c>
      <c r="J154" s="481" t="s">
        <v>3881</v>
      </c>
      <c r="K154" s="481" t="s">
        <v>3624</v>
      </c>
      <c r="L154" s="481" t="s">
        <v>3858</v>
      </c>
      <c r="M154" s="481" t="s">
        <v>3882</v>
      </c>
      <c r="N154" s="481" t="s">
        <v>3627</v>
      </c>
      <c r="O154" s="481" t="s">
        <v>3882</v>
      </c>
      <c r="P154" s="481" t="s">
        <v>3628</v>
      </c>
      <c r="Q154" s="481" t="s">
        <v>3072</v>
      </c>
      <c r="R154" s="481" t="s">
        <v>1456</v>
      </c>
      <c r="S154" s="480">
        <v>44476</v>
      </c>
      <c r="T154" s="481" t="s">
        <v>3629</v>
      </c>
      <c r="U154" s="480">
        <v>44476</v>
      </c>
      <c r="V154" s="481" t="s">
        <v>231</v>
      </c>
      <c r="W154" s="481" t="s">
        <v>3630</v>
      </c>
      <c r="X154" s="481" t="s">
        <v>3631</v>
      </c>
      <c r="Y154" s="482" t="s">
        <v>3632</v>
      </c>
      <c r="Z154" s="482" t="s">
        <v>3633</v>
      </c>
    </row>
    <row r="155" spans="1:26" x14ac:dyDescent="0.25">
      <c r="A155" s="481">
        <v>518</v>
      </c>
      <c r="B155" s="481" t="s">
        <v>3617</v>
      </c>
      <c r="C155" s="481" t="s">
        <v>3723</v>
      </c>
      <c r="D155" s="481" t="s">
        <v>3883</v>
      </c>
      <c r="E155" s="481"/>
      <c r="F155" s="484">
        <v>44693</v>
      </c>
      <c r="G155" s="481" t="s">
        <v>3884</v>
      </c>
      <c r="H155" s="481" t="s">
        <v>3809</v>
      </c>
      <c r="I155" s="481" t="s">
        <v>3622</v>
      </c>
      <c r="J155" s="481" t="s">
        <v>3885</v>
      </c>
      <c r="K155" s="481" t="s">
        <v>3624</v>
      </c>
      <c r="L155" s="481" t="s">
        <v>3886</v>
      </c>
      <c r="M155" s="481" t="s">
        <v>3887</v>
      </c>
      <c r="N155" s="481" t="s">
        <v>3627</v>
      </c>
      <c r="O155" s="481" t="s">
        <v>3887</v>
      </c>
      <c r="P155" s="481" t="s">
        <v>3628</v>
      </c>
      <c r="Q155" s="481" t="s">
        <v>3072</v>
      </c>
      <c r="R155" s="481" t="s">
        <v>3261</v>
      </c>
      <c r="S155" s="480">
        <v>44693</v>
      </c>
      <c r="T155" s="481" t="s">
        <v>3629</v>
      </c>
      <c r="U155" s="480">
        <v>44693</v>
      </c>
      <c r="V155" s="481" t="s">
        <v>231</v>
      </c>
      <c r="W155" s="481" t="s">
        <v>3630</v>
      </c>
      <c r="X155" s="481" t="s">
        <v>3631</v>
      </c>
      <c r="Y155" s="482" t="s">
        <v>3632</v>
      </c>
      <c r="Z155" s="482" t="s">
        <v>3633</v>
      </c>
    </row>
    <row r="156" spans="1:26" x14ac:dyDescent="0.25">
      <c r="A156" s="481">
        <v>519</v>
      </c>
      <c r="B156" s="481" t="s">
        <v>3617</v>
      </c>
      <c r="C156" s="481" t="s">
        <v>3796</v>
      </c>
      <c r="D156" s="481" t="s">
        <v>3888</v>
      </c>
      <c r="E156" s="481"/>
      <c r="F156" s="484">
        <v>44693</v>
      </c>
      <c r="G156" s="481" t="s">
        <v>3884</v>
      </c>
      <c r="H156" s="481" t="s">
        <v>3889</v>
      </c>
      <c r="I156" s="481" t="s">
        <v>3622</v>
      </c>
      <c r="J156" s="481" t="s">
        <v>3890</v>
      </c>
      <c r="K156" s="481" t="s">
        <v>3624</v>
      </c>
      <c r="L156" s="481" t="s">
        <v>3886</v>
      </c>
      <c r="M156" s="481" t="s">
        <v>3891</v>
      </c>
      <c r="N156" s="481" t="s">
        <v>3627</v>
      </c>
      <c r="O156" s="481" t="s">
        <v>3891</v>
      </c>
      <c r="P156" s="481" t="s">
        <v>3628</v>
      </c>
      <c r="Q156" s="481" t="s">
        <v>3072</v>
      </c>
      <c r="R156" s="481" t="s">
        <v>3261</v>
      </c>
      <c r="S156" s="480">
        <v>44693</v>
      </c>
      <c r="T156" s="481" t="s">
        <v>3629</v>
      </c>
      <c r="U156" s="480">
        <v>44693</v>
      </c>
      <c r="V156" s="481" t="s">
        <v>231</v>
      </c>
      <c r="W156" s="481" t="s">
        <v>3630</v>
      </c>
      <c r="X156" s="481" t="s">
        <v>3631</v>
      </c>
      <c r="Y156" s="482" t="s">
        <v>3632</v>
      </c>
      <c r="Z156" s="482" t="s">
        <v>3633</v>
      </c>
    </row>
    <row r="157" spans="1:26" x14ac:dyDescent="0.25">
      <c r="A157" s="481">
        <v>520</v>
      </c>
      <c r="B157" s="481" t="s">
        <v>3617</v>
      </c>
      <c r="C157" s="481" t="s">
        <v>3892</v>
      </c>
      <c r="D157" s="481" t="s">
        <v>3893</v>
      </c>
      <c r="E157" s="481"/>
      <c r="F157" s="484">
        <v>44741</v>
      </c>
      <c r="G157" s="481" t="s">
        <v>3397</v>
      </c>
      <c r="H157" s="481" t="s">
        <v>3830</v>
      </c>
      <c r="I157" s="481" t="s">
        <v>3622</v>
      </c>
      <c r="J157" s="481" t="s">
        <v>3894</v>
      </c>
      <c r="K157" s="481" t="s">
        <v>3624</v>
      </c>
      <c r="L157" s="481" t="s">
        <v>3886</v>
      </c>
      <c r="M157" s="481" t="s">
        <v>3895</v>
      </c>
      <c r="N157" s="481" t="s">
        <v>3627</v>
      </c>
      <c r="O157" s="481" t="s">
        <v>3895</v>
      </c>
      <c r="P157" s="481" t="s">
        <v>3628</v>
      </c>
      <c r="Q157" s="481" t="s">
        <v>3072</v>
      </c>
      <c r="R157" s="481" t="s">
        <v>3261</v>
      </c>
      <c r="S157" s="480">
        <v>44741</v>
      </c>
      <c r="T157" s="481" t="s">
        <v>3629</v>
      </c>
      <c r="U157" s="480">
        <v>44741</v>
      </c>
      <c r="V157" s="481" t="s">
        <v>231</v>
      </c>
      <c r="W157" s="481" t="s">
        <v>3630</v>
      </c>
      <c r="X157" s="481" t="s">
        <v>3631</v>
      </c>
      <c r="Y157" s="482" t="s">
        <v>3632</v>
      </c>
      <c r="Z157" s="482" t="s">
        <v>3633</v>
      </c>
    </row>
    <row r="158" spans="1:26" x14ac:dyDescent="0.25">
      <c r="A158" s="481">
        <v>521</v>
      </c>
      <c r="B158" s="481" t="s">
        <v>3617</v>
      </c>
      <c r="C158" s="481" t="s">
        <v>3779</v>
      </c>
      <c r="D158" s="481" t="s">
        <v>3896</v>
      </c>
      <c r="E158" s="481"/>
      <c r="F158" s="484">
        <v>44914</v>
      </c>
      <c r="G158" s="481" t="s">
        <v>3897</v>
      </c>
      <c r="H158" s="481" t="s">
        <v>3898</v>
      </c>
      <c r="I158" s="481" t="s">
        <v>3899</v>
      </c>
      <c r="J158" s="481" t="s">
        <v>3900</v>
      </c>
      <c r="K158" s="481" t="s">
        <v>3624</v>
      </c>
      <c r="L158" s="481" t="s">
        <v>3886</v>
      </c>
      <c r="M158" s="481" t="s">
        <v>3901</v>
      </c>
      <c r="N158" s="481" t="s">
        <v>3627</v>
      </c>
      <c r="O158" s="481" t="s">
        <v>3901</v>
      </c>
      <c r="P158" s="481" t="s">
        <v>3628</v>
      </c>
      <c r="Q158" s="481" t="s">
        <v>3386</v>
      </c>
      <c r="R158" s="481" t="s">
        <v>3261</v>
      </c>
      <c r="S158" s="480">
        <v>44914</v>
      </c>
      <c r="T158" s="481" t="s">
        <v>3629</v>
      </c>
      <c r="U158" s="480">
        <v>44914</v>
      </c>
      <c r="V158" s="481" t="s">
        <v>231</v>
      </c>
      <c r="W158" s="481" t="s">
        <v>3902</v>
      </c>
      <c r="X158" s="481" t="s">
        <v>3669</v>
      </c>
      <c r="Y158" s="482" t="s">
        <v>3632</v>
      </c>
      <c r="Z158" s="482" t="s">
        <v>3633</v>
      </c>
    </row>
    <row r="159" spans="1:26" x14ac:dyDescent="0.25">
      <c r="A159" s="481">
        <v>522</v>
      </c>
      <c r="B159" s="481" t="s">
        <v>3617</v>
      </c>
      <c r="C159" s="481" t="s">
        <v>3892</v>
      </c>
      <c r="D159" s="481" t="s">
        <v>3903</v>
      </c>
      <c r="E159" s="481"/>
      <c r="F159" s="484">
        <v>44936</v>
      </c>
      <c r="G159" s="481" t="s">
        <v>3889</v>
      </c>
      <c r="H159" s="481" t="s">
        <v>3428</v>
      </c>
      <c r="I159" s="481" t="s">
        <v>3622</v>
      </c>
      <c r="J159" s="481" t="s">
        <v>3904</v>
      </c>
      <c r="K159" s="481" t="s">
        <v>3624</v>
      </c>
      <c r="L159" s="481" t="s">
        <v>3886</v>
      </c>
      <c r="M159" s="481" t="s">
        <v>3905</v>
      </c>
      <c r="N159" s="481" t="s">
        <v>3627</v>
      </c>
      <c r="O159" s="481" t="s">
        <v>3905</v>
      </c>
      <c r="P159" s="481" t="s">
        <v>3628</v>
      </c>
      <c r="Q159" s="481" t="s">
        <v>3072</v>
      </c>
      <c r="R159" s="481" t="s">
        <v>3261</v>
      </c>
      <c r="S159" s="480">
        <v>44936</v>
      </c>
      <c r="T159" s="481" t="s">
        <v>3629</v>
      </c>
      <c r="U159" s="480">
        <v>44936</v>
      </c>
      <c r="V159" s="481" t="s">
        <v>231</v>
      </c>
      <c r="W159" s="481" t="s">
        <v>3630</v>
      </c>
      <c r="X159" s="481" t="s">
        <v>3631</v>
      </c>
      <c r="Y159" s="482" t="s">
        <v>3632</v>
      </c>
      <c r="Z159" s="482" t="s">
        <v>3633</v>
      </c>
    </row>
    <row r="160" spans="1:26" x14ac:dyDescent="0.25">
      <c r="A160" s="481">
        <v>523</v>
      </c>
      <c r="B160" s="481" t="s">
        <v>3617</v>
      </c>
      <c r="C160" s="481" t="s">
        <v>3723</v>
      </c>
      <c r="D160" s="481" t="s">
        <v>3906</v>
      </c>
      <c r="E160" s="481"/>
      <c r="F160" s="484">
        <v>45170</v>
      </c>
      <c r="G160" s="481" t="s">
        <v>3524</v>
      </c>
      <c r="H160" s="481" t="s">
        <v>3865</v>
      </c>
      <c r="I160" s="481" t="s">
        <v>3622</v>
      </c>
      <c r="J160" s="481" t="s">
        <v>3907</v>
      </c>
      <c r="K160" s="481" t="s">
        <v>3624</v>
      </c>
      <c r="L160" s="481" t="s">
        <v>3886</v>
      </c>
      <c r="M160" s="481" t="s">
        <v>3908</v>
      </c>
      <c r="N160" s="481" t="s">
        <v>3627</v>
      </c>
      <c r="O160" s="481" t="s">
        <v>3908</v>
      </c>
      <c r="P160" s="481" t="s">
        <v>3628</v>
      </c>
      <c r="Q160" s="481" t="s">
        <v>3072</v>
      </c>
      <c r="R160" s="481" t="s">
        <v>3261</v>
      </c>
      <c r="S160" s="480">
        <v>45170</v>
      </c>
      <c r="T160" s="481" t="s">
        <v>3629</v>
      </c>
      <c r="U160" s="480">
        <v>45170</v>
      </c>
      <c r="V160" s="481" t="s">
        <v>231</v>
      </c>
      <c r="W160" s="481" t="s">
        <v>3630</v>
      </c>
      <c r="X160" s="481" t="s">
        <v>3631</v>
      </c>
      <c r="Y160" s="482" t="s">
        <v>3632</v>
      </c>
      <c r="Z160" s="482" t="s">
        <v>3633</v>
      </c>
    </row>
    <row r="161" spans="1:26" x14ac:dyDescent="0.25">
      <c r="A161" s="481">
        <v>524</v>
      </c>
      <c r="B161" s="481" t="s">
        <v>3617</v>
      </c>
      <c r="C161" s="481" t="s">
        <v>3736</v>
      </c>
      <c r="D161" s="481" t="s">
        <v>3909</v>
      </c>
      <c r="E161" s="481"/>
      <c r="F161" s="484">
        <v>45247</v>
      </c>
      <c r="G161" s="481" t="s">
        <v>3489</v>
      </c>
      <c r="H161" s="481" t="s">
        <v>3884</v>
      </c>
      <c r="I161" s="481" t="s">
        <v>3847</v>
      </c>
      <c r="J161" s="481" t="s">
        <v>3910</v>
      </c>
      <c r="K161" s="481" t="s">
        <v>3624</v>
      </c>
      <c r="L161" s="481" t="s">
        <v>3886</v>
      </c>
      <c r="M161" s="481" t="s">
        <v>3911</v>
      </c>
      <c r="N161" s="481" t="s">
        <v>3627</v>
      </c>
      <c r="O161" s="481" t="s">
        <v>3911</v>
      </c>
      <c r="P161" s="481" t="s">
        <v>3628</v>
      </c>
      <c r="Q161" s="481" t="s">
        <v>3072</v>
      </c>
      <c r="R161" s="481" t="s">
        <v>3261</v>
      </c>
      <c r="S161" s="480">
        <v>45247</v>
      </c>
      <c r="T161" s="481" t="s">
        <v>3629</v>
      </c>
      <c r="U161" s="480">
        <v>45247</v>
      </c>
      <c r="V161" s="481" t="s">
        <v>231</v>
      </c>
      <c r="W161" s="481" t="s">
        <v>3850</v>
      </c>
      <c r="X161" s="481" t="s">
        <v>3631</v>
      </c>
      <c r="Y161" s="482" t="s">
        <v>3632</v>
      </c>
      <c r="Z161" s="482" t="s">
        <v>3633</v>
      </c>
    </row>
    <row r="162" spans="1:26" x14ac:dyDescent="0.25">
      <c r="A162" s="481">
        <v>525</v>
      </c>
      <c r="B162" s="481" t="s">
        <v>3617</v>
      </c>
      <c r="C162" s="481" t="s">
        <v>3912</v>
      </c>
      <c r="D162" s="481" t="s">
        <v>3913</v>
      </c>
      <c r="E162" s="481"/>
      <c r="F162" s="484">
        <v>45247</v>
      </c>
      <c r="G162" s="481" t="s">
        <v>3853</v>
      </c>
      <c r="H162" s="481" t="s">
        <v>3914</v>
      </c>
      <c r="I162" s="481" t="s">
        <v>3771</v>
      </c>
      <c r="J162" s="481" t="s">
        <v>3915</v>
      </c>
      <c r="K162" s="481" t="s">
        <v>3624</v>
      </c>
      <c r="L162" s="481" t="s">
        <v>3916</v>
      </c>
      <c r="M162" s="481" t="s">
        <v>3917</v>
      </c>
      <c r="N162" s="481" t="s">
        <v>3627</v>
      </c>
      <c r="O162" s="481" t="s">
        <v>3917</v>
      </c>
      <c r="P162" s="481" t="s">
        <v>3628</v>
      </c>
      <c r="Q162" s="481" t="s">
        <v>3072</v>
      </c>
      <c r="R162" s="481" t="s">
        <v>1456</v>
      </c>
      <c r="S162" s="480">
        <v>45247</v>
      </c>
      <c r="T162" s="481" t="s">
        <v>3629</v>
      </c>
      <c r="U162" s="480">
        <v>45247</v>
      </c>
      <c r="V162" s="481" t="s">
        <v>231</v>
      </c>
      <c r="W162" s="481" t="s">
        <v>3774</v>
      </c>
      <c r="X162" s="481" t="s">
        <v>3631</v>
      </c>
      <c r="Y162" s="482" t="s">
        <v>3632</v>
      </c>
      <c r="Z162" s="482" t="s">
        <v>3633</v>
      </c>
    </row>
    <row r="163" spans="1:26" x14ac:dyDescent="0.25">
      <c r="A163" s="481">
        <v>526</v>
      </c>
      <c r="B163" s="481" t="s">
        <v>3617</v>
      </c>
      <c r="C163" s="481" t="s">
        <v>3723</v>
      </c>
      <c r="D163" s="481" t="s">
        <v>3918</v>
      </c>
      <c r="E163" s="481"/>
      <c r="F163" s="484">
        <v>45247</v>
      </c>
      <c r="G163" s="481" t="s">
        <v>3914</v>
      </c>
      <c r="H163" s="481" t="s">
        <v>3919</v>
      </c>
      <c r="I163" s="481" t="s">
        <v>3771</v>
      </c>
      <c r="J163" s="481" t="s">
        <v>3920</v>
      </c>
      <c r="K163" s="481" t="s">
        <v>3624</v>
      </c>
      <c r="L163" s="481" t="s">
        <v>3916</v>
      </c>
      <c r="M163" s="481" t="s">
        <v>3921</v>
      </c>
      <c r="N163" s="481" t="s">
        <v>3627</v>
      </c>
      <c r="O163" s="481" t="s">
        <v>3921</v>
      </c>
      <c r="P163" s="481" t="s">
        <v>3628</v>
      </c>
      <c r="Q163" s="481" t="s">
        <v>3072</v>
      </c>
      <c r="R163" s="481" t="s">
        <v>3261</v>
      </c>
      <c r="S163" s="480">
        <v>45247</v>
      </c>
      <c r="T163" s="481" t="s">
        <v>3629</v>
      </c>
      <c r="U163" s="480">
        <v>45247</v>
      </c>
      <c r="V163" s="481" t="s">
        <v>231</v>
      </c>
      <c r="W163" s="481" t="s">
        <v>3774</v>
      </c>
      <c r="X163" s="481" t="s">
        <v>3631</v>
      </c>
      <c r="Y163" s="482" t="s">
        <v>3632</v>
      </c>
      <c r="Z163" s="482" t="s">
        <v>3633</v>
      </c>
    </row>
    <row r="164" spans="1:26" x14ac:dyDescent="0.25">
      <c r="A164" s="481">
        <v>527</v>
      </c>
      <c r="B164" s="481" t="s">
        <v>3617</v>
      </c>
      <c r="C164" s="481" t="s">
        <v>3723</v>
      </c>
      <c r="D164" s="481" t="s">
        <v>3922</v>
      </c>
      <c r="E164" s="481"/>
      <c r="F164" s="484">
        <v>45247</v>
      </c>
      <c r="G164" s="481" t="s">
        <v>3884</v>
      </c>
      <c r="H164" s="481" t="s">
        <v>3914</v>
      </c>
      <c r="I164" s="481" t="s">
        <v>3789</v>
      </c>
      <c r="J164" s="481" t="s">
        <v>3923</v>
      </c>
      <c r="K164" s="481" t="s">
        <v>3624</v>
      </c>
      <c r="L164" s="481" t="s">
        <v>3916</v>
      </c>
      <c r="M164" s="481" t="s">
        <v>3924</v>
      </c>
      <c r="N164" s="481" t="s">
        <v>3627</v>
      </c>
      <c r="O164" s="481" t="s">
        <v>3924</v>
      </c>
      <c r="P164" s="481" t="s">
        <v>3628</v>
      </c>
      <c r="Q164" s="481" t="s">
        <v>3072</v>
      </c>
      <c r="R164" s="481" t="s">
        <v>3261</v>
      </c>
      <c r="S164" s="480">
        <v>45247</v>
      </c>
      <c r="T164" s="481" t="s">
        <v>3629</v>
      </c>
      <c r="U164" s="480">
        <v>45247</v>
      </c>
      <c r="V164" s="481" t="s">
        <v>231</v>
      </c>
      <c r="W164" s="481" t="s">
        <v>110</v>
      </c>
      <c r="X164" s="481" t="s">
        <v>3631</v>
      </c>
      <c r="Y164" s="482" t="s">
        <v>3632</v>
      </c>
      <c r="Z164" s="482" t="s">
        <v>3633</v>
      </c>
    </row>
    <row r="165" spans="1:26" x14ac:dyDescent="0.25">
      <c r="A165" s="481">
        <v>528</v>
      </c>
      <c r="B165" s="481" t="s">
        <v>3617</v>
      </c>
      <c r="C165" s="481" t="s">
        <v>3925</v>
      </c>
      <c r="D165" s="481" t="s">
        <v>3926</v>
      </c>
      <c r="E165" s="481"/>
      <c r="F165" s="484">
        <v>45247</v>
      </c>
      <c r="G165" s="481" t="s">
        <v>3884</v>
      </c>
      <c r="H165" s="481" t="s">
        <v>3927</v>
      </c>
      <c r="I165" s="481" t="s">
        <v>3789</v>
      </c>
      <c r="J165" s="481" t="s">
        <v>3928</v>
      </c>
      <c r="K165" s="481" t="s">
        <v>3624</v>
      </c>
      <c r="L165" s="481" t="s">
        <v>3916</v>
      </c>
      <c r="M165" s="481" t="s">
        <v>3929</v>
      </c>
      <c r="N165" s="481" t="s">
        <v>3627</v>
      </c>
      <c r="O165" s="481" t="s">
        <v>3929</v>
      </c>
      <c r="P165" s="481" t="s">
        <v>3628</v>
      </c>
      <c r="Q165" s="481" t="s">
        <v>3072</v>
      </c>
      <c r="R165" s="481" t="s">
        <v>3556</v>
      </c>
      <c r="S165" s="480">
        <v>45247</v>
      </c>
      <c r="T165" s="481" t="s">
        <v>3629</v>
      </c>
      <c r="U165" s="480">
        <v>45247</v>
      </c>
      <c r="V165" s="481" t="s">
        <v>231</v>
      </c>
      <c r="W165" s="481" t="s">
        <v>110</v>
      </c>
      <c r="X165" s="481" t="s">
        <v>3631</v>
      </c>
      <c r="Y165" s="482" t="s">
        <v>3632</v>
      </c>
      <c r="Z165" s="482" t="s">
        <v>3633</v>
      </c>
    </row>
    <row r="166" spans="1:26" x14ac:dyDescent="0.25">
      <c r="A166" s="481">
        <v>529</v>
      </c>
      <c r="B166" s="481" t="s">
        <v>3617</v>
      </c>
      <c r="C166" s="481" t="s">
        <v>3925</v>
      </c>
      <c r="D166" s="481" t="s">
        <v>3930</v>
      </c>
      <c r="E166" s="481"/>
      <c r="F166" s="484">
        <v>45250</v>
      </c>
      <c r="G166" s="481" t="s">
        <v>3853</v>
      </c>
      <c r="H166" s="481" t="s">
        <v>3510</v>
      </c>
      <c r="I166" s="481" t="s">
        <v>3789</v>
      </c>
      <c r="J166" s="481" t="s">
        <v>3931</v>
      </c>
      <c r="K166" s="481" t="s">
        <v>3624</v>
      </c>
      <c r="L166" s="481" t="s">
        <v>3916</v>
      </c>
      <c r="M166" s="481" t="s">
        <v>3932</v>
      </c>
      <c r="N166" s="481" t="s">
        <v>3627</v>
      </c>
      <c r="O166" s="481" t="s">
        <v>3932</v>
      </c>
      <c r="P166" s="481" t="s">
        <v>3628</v>
      </c>
      <c r="Q166" s="481" t="s">
        <v>3072</v>
      </c>
      <c r="R166" s="481" t="s">
        <v>3556</v>
      </c>
      <c r="S166" s="480">
        <v>45250</v>
      </c>
      <c r="T166" s="481" t="s">
        <v>3629</v>
      </c>
      <c r="U166" s="480">
        <v>45250</v>
      </c>
      <c r="V166" s="481" t="s">
        <v>231</v>
      </c>
      <c r="W166" s="481" t="s">
        <v>110</v>
      </c>
      <c r="X166" s="481" t="s">
        <v>3631</v>
      </c>
      <c r="Y166" s="482" t="s">
        <v>3632</v>
      </c>
      <c r="Z166" s="482" t="s">
        <v>3633</v>
      </c>
    </row>
    <row r="167" spans="1:26" x14ac:dyDescent="0.25">
      <c r="A167" s="481">
        <v>530</v>
      </c>
      <c r="B167" s="481" t="s">
        <v>3617</v>
      </c>
      <c r="C167" s="481" t="s">
        <v>3775</v>
      </c>
      <c r="D167" s="481" t="s">
        <v>3933</v>
      </c>
      <c r="E167" s="481"/>
      <c r="F167" s="484">
        <v>45265</v>
      </c>
      <c r="G167" s="481" t="s">
        <v>3884</v>
      </c>
      <c r="H167" s="481" t="s">
        <v>3510</v>
      </c>
      <c r="I167" s="481" t="s">
        <v>3789</v>
      </c>
      <c r="J167" s="481" t="s">
        <v>3934</v>
      </c>
      <c r="K167" s="481" t="s">
        <v>3624</v>
      </c>
      <c r="L167" s="481" t="s">
        <v>3916</v>
      </c>
      <c r="M167" s="481" t="s">
        <v>3935</v>
      </c>
      <c r="N167" s="481" t="s">
        <v>3627</v>
      </c>
      <c r="O167" s="481" t="s">
        <v>3935</v>
      </c>
      <c r="P167" s="481" t="s">
        <v>3628</v>
      </c>
      <c r="Q167" s="481" t="s">
        <v>3072</v>
      </c>
      <c r="R167" s="481" t="s">
        <v>3261</v>
      </c>
      <c r="S167" s="480">
        <v>45265</v>
      </c>
      <c r="T167" s="481" t="s">
        <v>3629</v>
      </c>
      <c r="U167" s="480">
        <v>45265</v>
      </c>
      <c r="V167" s="481" t="s">
        <v>231</v>
      </c>
      <c r="W167" s="481" t="s">
        <v>110</v>
      </c>
      <c r="X167" s="481" t="s">
        <v>3631</v>
      </c>
      <c r="Y167" s="482" t="s">
        <v>3632</v>
      </c>
      <c r="Z167" s="482" t="s">
        <v>3633</v>
      </c>
    </row>
    <row r="168" spans="1:26" x14ac:dyDescent="0.25">
      <c r="A168" s="481">
        <v>531</v>
      </c>
      <c r="B168" s="481" t="s">
        <v>3617</v>
      </c>
      <c r="C168" s="481" t="s">
        <v>3796</v>
      </c>
      <c r="D168" s="481" t="s">
        <v>3936</v>
      </c>
      <c r="E168" s="481"/>
      <c r="F168" s="484">
        <v>45336</v>
      </c>
      <c r="G168" s="481" t="s">
        <v>3937</v>
      </c>
      <c r="H168" s="481" t="s">
        <v>3397</v>
      </c>
      <c r="I168" s="481" t="s">
        <v>3789</v>
      </c>
      <c r="J168" s="481" t="s">
        <v>3938</v>
      </c>
      <c r="K168" s="481" t="s">
        <v>3624</v>
      </c>
      <c r="L168" s="481" t="s">
        <v>3916</v>
      </c>
      <c r="M168" s="481" t="s">
        <v>3939</v>
      </c>
      <c r="N168" s="481" t="s">
        <v>3627</v>
      </c>
      <c r="O168" s="481" t="s">
        <v>3939</v>
      </c>
      <c r="P168" s="481" t="s">
        <v>3628</v>
      </c>
      <c r="Q168" s="481" t="s">
        <v>3072</v>
      </c>
      <c r="R168" s="481" t="s">
        <v>3261</v>
      </c>
      <c r="S168" s="480">
        <v>45336</v>
      </c>
      <c r="T168" s="481" t="s">
        <v>3629</v>
      </c>
      <c r="U168" s="480">
        <v>45336</v>
      </c>
      <c r="V168" s="481" t="s">
        <v>231</v>
      </c>
      <c r="W168" s="481" t="s">
        <v>110</v>
      </c>
      <c r="X168" s="481" t="s">
        <v>3631</v>
      </c>
      <c r="Y168" s="482" t="s">
        <v>3632</v>
      </c>
      <c r="Z168" s="482" t="s">
        <v>3633</v>
      </c>
    </row>
    <row r="169" spans="1:26" x14ac:dyDescent="0.25">
      <c r="A169" s="481">
        <v>532</v>
      </c>
      <c r="B169" s="481" t="s">
        <v>3617</v>
      </c>
      <c r="C169" s="481" t="s">
        <v>3796</v>
      </c>
      <c r="D169" s="481" t="s">
        <v>3940</v>
      </c>
      <c r="E169" s="481"/>
      <c r="F169" s="484">
        <v>45336</v>
      </c>
      <c r="G169" s="481" t="s">
        <v>3853</v>
      </c>
      <c r="H169" s="481" t="s">
        <v>3489</v>
      </c>
      <c r="I169" s="481" t="s">
        <v>3789</v>
      </c>
      <c r="J169" s="481" t="s">
        <v>3941</v>
      </c>
      <c r="K169" s="481" t="s">
        <v>3624</v>
      </c>
      <c r="L169" s="481" t="s">
        <v>3916</v>
      </c>
      <c r="M169" s="481" t="s">
        <v>3942</v>
      </c>
      <c r="N169" s="481" t="s">
        <v>3627</v>
      </c>
      <c r="O169" s="481" t="s">
        <v>3942</v>
      </c>
      <c r="P169" s="481" t="s">
        <v>3628</v>
      </c>
      <c r="Q169" s="481" t="s">
        <v>3072</v>
      </c>
      <c r="R169" s="481" t="s">
        <v>3261</v>
      </c>
      <c r="S169" s="480">
        <v>45336</v>
      </c>
      <c r="T169" s="481" t="s">
        <v>3629</v>
      </c>
      <c r="U169" s="480">
        <v>45336</v>
      </c>
      <c r="V169" s="481" t="s">
        <v>231</v>
      </c>
      <c r="W169" s="481" t="s">
        <v>110</v>
      </c>
      <c r="X169" s="481" t="s">
        <v>3631</v>
      </c>
      <c r="Y169" s="482" t="s">
        <v>3632</v>
      </c>
      <c r="Z169" s="482" t="s">
        <v>3633</v>
      </c>
    </row>
    <row r="170" spans="1:26" x14ac:dyDescent="0.25">
      <c r="A170" s="481">
        <v>533</v>
      </c>
      <c r="B170" s="481" t="s">
        <v>3617</v>
      </c>
      <c r="C170" s="481" t="s">
        <v>3618</v>
      </c>
      <c r="D170" s="481" t="s">
        <v>3943</v>
      </c>
      <c r="E170" s="481"/>
      <c r="F170" s="484">
        <v>45401</v>
      </c>
      <c r="G170" s="481" t="s">
        <v>3944</v>
      </c>
      <c r="H170" s="481" t="s">
        <v>3945</v>
      </c>
      <c r="I170" s="481" t="s">
        <v>3789</v>
      </c>
      <c r="J170" s="481" t="s">
        <v>3946</v>
      </c>
      <c r="K170" s="481" t="s">
        <v>3624</v>
      </c>
      <c r="L170" s="481" t="s">
        <v>3916</v>
      </c>
      <c r="M170" s="481" t="s">
        <v>3947</v>
      </c>
      <c r="N170" s="481" t="s">
        <v>3627</v>
      </c>
      <c r="O170" s="481" t="s">
        <v>3947</v>
      </c>
      <c r="P170" s="481" t="s">
        <v>3628</v>
      </c>
      <c r="Q170" s="481" t="s">
        <v>3072</v>
      </c>
      <c r="R170" s="481" t="s">
        <v>1456</v>
      </c>
      <c r="S170" s="480">
        <v>45401</v>
      </c>
      <c r="T170" s="481" t="s">
        <v>3629</v>
      </c>
      <c r="U170" s="480">
        <v>45401</v>
      </c>
      <c r="V170" s="481" t="s">
        <v>231</v>
      </c>
      <c r="W170" s="481" t="s">
        <v>110</v>
      </c>
      <c r="X170" s="481" t="s">
        <v>3631</v>
      </c>
      <c r="Y170" s="482" t="s">
        <v>3632</v>
      </c>
      <c r="Z170" s="482" t="s">
        <v>3633</v>
      </c>
    </row>
    <row r="171" spans="1:26" x14ac:dyDescent="0.25">
      <c r="A171" s="481">
        <v>534</v>
      </c>
      <c r="B171" s="481" t="s">
        <v>3617</v>
      </c>
      <c r="C171" s="481" t="s">
        <v>3618</v>
      </c>
      <c r="D171" s="481" t="s">
        <v>3948</v>
      </c>
      <c r="E171" s="481"/>
      <c r="F171" s="484">
        <v>45432</v>
      </c>
      <c r="G171" s="481" t="s">
        <v>3944</v>
      </c>
      <c r="H171" s="481" t="s">
        <v>3949</v>
      </c>
      <c r="I171" s="481" t="s">
        <v>3771</v>
      </c>
      <c r="J171" s="481" t="s">
        <v>3950</v>
      </c>
      <c r="K171" s="481" t="s">
        <v>3624</v>
      </c>
      <c r="L171" s="481" t="s">
        <v>3916</v>
      </c>
      <c r="M171" s="481" t="s">
        <v>3951</v>
      </c>
      <c r="N171" s="481" t="s">
        <v>3627</v>
      </c>
      <c r="O171" s="481" t="s">
        <v>3951</v>
      </c>
      <c r="P171" s="481" t="s">
        <v>3628</v>
      </c>
      <c r="Q171" s="481" t="s">
        <v>3072</v>
      </c>
      <c r="R171" s="481" t="s">
        <v>1456</v>
      </c>
      <c r="S171" s="480">
        <v>45432</v>
      </c>
      <c r="T171" s="481" t="s">
        <v>3629</v>
      </c>
      <c r="U171" s="480">
        <v>45432</v>
      </c>
      <c r="V171" s="481" t="s">
        <v>231</v>
      </c>
      <c r="W171" s="481" t="s">
        <v>3774</v>
      </c>
      <c r="X171" s="481" t="s">
        <v>3631</v>
      </c>
      <c r="Y171" s="482" t="s">
        <v>3632</v>
      </c>
      <c r="Z171" s="482" t="s">
        <v>3633</v>
      </c>
    </row>
    <row r="172" spans="1:26" x14ac:dyDescent="0.25">
      <c r="A172" s="481">
        <v>535</v>
      </c>
      <c r="B172" s="481" t="s">
        <v>3617</v>
      </c>
      <c r="C172" s="481" t="s">
        <v>3952</v>
      </c>
      <c r="D172" s="481" t="s">
        <v>3953</v>
      </c>
      <c r="E172" s="481"/>
      <c r="F172" s="484">
        <v>45478</v>
      </c>
      <c r="G172" s="481" t="s">
        <v>3510</v>
      </c>
      <c r="H172" s="481" t="s">
        <v>3889</v>
      </c>
      <c r="I172" s="481" t="s">
        <v>3622</v>
      </c>
      <c r="J172" s="481" t="s">
        <v>3954</v>
      </c>
      <c r="K172" s="481" t="s">
        <v>3624</v>
      </c>
      <c r="L172" s="481" t="s">
        <v>3916</v>
      </c>
      <c r="M172" s="481" t="s">
        <v>3955</v>
      </c>
      <c r="N172" s="481" t="s">
        <v>3627</v>
      </c>
      <c r="O172" s="481" t="s">
        <v>3955</v>
      </c>
      <c r="P172" s="481" t="s">
        <v>3628</v>
      </c>
      <c r="Q172" s="481" t="s">
        <v>3072</v>
      </c>
      <c r="R172" s="481" t="s">
        <v>3261</v>
      </c>
      <c r="S172" s="480">
        <v>45478</v>
      </c>
      <c r="T172" s="481" t="s">
        <v>3629</v>
      </c>
      <c r="U172" s="480">
        <v>45478</v>
      </c>
      <c r="V172" s="481" t="s">
        <v>231</v>
      </c>
      <c r="W172" s="481" t="s">
        <v>3630</v>
      </c>
      <c r="X172" s="481" t="s">
        <v>3631</v>
      </c>
      <c r="Y172" s="482" t="s">
        <v>3632</v>
      </c>
      <c r="Z172" s="482" t="s">
        <v>3633</v>
      </c>
    </row>
    <row r="173" spans="1:26" x14ac:dyDescent="0.25">
      <c r="A173" s="481">
        <v>536</v>
      </c>
      <c r="B173" s="481" t="s">
        <v>3617</v>
      </c>
      <c r="C173" s="481" t="s">
        <v>3956</v>
      </c>
      <c r="D173" s="481" t="s">
        <v>3957</v>
      </c>
      <c r="E173" s="481"/>
      <c r="F173" s="484">
        <v>45509</v>
      </c>
      <c r="G173" s="481" t="s">
        <v>3958</v>
      </c>
      <c r="H173" s="481" t="s">
        <v>3959</v>
      </c>
      <c r="I173" s="481" t="s">
        <v>3789</v>
      </c>
      <c r="J173" s="481" t="s">
        <v>3960</v>
      </c>
      <c r="K173" s="481" t="s">
        <v>3624</v>
      </c>
      <c r="L173" s="481" t="s">
        <v>3916</v>
      </c>
      <c r="M173" s="481" t="s">
        <v>3961</v>
      </c>
      <c r="N173" s="481" t="s">
        <v>3627</v>
      </c>
      <c r="O173" s="481" t="s">
        <v>3961</v>
      </c>
      <c r="P173" s="481" t="s">
        <v>3628</v>
      </c>
      <c r="Q173" s="481" t="s">
        <v>3072</v>
      </c>
      <c r="R173" s="481" t="s">
        <v>1456</v>
      </c>
      <c r="S173" s="480">
        <v>45509</v>
      </c>
      <c r="T173" s="481" t="s">
        <v>3629</v>
      </c>
      <c r="U173" s="480">
        <v>45509</v>
      </c>
      <c r="V173" s="481" t="s">
        <v>231</v>
      </c>
      <c r="W173" s="481" t="s">
        <v>110</v>
      </c>
      <c r="X173" s="481" t="s">
        <v>3631</v>
      </c>
      <c r="Y173" s="482" t="s">
        <v>3632</v>
      </c>
      <c r="Z173" s="482" t="s">
        <v>3633</v>
      </c>
    </row>
    <row r="174" spans="1:26" x14ac:dyDescent="0.25">
      <c r="A174" s="481">
        <v>537</v>
      </c>
      <c r="B174" s="481" t="s">
        <v>3617</v>
      </c>
      <c r="C174" s="481" t="s">
        <v>3757</v>
      </c>
      <c r="D174" s="481" t="s">
        <v>3962</v>
      </c>
      <c r="E174" s="481"/>
      <c r="F174" s="484">
        <v>45614</v>
      </c>
      <c r="G174" s="481" t="s">
        <v>3963</v>
      </c>
      <c r="H174" s="481" t="s">
        <v>3964</v>
      </c>
      <c r="I174" s="481" t="s">
        <v>3789</v>
      </c>
      <c r="J174" s="481" t="s">
        <v>3965</v>
      </c>
      <c r="K174" s="481" t="s">
        <v>3624</v>
      </c>
      <c r="L174" s="481" t="s">
        <v>3916</v>
      </c>
      <c r="M174" s="481" t="s">
        <v>3966</v>
      </c>
      <c r="N174" s="481" t="s">
        <v>3627</v>
      </c>
      <c r="O174" s="481" t="s">
        <v>3966</v>
      </c>
      <c r="P174" s="481" t="s">
        <v>3628</v>
      </c>
      <c r="Q174" s="481" t="s">
        <v>3072</v>
      </c>
      <c r="R174" s="481" t="s">
        <v>3237</v>
      </c>
      <c r="S174" s="480">
        <v>45614</v>
      </c>
      <c r="T174" s="481" t="s">
        <v>3629</v>
      </c>
      <c r="U174" s="480">
        <v>45614</v>
      </c>
      <c r="V174" s="481" t="s">
        <v>231</v>
      </c>
      <c r="W174" s="481" t="s">
        <v>110</v>
      </c>
      <c r="X174" s="481" t="s">
        <v>3631</v>
      </c>
      <c r="Y174" s="482" t="s">
        <v>3632</v>
      </c>
      <c r="Z174" s="482" t="s">
        <v>3633</v>
      </c>
    </row>
    <row r="175" spans="1:26" x14ac:dyDescent="0.25">
      <c r="A175" s="481">
        <v>538</v>
      </c>
      <c r="B175" s="481" t="s">
        <v>3617</v>
      </c>
      <c r="C175" s="481" t="s">
        <v>3967</v>
      </c>
      <c r="D175" s="481" t="s">
        <v>3968</v>
      </c>
      <c r="E175" s="481"/>
      <c r="F175" s="484">
        <v>45614</v>
      </c>
      <c r="G175" s="481" t="s">
        <v>3969</v>
      </c>
      <c r="H175" s="481" t="s">
        <v>3753</v>
      </c>
      <c r="I175" s="481" t="s">
        <v>3789</v>
      </c>
      <c r="J175" s="481" t="s">
        <v>3970</v>
      </c>
      <c r="K175" s="481" t="s">
        <v>3624</v>
      </c>
      <c r="L175" s="481" t="s">
        <v>3916</v>
      </c>
      <c r="M175" s="481" t="s">
        <v>3971</v>
      </c>
      <c r="N175" s="481" t="s">
        <v>3627</v>
      </c>
      <c r="O175" s="481" t="s">
        <v>3971</v>
      </c>
      <c r="P175" s="481" t="s">
        <v>3628</v>
      </c>
      <c r="Q175" s="481" t="s">
        <v>3072</v>
      </c>
      <c r="R175" s="481" t="s">
        <v>3556</v>
      </c>
      <c r="S175" s="480">
        <v>45614</v>
      </c>
      <c r="T175" s="481" t="s">
        <v>3629</v>
      </c>
      <c r="U175" s="480">
        <v>45614</v>
      </c>
      <c r="V175" s="481" t="s">
        <v>231</v>
      </c>
      <c r="W175" s="481" t="s">
        <v>110</v>
      </c>
      <c r="X175" s="481" t="s">
        <v>3631</v>
      </c>
      <c r="Y175" s="482" t="s">
        <v>3632</v>
      </c>
      <c r="Z175" s="482" t="s">
        <v>3633</v>
      </c>
    </row>
    <row r="176" spans="1:26" x14ac:dyDescent="0.25">
      <c r="A176" s="481">
        <v>539</v>
      </c>
      <c r="B176" s="481" t="s">
        <v>3617</v>
      </c>
      <c r="C176" s="481" t="s">
        <v>64</v>
      </c>
      <c r="D176" s="481" t="s">
        <v>3972</v>
      </c>
      <c r="E176" s="481"/>
      <c r="F176" s="484">
        <v>45621</v>
      </c>
      <c r="G176" s="481" t="s">
        <v>3973</v>
      </c>
      <c r="H176" s="481" t="s">
        <v>3974</v>
      </c>
      <c r="I176" s="481" t="s">
        <v>3975</v>
      </c>
      <c r="J176" s="481" t="s">
        <v>3976</v>
      </c>
      <c r="K176" s="481" t="s">
        <v>3624</v>
      </c>
      <c r="L176" s="481" t="s">
        <v>3916</v>
      </c>
      <c r="M176" s="481" t="s">
        <v>3977</v>
      </c>
      <c r="N176" s="481" t="s">
        <v>3627</v>
      </c>
      <c r="O176" s="481" t="s">
        <v>3977</v>
      </c>
      <c r="P176" s="481" t="s">
        <v>3628</v>
      </c>
      <c r="Q176" s="481" t="s">
        <v>3072</v>
      </c>
      <c r="R176" s="481" t="s">
        <v>3237</v>
      </c>
      <c r="S176" s="480">
        <v>45621</v>
      </c>
      <c r="T176" s="481" t="s">
        <v>3629</v>
      </c>
      <c r="U176" s="480">
        <v>45621</v>
      </c>
      <c r="V176" s="481" t="s">
        <v>231</v>
      </c>
      <c r="W176" s="481" t="s">
        <v>111</v>
      </c>
      <c r="X176" s="481" t="s">
        <v>3631</v>
      </c>
      <c r="Y176" s="482" t="s">
        <v>3632</v>
      </c>
      <c r="Z176" s="482" t="s">
        <v>3633</v>
      </c>
    </row>
    <row r="177" spans="1:26" x14ac:dyDescent="0.25">
      <c r="A177" s="481">
        <v>540</v>
      </c>
      <c r="B177" s="481" t="s">
        <v>3617</v>
      </c>
      <c r="C177" s="481" t="s">
        <v>3618</v>
      </c>
      <c r="D177" s="481" t="s">
        <v>3978</v>
      </c>
      <c r="E177" s="481"/>
      <c r="F177" s="484">
        <v>45642</v>
      </c>
      <c r="G177" s="481" t="s">
        <v>3979</v>
      </c>
      <c r="H177" s="481" t="s">
        <v>3980</v>
      </c>
      <c r="I177" s="481" t="s">
        <v>3789</v>
      </c>
      <c r="J177" s="481" t="s">
        <v>3981</v>
      </c>
      <c r="K177" s="481" t="s">
        <v>3624</v>
      </c>
      <c r="L177" s="481" t="s">
        <v>3916</v>
      </c>
      <c r="M177" s="481" t="s">
        <v>3982</v>
      </c>
      <c r="N177" s="481" t="s">
        <v>3627</v>
      </c>
      <c r="O177" s="481" t="s">
        <v>3982</v>
      </c>
      <c r="P177" s="481" t="s">
        <v>3628</v>
      </c>
      <c r="Q177" s="481" t="s">
        <v>3072</v>
      </c>
      <c r="R177" s="481" t="s">
        <v>1456</v>
      </c>
      <c r="S177" s="480">
        <v>45642</v>
      </c>
      <c r="T177" s="481" t="s">
        <v>3629</v>
      </c>
      <c r="U177" s="480">
        <v>45642</v>
      </c>
      <c r="V177" s="481" t="s">
        <v>231</v>
      </c>
      <c r="W177" s="481" t="s">
        <v>110</v>
      </c>
      <c r="X177" s="481" t="s">
        <v>3631</v>
      </c>
      <c r="Y177" s="482" t="s">
        <v>3632</v>
      </c>
      <c r="Z177" s="482" t="s">
        <v>3633</v>
      </c>
    </row>
    <row r="178" spans="1:26" x14ac:dyDescent="0.25">
      <c r="A178" s="481">
        <v>541</v>
      </c>
      <c r="B178" s="481" t="s">
        <v>3617</v>
      </c>
      <c r="C178" s="481" t="s">
        <v>3983</v>
      </c>
      <c r="D178" s="481" t="s">
        <v>3984</v>
      </c>
      <c r="E178" s="481"/>
      <c r="F178" s="484">
        <v>45672</v>
      </c>
      <c r="G178" s="481" t="s">
        <v>3875</v>
      </c>
      <c r="H178" s="481" t="s">
        <v>3831</v>
      </c>
      <c r="I178" s="481" t="s">
        <v>3789</v>
      </c>
      <c r="J178" s="481" t="s">
        <v>3985</v>
      </c>
      <c r="K178" s="481" t="s">
        <v>3624</v>
      </c>
      <c r="L178" s="481" t="s">
        <v>3916</v>
      </c>
      <c r="M178" s="481" t="s">
        <v>3986</v>
      </c>
      <c r="N178" s="481" t="s">
        <v>3627</v>
      </c>
      <c r="O178" s="481" t="s">
        <v>3986</v>
      </c>
      <c r="P178" s="481" t="s">
        <v>3628</v>
      </c>
      <c r="Q178" s="481" t="s">
        <v>3072</v>
      </c>
      <c r="R178" s="481" t="s">
        <v>3556</v>
      </c>
      <c r="S178" s="480">
        <v>45672</v>
      </c>
      <c r="T178" s="481" t="s">
        <v>3629</v>
      </c>
      <c r="U178" s="480">
        <v>45672</v>
      </c>
      <c r="V178" s="481" t="s">
        <v>231</v>
      </c>
      <c r="W178" s="481" t="s">
        <v>110</v>
      </c>
      <c r="X178" s="481" t="s">
        <v>3631</v>
      </c>
      <c r="Y178" s="482" t="s">
        <v>3632</v>
      </c>
      <c r="Z178" s="482" t="s">
        <v>3633</v>
      </c>
    </row>
    <row r="179" spans="1:26" x14ac:dyDescent="0.25">
      <c r="A179" s="481">
        <v>542</v>
      </c>
      <c r="B179" s="481" t="s">
        <v>3617</v>
      </c>
      <c r="C179" s="481" t="s">
        <v>113</v>
      </c>
      <c r="D179" s="481" t="s">
        <v>3987</v>
      </c>
      <c r="E179" s="481"/>
      <c r="F179" s="484">
        <v>45792</v>
      </c>
      <c r="G179" s="481" t="s">
        <v>3988</v>
      </c>
      <c r="H179" s="481" t="s">
        <v>3989</v>
      </c>
      <c r="I179" s="481" t="s">
        <v>3789</v>
      </c>
      <c r="J179" s="481" t="s">
        <v>3990</v>
      </c>
      <c r="K179" s="481" t="s">
        <v>3624</v>
      </c>
      <c r="L179" s="481" t="s">
        <v>3991</v>
      </c>
      <c r="M179" s="481" t="s">
        <v>3992</v>
      </c>
      <c r="N179" s="481" t="s">
        <v>3627</v>
      </c>
      <c r="O179" s="481" t="s">
        <v>3992</v>
      </c>
      <c r="P179" s="481" t="s">
        <v>3628</v>
      </c>
      <c r="Q179" s="481" t="s">
        <v>3072</v>
      </c>
      <c r="R179" s="481" t="s">
        <v>3863</v>
      </c>
      <c r="S179" s="480">
        <v>45792</v>
      </c>
      <c r="T179" s="481" t="s">
        <v>3629</v>
      </c>
      <c r="U179" s="480">
        <v>45792</v>
      </c>
      <c r="V179" s="481" t="s">
        <v>231</v>
      </c>
      <c r="W179" s="481" t="s">
        <v>110</v>
      </c>
      <c r="X179" s="481" t="s">
        <v>3631</v>
      </c>
      <c r="Y179" s="482" t="s">
        <v>3632</v>
      </c>
      <c r="Z179" s="482" t="s">
        <v>3633</v>
      </c>
    </row>
    <row r="180" spans="1:26" x14ac:dyDescent="0.25">
      <c r="A180" s="481">
        <v>543</v>
      </c>
      <c r="B180" s="481" t="s">
        <v>3617</v>
      </c>
      <c r="C180" s="481" t="s">
        <v>3726</v>
      </c>
      <c r="D180" s="481" t="s">
        <v>3993</v>
      </c>
      <c r="E180" s="481"/>
      <c r="F180" s="484">
        <v>45825</v>
      </c>
      <c r="G180" s="481" t="s">
        <v>3397</v>
      </c>
      <c r="H180" s="481" t="s">
        <v>3994</v>
      </c>
      <c r="I180" s="481" t="s">
        <v>3622</v>
      </c>
      <c r="J180" s="481" t="s">
        <v>3995</v>
      </c>
      <c r="K180" s="481" t="s">
        <v>3624</v>
      </c>
      <c r="L180" s="481" t="s">
        <v>3991</v>
      </c>
      <c r="M180" s="481" t="s">
        <v>3996</v>
      </c>
      <c r="N180" s="481" t="s">
        <v>3627</v>
      </c>
      <c r="O180" s="481" t="s">
        <v>3996</v>
      </c>
      <c r="P180" s="481" t="s">
        <v>3628</v>
      </c>
      <c r="Q180" s="481" t="s">
        <v>3072</v>
      </c>
      <c r="R180" s="481" t="s">
        <v>3261</v>
      </c>
      <c r="S180" s="480">
        <v>45825</v>
      </c>
      <c r="T180" s="481" t="s">
        <v>3629</v>
      </c>
      <c r="U180" s="480">
        <v>45825</v>
      </c>
      <c r="V180" s="481" t="s">
        <v>231</v>
      </c>
      <c r="W180" s="481" t="s">
        <v>3630</v>
      </c>
      <c r="X180" s="481" t="s">
        <v>3631</v>
      </c>
      <c r="Y180" s="482" t="s">
        <v>3632</v>
      </c>
      <c r="Z180" s="482" t="s">
        <v>3633</v>
      </c>
    </row>
    <row r="181" spans="1:26" x14ac:dyDescent="0.25">
      <c r="A181" s="481">
        <v>544</v>
      </c>
      <c r="B181" s="481" t="s">
        <v>3617</v>
      </c>
      <c r="C181" s="481" t="s">
        <v>3779</v>
      </c>
      <c r="D181" s="481" t="s">
        <v>3997</v>
      </c>
      <c r="E181" s="481"/>
      <c r="F181" s="484">
        <v>45915</v>
      </c>
      <c r="G181" s="481" t="s">
        <v>3998</v>
      </c>
      <c r="H181" s="481" t="s">
        <v>3999</v>
      </c>
      <c r="I181" s="481" t="s">
        <v>3789</v>
      </c>
      <c r="J181" s="481" t="s">
        <v>4000</v>
      </c>
      <c r="K181" s="481" t="s">
        <v>3624</v>
      </c>
      <c r="L181" s="481" t="s">
        <v>3991</v>
      </c>
      <c r="M181" s="481" t="s">
        <v>4001</v>
      </c>
      <c r="N181" s="481" t="s">
        <v>3627</v>
      </c>
      <c r="O181" s="481" t="s">
        <v>4001</v>
      </c>
      <c r="P181" s="481" t="s">
        <v>3628</v>
      </c>
      <c r="Q181" s="481" t="s">
        <v>3072</v>
      </c>
      <c r="R181" s="481" t="s">
        <v>3261</v>
      </c>
      <c r="S181" s="480">
        <v>45915</v>
      </c>
      <c r="T181" s="481" t="s">
        <v>3629</v>
      </c>
      <c r="U181" s="480">
        <v>45915</v>
      </c>
      <c r="V181" s="481" t="s">
        <v>231</v>
      </c>
      <c r="W181" s="481" t="s">
        <v>110</v>
      </c>
      <c r="X181" s="481" t="s">
        <v>3631</v>
      </c>
      <c r="Y181" s="482" t="s">
        <v>3632</v>
      </c>
      <c r="Z181" s="482" t="s">
        <v>3633</v>
      </c>
    </row>
    <row r="182" spans="1:26" x14ac:dyDescent="0.25">
      <c r="A182" s="481">
        <v>545</v>
      </c>
      <c r="B182" s="481" t="s">
        <v>3617</v>
      </c>
      <c r="C182" s="481" t="s">
        <v>3723</v>
      </c>
      <c r="D182" s="481" t="s">
        <v>4002</v>
      </c>
      <c r="E182" s="481"/>
      <c r="F182" s="484">
        <v>45925</v>
      </c>
      <c r="G182" s="481" t="s">
        <v>3999</v>
      </c>
      <c r="H182" s="481" t="s">
        <v>4003</v>
      </c>
      <c r="I182" s="481" t="s">
        <v>3789</v>
      </c>
      <c r="J182" s="481" t="s">
        <v>4004</v>
      </c>
      <c r="K182" s="481" t="s">
        <v>3624</v>
      </c>
      <c r="L182" s="481" t="s">
        <v>3991</v>
      </c>
      <c r="M182" s="481" t="s">
        <v>4005</v>
      </c>
      <c r="N182" s="481" t="s">
        <v>3627</v>
      </c>
      <c r="O182" s="481" t="s">
        <v>4005</v>
      </c>
      <c r="P182" s="481" t="s">
        <v>3628</v>
      </c>
      <c r="Q182" s="481" t="s">
        <v>3072</v>
      </c>
      <c r="R182" s="481" t="s">
        <v>3261</v>
      </c>
      <c r="S182" s="480">
        <v>45925</v>
      </c>
      <c r="T182" s="481" t="s">
        <v>3629</v>
      </c>
      <c r="U182" s="480">
        <v>45925</v>
      </c>
      <c r="V182" s="481" t="s">
        <v>231</v>
      </c>
      <c r="W182" s="481" t="s">
        <v>110</v>
      </c>
      <c r="X182" s="481" t="s">
        <v>3631</v>
      </c>
      <c r="Y182" s="482" t="s">
        <v>3632</v>
      </c>
      <c r="Z182" s="482" t="s">
        <v>3633</v>
      </c>
    </row>
    <row r="183" spans="1:26" x14ac:dyDescent="0.25">
      <c r="A183" s="481">
        <v>546</v>
      </c>
      <c r="B183" s="481" t="s">
        <v>3617</v>
      </c>
      <c r="C183" s="481" t="s">
        <v>3723</v>
      </c>
      <c r="D183" s="481" t="s">
        <v>4006</v>
      </c>
      <c r="E183" s="481"/>
      <c r="F183" s="484">
        <v>45954</v>
      </c>
      <c r="G183" s="481" t="s">
        <v>4007</v>
      </c>
      <c r="H183" s="481" t="s">
        <v>4008</v>
      </c>
      <c r="I183" s="481" t="s">
        <v>3789</v>
      </c>
      <c r="J183" s="481" t="s">
        <v>4009</v>
      </c>
      <c r="K183" s="481" t="s">
        <v>3624</v>
      </c>
      <c r="L183" s="481" t="s">
        <v>4010</v>
      </c>
      <c r="M183" s="481" t="s">
        <v>4011</v>
      </c>
      <c r="N183" s="481" t="s">
        <v>3627</v>
      </c>
      <c r="O183" s="481" t="s">
        <v>4011</v>
      </c>
      <c r="P183" s="481" t="s">
        <v>3628</v>
      </c>
      <c r="Q183" s="481" t="s">
        <v>3072</v>
      </c>
      <c r="R183" s="481" t="s">
        <v>3261</v>
      </c>
      <c r="S183" s="480">
        <v>45954</v>
      </c>
      <c r="T183" s="481" t="s">
        <v>3629</v>
      </c>
      <c r="U183" s="480">
        <v>45954</v>
      </c>
      <c r="V183" s="481" t="s">
        <v>231</v>
      </c>
      <c r="W183" s="481" t="s">
        <v>110</v>
      </c>
      <c r="X183" s="481" t="s">
        <v>3631</v>
      </c>
      <c r="Y183" s="482" t="s">
        <v>3632</v>
      </c>
      <c r="Z183" s="482" t="s">
        <v>3633</v>
      </c>
    </row>
    <row r="184" spans="1:26" x14ac:dyDescent="0.25">
      <c r="A184" s="481">
        <v>547</v>
      </c>
      <c r="B184" s="481" t="s">
        <v>3617</v>
      </c>
      <c r="C184" s="481" t="s">
        <v>3768</v>
      </c>
      <c r="D184" s="481" t="s">
        <v>4012</v>
      </c>
      <c r="E184" s="481"/>
      <c r="F184" s="484">
        <v>45954</v>
      </c>
      <c r="G184" s="481" t="s">
        <v>4013</v>
      </c>
      <c r="H184" s="481" t="s">
        <v>4014</v>
      </c>
      <c r="I184" s="481" t="s">
        <v>3789</v>
      </c>
      <c r="J184" s="481" t="s">
        <v>4015</v>
      </c>
      <c r="K184" s="481" t="s">
        <v>3624</v>
      </c>
      <c r="L184" s="481" t="s">
        <v>4010</v>
      </c>
      <c r="M184" s="481" t="s">
        <v>4016</v>
      </c>
      <c r="N184" s="481" t="s">
        <v>3627</v>
      </c>
      <c r="O184" s="481" t="s">
        <v>4016</v>
      </c>
      <c r="P184" s="481" t="s">
        <v>3628</v>
      </c>
      <c r="Q184" s="481" t="s">
        <v>3072</v>
      </c>
      <c r="R184" s="481" t="s">
        <v>3556</v>
      </c>
      <c r="S184" s="480">
        <v>45954</v>
      </c>
      <c r="T184" s="481" t="s">
        <v>3629</v>
      </c>
      <c r="U184" s="480">
        <v>45954</v>
      </c>
      <c r="V184" s="481" t="s">
        <v>231</v>
      </c>
      <c r="W184" s="481" t="s">
        <v>110</v>
      </c>
      <c r="X184" s="481" t="s">
        <v>3631</v>
      </c>
      <c r="Y184" s="482" t="s">
        <v>3632</v>
      </c>
      <c r="Z184" s="482" t="s">
        <v>3633</v>
      </c>
    </row>
    <row r="185" spans="1:26" x14ac:dyDescent="0.25">
      <c r="A185" s="481">
        <v>548</v>
      </c>
      <c r="B185" s="481" t="s">
        <v>3617</v>
      </c>
      <c r="C185" s="481" t="s">
        <v>3736</v>
      </c>
      <c r="D185" s="481" t="s">
        <v>4017</v>
      </c>
      <c r="E185" s="481"/>
      <c r="F185" s="484">
        <v>45975</v>
      </c>
      <c r="G185" s="481" t="s">
        <v>4018</v>
      </c>
      <c r="H185" s="481" t="s">
        <v>3524</v>
      </c>
      <c r="I185" s="481" t="s">
        <v>3789</v>
      </c>
      <c r="J185" s="481" t="s">
        <v>4019</v>
      </c>
      <c r="K185" s="481" t="s">
        <v>3624</v>
      </c>
      <c r="L185" s="481" t="s">
        <v>4010</v>
      </c>
      <c r="M185" s="481" t="s">
        <v>4020</v>
      </c>
      <c r="N185" s="481" t="s">
        <v>3627</v>
      </c>
      <c r="O185" s="481" t="s">
        <v>4020</v>
      </c>
      <c r="P185" s="481" t="s">
        <v>3628</v>
      </c>
      <c r="Q185" s="481" t="s">
        <v>3072</v>
      </c>
      <c r="R185" s="481" t="s">
        <v>3261</v>
      </c>
      <c r="S185" s="480">
        <v>45975</v>
      </c>
      <c r="T185" s="481" t="s">
        <v>3629</v>
      </c>
      <c r="U185" s="480">
        <v>45975</v>
      </c>
      <c r="V185" s="481" t="s">
        <v>231</v>
      </c>
      <c r="W185" s="481" t="s">
        <v>110</v>
      </c>
      <c r="X185" s="481" t="s">
        <v>3631</v>
      </c>
      <c r="Y185" s="482" t="s">
        <v>3632</v>
      </c>
      <c r="Z185" s="482" t="s">
        <v>3633</v>
      </c>
    </row>
    <row r="186" spans="1:26" x14ac:dyDescent="0.25">
      <c r="A186" s="481">
        <v>549</v>
      </c>
      <c r="B186" s="481" t="s">
        <v>3617</v>
      </c>
      <c r="C186" s="481" t="s">
        <v>3912</v>
      </c>
      <c r="D186" s="481" t="s">
        <v>4021</v>
      </c>
      <c r="E186" s="481"/>
      <c r="F186" s="484">
        <v>45975</v>
      </c>
      <c r="G186" s="481" t="s">
        <v>3524</v>
      </c>
      <c r="H186" s="481" t="s">
        <v>4022</v>
      </c>
      <c r="I186" s="481" t="s">
        <v>3789</v>
      </c>
      <c r="J186" s="481" t="s">
        <v>4023</v>
      </c>
      <c r="K186" s="481" t="s">
        <v>3624</v>
      </c>
      <c r="L186" s="481" t="s">
        <v>4010</v>
      </c>
      <c r="M186" s="481" t="s">
        <v>4024</v>
      </c>
      <c r="N186" s="481" t="s">
        <v>3627</v>
      </c>
      <c r="O186" s="481" t="s">
        <v>4024</v>
      </c>
      <c r="P186" s="481" t="s">
        <v>3628</v>
      </c>
      <c r="Q186" s="481" t="s">
        <v>3072</v>
      </c>
      <c r="R186" s="481" t="s">
        <v>1456</v>
      </c>
      <c r="S186" s="480">
        <v>45975</v>
      </c>
      <c r="T186" s="481" t="s">
        <v>3629</v>
      </c>
      <c r="U186" s="480">
        <v>45975</v>
      </c>
      <c r="V186" s="481" t="s">
        <v>231</v>
      </c>
      <c r="W186" s="481" t="s">
        <v>110</v>
      </c>
      <c r="X186" s="481" t="s">
        <v>3631</v>
      </c>
      <c r="Y186" s="482" t="s">
        <v>3632</v>
      </c>
      <c r="Z186" s="482" t="s">
        <v>3633</v>
      </c>
    </row>
    <row r="187" spans="1:26" x14ac:dyDescent="0.25">
      <c r="A187" s="481">
        <v>550</v>
      </c>
      <c r="B187" s="481" t="s">
        <v>3617</v>
      </c>
      <c r="C187" s="481" t="s">
        <v>3983</v>
      </c>
      <c r="D187" s="481" t="s">
        <v>4025</v>
      </c>
      <c r="E187" s="481"/>
      <c r="F187" s="484">
        <v>46052</v>
      </c>
      <c r="G187" s="481" t="s">
        <v>4013</v>
      </c>
      <c r="H187" s="481" t="s">
        <v>3753</v>
      </c>
      <c r="I187" s="481" t="s">
        <v>3789</v>
      </c>
      <c r="J187" s="481" t="s">
        <v>4026</v>
      </c>
      <c r="K187" s="481" t="s">
        <v>3624</v>
      </c>
      <c r="L187" s="481" t="s">
        <v>4010</v>
      </c>
      <c r="M187" s="481" t="s">
        <v>4027</v>
      </c>
      <c r="N187" s="481" t="s">
        <v>3627</v>
      </c>
      <c r="O187" s="481" t="s">
        <v>4027</v>
      </c>
      <c r="P187" s="481" t="s">
        <v>3628</v>
      </c>
      <c r="Q187" s="481" t="s">
        <v>3386</v>
      </c>
      <c r="R187" s="481" t="s">
        <v>3556</v>
      </c>
      <c r="S187" s="480">
        <v>46052</v>
      </c>
      <c r="T187" s="481" t="s">
        <v>3629</v>
      </c>
      <c r="U187" s="480">
        <v>46052</v>
      </c>
      <c r="V187" s="481" t="s">
        <v>231</v>
      </c>
      <c r="W187" s="481" t="s">
        <v>110</v>
      </c>
      <c r="X187" s="481" t="s">
        <v>3669</v>
      </c>
      <c r="Y187" s="482" t="s">
        <v>3632</v>
      </c>
      <c r="Z187" s="482" t="s">
        <v>3633</v>
      </c>
    </row>
    <row r="188" spans="1:26" x14ac:dyDescent="0.25">
      <c r="A188" s="481">
        <v>551</v>
      </c>
      <c r="B188" s="481" t="s">
        <v>3617</v>
      </c>
      <c r="C188" s="481" t="s">
        <v>113</v>
      </c>
      <c r="D188" s="481" t="s">
        <v>4028</v>
      </c>
      <c r="E188" s="481"/>
      <c r="F188" s="484">
        <v>46119</v>
      </c>
      <c r="G188" s="481" t="s">
        <v>4029</v>
      </c>
      <c r="H188" s="481" t="s">
        <v>3753</v>
      </c>
      <c r="I188" s="481" t="s">
        <v>3789</v>
      </c>
      <c r="J188" s="481" t="s">
        <v>4030</v>
      </c>
      <c r="K188" s="481" t="s">
        <v>3624</v>
      </c>
      <c r="L188" s="481" t="s">
        <v>4010</v>
      </c>
      <c r="M188" s="481" t="s">
        <v>4031</v>
      </c>
      <c r="N188" s="481" t="s">
        <v>3627</v>
      </c>
      <c r="O188" s="481" t="s">
        <v>4031</v>
      </c>
      <c r="P188" s="481" t="s">
        <v>3628</v>
      </c>
      <c r="Q188" s="481" t="s">
        <v>3072</v>
      </c>
      <c r="R188" s="481" t="s">
        <v>3863</v>
      </c>
      <c r="S188" s="480">
        <v>46119</v>
      </c>
      <c r="T188" s="481" t="s">
        <v>3629</v>
      </c>
      <c r="U188" s="480">
        <v>46119</v>
      </c>
      <c r="V188" s="481" t="s">
        <v>231</v>
      </c>
      <c r="W188" s="481" t="s">
        <v>110</v>
      </c>
      <c r="X188" s="481" t="s">
        <v>3631</v>
      </c>
      <c r="Y188" s="482" t="s">
        <v>3632</v>
      </c>
      <c r="Z188" s="482" t="s">
        <v>3633</v>
      </c>
    </row>
    <row r="189" spans="1:26" x14ac:dyDescent="0.25">
      <c r="A189" s="481">
        <v>552</v>
      </c>
      <c r="B189" s="481" t="s">
        <v>3617</v>
      </c>
      <c r="C189" s="481" t="s">
        <v>113</v>
      </c>
      <c r="D189" s="481" t="s">
        <v>4032</v>
      </c>
      <c r="E189" s="481"/>
      <c r="F189" s="484">
        <v>46119</v>
      </c>
      <c r="G189" s="481" t="s">
        <v>4033</v>
      </c>
      <c r="H189" s="481" t="s">
        <v>3753</v>
      </c>
      <c r="I189" s="481" t="s">
        <v>3789</v>
      </c>
      <c r="J189" s="481" t="s">
        <v>4034</v>
      </c>
      <c r="K189" s="481" t="s">
        <v>3624</v>
      </c>
      <c r="L189" s="481" t="s">
        <v>4010</v>
      </c>
      <c r="M189" s="481" t="s">
        <v>4035</v>
      </c>
      <c r="N189" s="481" t="s">
        <v>3627</v>
      </c>
      <c r="O189" s="481" t="s">
        <v>4035</v>
      </c>
      <c r="P189" s="481" t="s">
        <v>3628</v>
      </c>
      <c r="Q189" s="481" t="s">
        <v>3072</v>
      </c>
      <c r="R189" s="481" t="s">
        <v>3863</v>
      </c>
      <c r="S189" s="480">
        <v>46119</v>
      </c>
      <c r="T189" s="481" t="s">
        <v>3629</v>
      </c>
      <c r="U189" s="480">
        <v>46119</v>
      </c>
      <c r="V189" s="481" t="s">
        <v>231</v>
      </c>
      <c r="W189" s="481" t="s">
        <v>110</v>
      </c>
      <c r="X189" s="481" t="s">
        <v>3631</v>
      </c>
      <c r="Y189" s="482" t="s">
        <v>3632</v>
      </c>
      <c r="Z189" s="482" t="s">
        <v>3633</v>
      </c>
    </row>
    <row r="190" spans="1:26" x14ac:dyDescent="0.25">
      <c r="A190" s="481">
        <v>553</v>
      </c>
      <c r="B190" s="481" t="s">
        <v>3617</v>
      </c>
      <c r="C190" s="481" t="s">
        <v>3634</v>
      </c>
      <c r="D190" s="481" t="s">
        <v>4036</v>
      </c>
      <c r="E190" s="481"/>
      <c r="F190" s="484">
        <v>46122</v>
      </c>
      <c r="G190" s="481" t="s">
        <v>4037</v>
      </c>
      <c r="H190" s="481" t="s">
        <v>4038</v>
      </c>
      <c r="I190" s="481" t="s">
        <v>3644</v>
      </c>
      <c r="J190" s="481" t="s">
        <v>4039</v>
      </c>
      <c r="K190" s="481" t="s">
        <v>3624</v>
      </c>
      <c r="L190" s="481" t="s">
        <v>4010</v>
      </c>
      <c r="M190" s="481" t="s">
        <v>4040</v>
      </c>
      <c r="N190" s="481" t="s">
        <v>3627</v>
      </c>
      <c r="O190" s="481" t="s">
        <v>4040</v>
      </c>
      <c r="P190" s="481" t="s">
        <v>3628</v>
      </c>
      <c r="Q190" s="481" t="s">
        <v>3072</v>
      </c>
      <c r="R190" s="481" t="s">
        <v>3063</v>
      </c>
      <c r="S190" s="480">
        <v>46122</v>
      </c>
      <c r="T190" s="481" t="s">
        <v>3629</v>
      </c>
      <c r="U190" s="480">
        <v>46122</v>
      </c>
      <c r="V190" s="481" t="s">
        <v>231</v>
      </c>
      <c r="W190" s="481" t="s">
        <v>173</v>
      </c>
      <c r="X190" s="481" t="s">
        <v>3631</v>
      </c>
      <c r="Y190" s="482" t="s">
        <v>3632</v>
      </c>
      <c r="Z190" s="482" t="s">
        <v>3633</v>
      </c>
    </row>
    <row r="191" spans="1:26" x14ac:dyDescent="0.25">
      <c r="A191" s="481">
        <v>559</v>
      </c>
      <c r="B191" s="481" t="s">
        <v>3617</v>
      </c>
      <c r="C191" s="481" t="s">
        <v>3634</v>
      </c>
      <c r="D191" s="481" t="s">
        <v>4041</v>
      </c>
      <c r="E191" s="481"/>
      <c r="F191" s="484">
        <v>46122</v>
      </c>
      <c r="G191" s="481" t="s">
        <v>4042</v>
      </c>
      <c r="H191" s="481" t="s">
        <v>4038</v>
      </c>
      <c r="I191" s="481" t="s">
        <v>4043</v>
      </c>
      <c r="J191" s="481" t="s">
        <v>4044</v>
      </c>
      <c r="K191" s="481" t="s">
        <v>3624</v>
      </c>
      <c r="L191" s="481" t="s">
        <v>4045</v>
      </c>
      <c r="M191" s="481" t="s">
        <v>4046</v>
      </c>
      <c r="N191" s="481" t="s">
        <v>3627</v>
      </c>
      <c r="O191" s="481" t="s">
        <v>4046</v>
      </c>
      <c r="P191" s="481" t="s">
        <v>3628</v>
      </c>
      <c r="Q191" s="481" t="s">
        <v>3072</v>
      </c>
      <c r="R191" s="481" t="s">
        <v>3063</v>
      </c>
      <c r="S191" s="480">
        <v>46122</v>
      </c>
      <c r="T191" s="481" t="s">
        <v>3629</v>
      </c>
      <c r="U191" s="480">
        <v>46122</v>
      </c>
      <c r="V191" s="481" t="s">
        <v>231</v>
      </c>
      <c r="W191" s="481" t="s">
        <v>3459</v>
      </c>
      <c r="X191" s="481" t="s">
        <v>3631</v>
      </c>
      <c r="Y191" s="482" t="s">
        <v>3632</v>
      </c>
      <c r="Z191" s="482" t="s">
        <v>3633</v>
      </c>
    </row>
    <row r="192" spans="1:26" x14ac:dyDescent="0.25">
      <c r="A192" s="481">
        <v>562</v>
      </c>
      <c r="B192" s="481" t="s">
        <v>3617</v>
      </c>
      <c r="C192" s="481" t="s">
        <v>3634</v>
      </c>
      <c r="D192" s="481" t="s">
        <v>4047</v>
      </c>
      <c r="E192" s="481"/>
      <c r="F192" s="484">
        <v>46122</v>
      </c>
      <c r="G192" s="481" t="s">
        <v>4048</v>
      </c>
      <c r="H192" s="481" t="s">
        <v>4038</v>
      </c>
      <c r="I192" s="481" t="s">
        <v>3644</v>
      </c>
      <c r="J192" s="481" t="s">
        <v>4049</v>
      </c>
      <c r="K192" s="481" t="s">
        <v>3624</v>
      </c>
      <c r="L192" s="481" t="s">
        <v>4045</v>
      </c>
      <c r="M192" s="481" t="s">
        <v>4050</v>
      </c>
      <c r="N192" s="481" t="s">
        <v>3627</v>
      </c>
      <c r="O192" s="481" t="s">
        <v>4050</v>
      </c>
      <c r="P192" s="481" t="s">
        <v>3628</v>
      </c>
      <c r="Q192" s="481" t="s">
        <v>3072</v>
      </c>
      <c r="R192" s="481" t="s">
        <v>3063</v>
      </c>
      <c r="S192" s="480">
        <v>46122</v>
      </c>
      <c r="T192" s="481" t="s">
        <v>3629</v>
      </c>
      <c r="U192" s="480">
        <v>46122</v>
      </c>
      <c r="V192" s="481" t="s">
        <v>231</v>
      </c>
      <c r="W192" s="481" t="s">
        <v>173</v>
      </c>
      <c r="X192" s="481" t="s">
        <v>3631</v>
      </c>
      <c r="Y192" s="482" t="s">
        <v>3632</v>
      </c>
      <c r="Z192" s="482" t="s">
        <v>3633</v>
      </c>
    </row>
    <row r="193" spans="1:26" x14ac:dyDescent="0.25">
      <c r="A193" s="481">
        <v>565</v>
      </c>
      <c r="B193" s="481" t="s">
        <v>3617</v>
      </c>
      <c r="C193" s="481" t="s">
        <v>4051</v>
      </c>
      <c r="D193" s="481" t="s">
        <v>4052</v>
      </c>
      <c r="E193" s="481"/>
      <c r="F193" s="484">
        <v>46143</v>
      </c>
      <c r="G193" s="481" t="s">
        <v>4053</v>
      </c>
      <c r="H193" s="481" t="s">
        <v>3753</v>
      </c>
      <c r="I193" s="481" t="s">
        <v>3789</v>
      </c>
      <c r="J193" s="481" t="s">
        <v>4054</v>
      </c>
      <c r="K193" s="481" t="s">
        <v>3624</v>
      </c>
      <c r="L193" s="481" t="s">
        <v>4045</v>
      </c>
      <c r="M193" s="481" t="s">
        <v>4055</v>
      </c>
      <c r="N193" s="481" t="s">
        <v>3627</v>
      </c>
      <c r="O193" s="481" t="s">
        <v>4055</v>
      </c>
      <c r="P193" s="481" t="s">
        <v>3628</v>
      </c>
      <c r="Q193" s="481" t="s">
        <v>3072</v>
      </c>
      <c r="R193" s="481" t="s">
        <v>3863</v>
      </c>
      <c r="S193" s="480">
        <v>46143</v>
      </c>
      <c r="T193" s="481" t="s">
        <v>3629</v>
      </c>
      <c r="U193" s="480">
        <v>46143</v>
      </c>
      <c r="V193" s="481" t="s">
        <v>231</v>
      </c>
      <c r="W193" s="481" t="s">
        <v>110</v>
      </c>
      <c r="X193" s="481" t="s">
        <v>3631</v>
      </c>
      <c r="Y193" s="482" t="s">
        <v>3632</v>
      </c>
      <c r="Z193" s="482" t="s">
        <v>3633</v>
      </c>
    </row>
    <row r="194" spans="1:26" x14ac:dyDescent="0.25">
      <c r="A194" s="481">
        <v>566</v>
      </c>
      <c r="B194" s="481" t="s">
        <v>3617</v>
      </c>
      <c r="C194" s="481" t="s">
        <v>113</v>
      </c>
      <c r="D194" s="481" t="s">
        <v>4056</v>
      </c>
      <c r="E194" s="481"/>
      <c r="F194" s="484">
        <v>46143</v>
      </c>
      <c r="G194" s="481" t="s">
        <v>4057</v>
      </c>
      <c r="H194" s="481" t="s">
        <v>3753</v>
      </c>
      <c r="I194" s="481" t="s">
        <v>3644</v>
      </c>
      <c r="J194" s="481" t="s">
        <v>4058</v>
      </c>
      <c r="K194" s="481" t="s">
        <v>3624</v>
      </c>
      <c r="L194" s="481" t="s">
        <v>4045</v>
      </c>
      <c r="M194" s="481" t="s">
        <v>4059</v>
      </c>
      <c r="N194" s="481" t="s">
        <v>3627</v>
      </c>
      <c r="O194" s="481" t="s">
        <v>4059</v>
      </c>
      <c r="P194" s="481" t="s">
        <v>3628</v>
      </c>
      <c r="Q194" s="481" t="s">
        <v>3072</v>
      </c>
      <c r="R194" s="481" t="s">
        <v>3863</v>
      </c>
      <c r="S194" s="480">
        <v>46143</v>
      </c>
      <c r="T194" s="481" t="s">
        <v>3629</v>
      </c>
      <c r="U194" s="480">
        <v>46143</v>
      </c>
      <c r="V194" s="481" t="s">
        <v>231</v>
      </c>
      <c r="W194" s="481" t="s">
        <v>173</v>
      </c>
      <c r="X194" s="481" t="s">
        <v>3631</v>
      </c>
      <c r="Y194" s="482" t="s">
        <v>3632</v>
      </c>
      <c r="Z194" s="482" t="s">
        <v>3633</v>
      </c>
    </row>
    <row r="195" spans="1:26" x14ac:dyDescent="0.25">
      <c r="A195" s="481">
        <v>567</v>
      </c>
      <c r="B195" s="481" t="s">
        <v>3617</v>
      </c>
      <c r="C195" s="481" t="s">
        <v>3634</v>
      </c>
      <c r="D195" s="481" t="s">
        <v>4060</v>
      </c>
      <c r="E195" s="481"/>
      <c r="F195" s="484">
        <v>46143</v>
      </c>
      <c r="G195" s="481" t="s">
        <v>4061</v>
      </c>
      <c r="H195" s="481" t="s">
        <v>4038</v>
      </c>
      <c r="I195" s="481" t="s">
        <v>3644</v>
      </c>
      <c r="J195" s="481" t="s">
        <v>4062</v>
      </c>
      <c r="K195" s="481" t="s">
        <v>3624</v>
      </c>
      <c r="L195" s="481" t="s">
        <v>4045</v>
      </c>
      <c r="M195" s="481" t="s">
        <v>4063</v>
      </c>
      <c r="N195" s="481" t="s">
        <v>3627</v>
      </c>
      <c r="O195" s="481" t="s">
        <v>4063</v>
      </c>
      <c r="P195" s="481" t="s">
        <v>3628</v>
      </c>
      <c r="Q195" s="481" t="s">
        <v>3072</v>
      </c>
      <c r="R195" s="481" t="s">
        <v>3063</v>
      </c>
      <c r="S195" s="480">
        <v>46143</v>
      </c>
      <c r="T195" s="481" t="s">
        <v>3629</v>
      </c>
      <c r="U195" s="480">
        <v>46143</v>
      </c>
      <c r="V195" s="481" t="s">
        <v>231</v>
      </c>
      <c r="W195" s="481" t="s">
        <v>173</v>
      </c>
      <c r="X195" s="481" t="s">
        <v>3631</v>
      </c>
      <c r="Y195" s="482" t="s">
        <v>3632</v>
      </c>
      <c r="Z195" s="482" t="s">
        <v>3633</v>
      </c>
    </row>
    <row r="196" spans="1:26" x14ac:dyDescent="0.25">
      <c r="A196" s="481">
        <v>571</v>
      </c>
      <c r="B196" s="481" t="s">
        <v>3617</v>
      </c>
      <c r="C196" s="481" t="s">
        <v>3634</v>
      </c>
      <c r="D196" s="481" t="s">
        <v>4064</v>
      </c>
      <c r="E196" s="481"/>
      <c r="F196" s="484">
        <v>46143</v>
      </c>
      <c r="G196" s="481" t="s">
        <v>4065</v>
      </c>
      <c r="H196" s="481" t="s">
        <v>4038</v>
      </c>
      <c r="I196" s="481" t="s">
        <v>4066</v>
      </c>
      <c r="J196" s="481" t="s">
        <v>4067</v>
      </c>
      <c r="K196" s="481" t="s">
        <v>3624</v>
      </c>
      <c r="L196" s="481" t="s">
        <v>4068</v>
      </c>
      <c r="M196" s="481" t="s">
        <v>4069</v>
      </c>
      <c r="N196" s="481" t="s">
        <v>3627</v>
      </c>
      <c r="O196" s="481" t="s">
        <v>4069</v>
      </c>
      <c r="P196" s="481" t="s">
        <v>3628</v>
      </c>
      <c r="Q196" s="481" t="s">
        <v>3072</v>
      </c>
      <c r="R196" s="481" t="s">
        <v>3063</v>
      </c>
      <c r="S196" s="480">
        <v>46143</v>
      </c>
      <c r="T196" s="481" t="s">
        <v>3629</v>
      </c>
      <c r="U196" s="480">
        <v>46143</v>
      </c>
      <c r="V196" s="481" t="s">
        <v>231</v>
      </c>
      <c r="W196" s="481" t="s">
        <v>4070</v>
      </c>
      <c r="X196" s="481" t="s">
        <v>3631</v>
      </c>
      <c r="Y196" s="482" t="s">
        <v>3632</v>
      </c>
      <c r="Z196" s="482" t="s">
        <v>3633</v>
      </c>
    </row>
    <row r="197" spans="1:26" x14ac:dyDescent="0.25">
      <c r="A197" s="481">
        <v>577</v>
      </c>
      <c r="B197" s="481" t="s">
        <v>3617</v>
      </c>
      <c r="C197" s="481" t="s">
        <v>3912</v>
      </c>
      <c r="D197" s="481" t="s">
        <v>4071</v>
      </c>
      <c r="E197" s="481"/>
      <c r="F197" s="484">
        <v>46146</v>
      </c>
      <c r="G197" s="481" t="s">
        <v>4022</v>
      </c>
      <c r="H197" s="481" t="s">
        <v>4072</v>
      </c>
      <c r="I197" s="481" t="s">
        <v>3194</v>
      </c>
      <c r="J197" s="481" t="s">
        <v>4073</v>
      </c>
      <c r="K197" s="481" t="s">
        <v>3624</v>
      </c>
      <c r="L197" s="481" t="s">
        <v>4068</v>
      </c>
      <c r="M197" s="481" t="s">
        <v>4074</v>
      </c>
      <c r="N197" s="481" t="s">
        <v>3627</v>
      </c>
      <c r="O197" s="481" t="s">
        <v>4074</v>
      </c>
      <c r="P197" s="481" t="s">
        <v>3628</v>
      </c>
      <c r="Q197" s="481" t="s">
        <v>3072</v>
      </c>
      <c r="R197" s="481" t="s">
        <v>1456</v>
      </c>
      <c r="S197" s="480">
        <v>46146</v>
      </c>
      <c r="T197" s="481" t="s">
        <v>3629</v>
      </c>
      <c r="U197" s="480">
        <v>46146</v>
      </c>
      <c r="V197" s="481" t="s">
        <v>231</v>
      </c>
      <c r="W197" s="481" t="s">
        <v>4075</v>
      </c>
      <c r="X197" s="481" t="s">
        <v>3631</v>
      </c>
      <c r="Y197" s="482" t="s">
        <v>3632</v>
      </c>
      <c r="Z197" s="482" t="s">
        <v>3633</v>
      </c>
    </row>
    <row r="198" spans="1:26" x14ac:dyDescent="0.25">
      <c r="A198" s="446"/>
      <c r="B198" s="446">
        <v>1</v>
      </c>
      <c r="C198" s="446" t="s">
        <v>202</v>
      </c>
      <c r="D198" s="446" t="s">
        <v>4076</v>
      </c>
      <c r="E198" s="448">
        <v>36564</v>
      </c>
      <c r="F198" s="448">
        <v>36564</v>
      </c>
      <c r="G198" s="446" t="s">
        <v>4077</v>
      </c>
      <c r="H198" s="446" t="s">
        <v>4078</v>
      </c>
      <c r="I198" s="446" t="s">
        <v>4079</v>
      </c>
      <c r="J198" s="446" t="s">
        <v>4080</v>
      </c>
      <c r="K198" s="485" t="s">
        <v>4081</v>
      </c>
      <c r="L198" s="450"/>
      <c r="M198" s="450"/>
      <c r="N198" s="450"/>
      <c r="O198" s="450"/>
      <c r="P198" s="450"/>
      <c r="Q198" s="450"/>
      <c r="R198" s="450"/>
      <c r="S198" s="451"/>
      <c r="T198" s="450"/>
      <c r="U198" s="451"/>
      <c r="V198" s="450"/>
      <c r="W198" s="450"/>
      <c r="X198" s="450"/>
      <c r="Y198" s="450"/>
      <c r="Z198" s="450"/>
    </row>
    <row r="199" spans="1:26" x14ac:dyDescent="0.25">
      <c r="A199" s="446"/>
      <c r="B199" s="446">
        <v>2</v>
      </c>
      <c r="C199" s="446" t="s">
        <v>202</v>
      </c>
      <c r="D199" s="446" t="s">
        <v>4082</v>
      </c>
      <c r="E199" s="448">
        <v>36564</v>
      </c>
      <c r="F199" s="448">
        <v>36564</v>
      </c>
      <c r="G199" s="446" t="s">
        <v>4083</v>
      </c>
      <c r="H199" s="446" t="s">
        <v>4078</v>
      </c>
      <c r="I199" s="446" t="s">
        <v>4084</v>
      </c>
      <c r="J199" s="446" t="s">
        <v>4085</v>
      </c>
      <c r="K199" s="485" t="s">
        <v>4081</v>
      </c>
      <c r="L199" s="450"/>
      <c r="M199" s="450"/>
      <c r="N199" s="450"/>
      <c r="O199" s="450"/>
      <c r="P199" s="450"/>
      <c r="Q199" s="450"/>
      <c r="R199" s="450"/>
      <c r="S199" s="451"/>
      <c r="T199" s="450"/>
      <c r="U199" s="451"/>
      <c r="V199" s="450"/>
      <c r="W199" s="450"/>
      <c r="X199" s="450"/>
      <c r="Y199" s="450"/>
      <c r="Z199" s="450"/>
    </row>
    <row r="200" spans="1:26" x14ac:dyDescent="0.25">
      <c r="A200" s="446"/>
      <c r="B200" s="446">
        <v>3</v>
      </c>
      <c r="C200" s="446" t="s">
        <v>202</v>
      </c>
      <c r="D200" s="446" t="s">
        <v>4086</v>
      </c>
      <c r="E200" s="448">
        <v>36564</v>
      </c>
      <c r="F200" s="448">
        <v>36564</v>
      </c>
      <c r="G200" s="446" t="s">
        <v>279</v>
      </c>
      <c r="H200" s="446" t="s">
        <v>4078</v>
      </c>
      <c r="I200" s="446" t="s">
        <v>4079</v>
      </c>
      <c r="J200" s="446" t="s">
        <v>4087</v>
      </c>
      <c r="K200" s="485" t="s">
        <v>4081</v>
      </c>
      <c r="L200" s="450"/>
      <c r="M200" s="450"/>
      <c r="N200" s="450"/>
      <c r="O200" s="450"/>
      <c r="P200" s="450"/>
      <c r="Q200" s="450"/>
      <c r="R200" s="450"/>
      <c r="S200" s="451"/>
      <c r="T200" s="450"/>
      <c r="U200" s="451"/>
      <c r="V200" s="450"/>
      <c r="W200" s="450"/>
      <c r="X200" s="450"/>
      <c r="Y200" s="450"/>
      <c r="Z200" s="450"/>
    </row>
    <row r="201" spans="1:26" x14ac:dyDescent="0.25">
      <c r="A201" s="446"/>
      <c r="B201" s="446">
        <v>4</v>
      </c>
      <c r="C201" s="446" t="s">
        <v>202</v>
      </c>
      <c r="D201" s="446" t="s">
        <v>4088</v>
      </c>
      <c r="E201" s="448">
        <v>36565</v>
      </c>
      <c r="F201" s="448">
        <v>36565</v>
      </c>
      <c r="G201" s="446" t="s">
        <v>268</v>
      </c>
      <c r="H201" s="446" t="s">
        <v>205</v>
      </c>
      <c r="I201" s="446" t="s">
        <v>4089</v>
      </c>
      <c r="J201" s="446" t="s">
        <v>4090</v>
      </c>
      <c r="K201" s="485" t="s">
        <v>4081</v>
      </c>
      <c r="L201" s="450"/>
      <c r="M201" s="450"/>
      <c r="N201" s="450"/>
      <c r="O201" s="450"/>
      <c r="P201" s="450"/>
      <c r="Q201" s="450"/>
      <c r="R201" s="450"/>
      <c r="S201" s="451"/>
      <c r="T201" s="450"/>
      <c r="U201" s="451"/>
      <c r="V201" s="450"/>
      <c r="W201" s="450"/>
      <c r="X201" s="450"/>
      <c r="Y201" s="450"/>
      <c r="Z201" s="450"/>
    </row>
    <row r="202" spans="1:26" x14ac:dyDescent="0.25">
      <c r="A202" s="446"/>
      <c r="B202" s="446">
        <v>5</v>
      </c>
      <c r="C202" s="446" t="s">
        <v>202</v>
      </c>
      <c r="D202" s="446" t="s">
        <v>4091</v>
      </c>
      <c r="E202" s="448">
        <v>36565</v>
      </c>
      <c r="F202" s="448">
        <v>36565</v>
      </c>
      <c r="G202" s="446" t="s">
        <v>339</v>
      </c>
      <c r="H202" s="446" t="s">
        <v>205</v>
      </c>
      <c r="I202" s="446" t="s">
        <v>4089</v>
      </c>
      <c r="J202" s="446" t="s">
        <v>4092</v>
      </c>
      <c r="K202" s="485" t="s">
        <v>4081</v>
      </c>
      <c r="L202" s="450"/>
      <c r="M202" s="450"/>
      <c r="N202" s="450"/>
      <c r="O202" s="450"/>
      <c r="P202" s="450"/>
      <c r="Q202" s="450"/>
      <c r="R202" s="450"/>
      <c r="S202" s="451"/>
      <c r="T202" s="450"/>
      <c r="U202" s="451"/>
      <c r="V202" s="450"/>
      <c r="W202" s="450"/>
      <c r="X202" s="450"/>
      <c r="Y202" s="450"/>
      <c r="Z202" s="450"/>
    </row>
    <row r="203" spans="1:26" x14ac:dyDescent="0.25">
      <c r="A203" s="446"/>
      <c r="B203" s="446">
        <v>6</v>
      </c>
      <c r="C203" s="446" t="s">
        <v>202</v>
      </c>
      <c r="D203" s="446" t="s">
        <v>4093</v>
      </c>
      <c r="E203" s="448">
        <v>36565</v>
      </c>
      <c r="F203" s="448">
        <v>36565</v>
      </c>
      <c r="G203" s="446" t="s">
        <v>2397</v>
      </c>
      <c r="H203" s="446" t="s">
        <v>205</v>
      </c>
      <c r="I203" s="446" t="s">
        <v>4094</v>
      </c>
      <c r="J203" s="446" t="s">
        <v>4095</v>
      </c>
      <c r="K203" s="485" t="s">
        <v>4081</v>
      </c>
      <c r="L203" s="450"/>
      <c r="M203" s="450"/>
      <c r="N203" s="450"/>
      <c r="O203" s="450"/>
      <c r="P203" s="450"/>
      <c r="Q203" s="450"/>
      <c r="R203" s="450"/>
      <c r="S203" s="451"/>
      <c r="T203" s="450"/>
      <c r="U203" s="451"/>
      <c r="V203" s="450"/>
      <c r="W203" s="450"/>
      <c r="X203" s="450"/>
      <c r="Y203" s="450"/>
      <c r="Z203" s="450"/>
    </row>
    <row r="204" spans="1:26" x14ac:dyDescent="0.25">
      <c r="A204" s="446"/>
      <c r="B204" s="446">
        <v>7</v>
      </c>
      <c r="C204" s="446" t="s">
        <v>202</v>
      </c>
      <c r="D204" s="446" t="s">
        <v>4096</v>
      </c>
      <c r="E204" s="448">
        <v>36565</v>
      </c>
      <c r="F204" s="448">
        <v>36565</v>
      </c>
      <c r="G204" s="446" t="s">
        <v>2813</v>
      </c>
      <c r="H204" s="446" t="s">
        <v>205</v>
      </c>
      <c r="I204" s="446" t="s">
        <v>4089</v>
      </c>
      <c r="J204" s="446" t="s">
        <v>4097</v>
      </c>
      <c r="K204" s="485" t="s">
        <v>4081</v>
      </c>
      <c r="L204" s="450"/>
      <c r="M204" s="450"/>
      <c r="N204" s="450"/>
      <c r="O204" s="450"/>
      <c r="P204" s="450"/>
      <c r="Q204" s="450"/>
      <c r="R204" s="450"/>
      <c r="S204" s="451"/>
      <c r="T204" s="450"/>
      <c r="U204" s="451"/>
      <c r="V204" s="450"/>
      <c r="W204" s="450"/>
      <c r="X204" s="450"/>
      <c r="Y204" s="450"/>
      <c r="Z204" s="450"/>
    </row>
    <row r="205" spans="1:26" x14ac:dyDescent="0.25">
      <c r="A205" s="446"/>
      <c r="B205" s="446">
        <v>8</v>
      </c>
      <c r="C205" s="446" t="s">
        <v>202</v>
      </c>
      <c r="D205" s="446" t="s">
        <v>4098</v>
      </c>
      <c r="E205" s="448">
        <v>36565</v>
      </c>
      <c r="F205" s="448">
        <v>36565</v>
      </c>
      <c r="G205" s="446" t="s">
        <v>4099</v>
      </c>
      <c r="H205" s="446" t="s">
        <v>4078</v>
      </c>
      <c r="I205" s="446" t="s">
        <v>4084</v>
      </c>
      <c r="J205" s="446" t="s">
        <v>4100</v>
      </c>
      <c r="K205" s="485" t="s">
        <v>4081</v>
      </c>
      <c r="L205" s="450"/>
      <c r="M205" s="450"/>
      <c r="N205" s="450"/>
      <c r="O205" s="450"/>
      <c r="P205" s="450"/>
      <c r="Q205" s="450"/>
      <c r="R205" s="450"/>
      <c r="S205" s="451"/>
      <c r="T205" s="450"/>
      <c r="U205" s="451"/>
      <c r="V205" s="450"/>
      <c r="W205" s="450"/>
      <c r="X205" s="450"/>
      <c r="Y205" s="450"/>
      <c r="Z205" s="450"/>
    </row>
    <row r="206" spans="1:26" x14ac:dyDescent="0.25">
      <c r="A206" s="446"/>
      <c r="B206" s="446">
        <v>9</v>
      </c>
      <c r="C206" s="446" t="s">
        <v>202</v>
      </c>
      <c r="D206" s="446" t="s">
        <v>4101</v>
      </c>
      <c r="E206" s="448">
        <v>36565</v>
      </c>
      <c r="F206" s="448">
        <v>36565</v>
      </c>
      <c r="G206" s="446" t="s">
        <v>251</v>
      </c>
      <c r="H206" s="446" t="s">
        <v>4078</v>
      </c>
      <c r="I206" s="446" t="s">
        <v>4084</v>
      </c>
      <c r="J206" s="446" t="s">
        <v>4102</v>
      </c>
      <c r="K206" s="485" t="s">
        <v>4081</v>
      </c>
      <c r="L206" s="450"/>
      <c r="M206" s="450"/>
      <c r="N206" s="450"/>
      <c r="O206" s="450"/>
      <c r="P206" s="450"/>
      <c r="Q206" s="450"/>
      <c r="R206" s="450"/>
      <c r="S206" s="451"/>
      <c r="T206" s="450"/>
      <c r="U206" s="451"/>
      <c r="V206" s="450"/>
      <c r="W206" s="450"/>
      <c r="X206" s="450"/>
      <c r="Y206" s="450"/>
      <c r="Z206" s="450"/>
    </row>
    <row r="207" spans="1:26" x14ac:dyDescent="0.25">
      <c r="A207" s="446"/>
      <c r="B207" s="446">
        <v>10</v>
      </c>
      <c r="C207" s="446" t="s">
        <v>202</v>
      </c>
      <c r="D207" s="446" t="s">
        <v>4103</v>
      </c>
      <c r="E207" s="448">
        <v>36565</v>
      </c>
      <c r="F207" s="448">
        <v>36565</v>
      </c>
      <c r="G207" s="446" t="s">
        <v>4104</v>
      </c>
      <c r="H207" s="446" t="s">
        <v>4078</v>
      </c>
      <c r="I207" s="446" t="s">
        <v>4084</v>
      </c>
      <c r="J207" s="446" t="s">
        <v>4105</v>
      </c>
      <c r="K207" s="485" t="s">
        <v>4081</v>
      </c>
      <c r="L207" s="450"/>
      <c r="M207" s="450"/>
      <c r="N207" s="450"/>
      <c r="O207" s="450"/>
      <c r="P207" s="450"/>
      <c r="Q207" s="450"/>
      <c r="R207" s="450"/>
      <c r="S207" s="451"/>
      <c r="T207" s="450"/>
      <c r="U207" s="451"/>
      <c r="V207" s="450"/>
      <c r="W207" s="450"/>
      <c r="X207" s="450"/>
      <c r="Y207" s="450"/>
      <c r="Z207" s="450"/>
    </row>
    <row r="208" spans="1:26" x14ac:dyDescent="0.25">
      <c r="A208" s="446"/>
      <c r="B208" s="446"/>
      <c r="C208" s="446" t="s">
        <v>202</v>
      </c>
      <c r="D208" s="446" t="s">
        <v>4106</v>
      </c>
      <c r="E208" s="448">
        <v>36566</v>
      </c>
      <c r="F208" s="448">
        <v>36566</v>
      </c>
      <c r="G208" s="446" t="s">
        <v>236</v>
      </c>
      <c r="H208" s="446" t="s">
        <v>262</v>
      </c>
      <c r="I208" s="446" t="s">
        <v>238</v>
      </c>
      <c r="J208" s="446"/>
      <c r="K208" s="485" t="s">
        <v>4107</v>
      </c>
      <c r="L208" s="450"/>
      <c r="M208" s="450"/>
      <c r="N208" s="450"/>
      <c r="O208" s="450"/>
      <c r="P208" s="450"/>
      <c r="Q208" s="450"/>
      <c r="R208" s="450"/>
      <c r="S208" s="451"/>
      <c r="T208" s="450"/>
      <c r="U208" s="451"/>
      <c r="V208" s="450"/>
      <c r="W208" s="450"/>
      <c r="X208" s="450"/>
      <c r="Y208" s="450"/>
      <c r="Z208" s="450"/>
    </row>
    <row r="209" spans="1:26" x14ac:dyDescent="0.25">
      <c r="A209" s="446"/>
      <c r="B209" s="446">
        <v>12</v>
      </c>
      <c r="C209" s="446" t="s">
        <v>202</v>
      </c>
      <c r="D209" s="446" t="s">
        <v>4108</v>
      </c>
      <c r="E209" s="448">
        <v>36572</v>
      </c>
      <c r="F209" s="448">
        <v>36572</v>
      </c>
      <c r="G209" s="446" t="s">
        <v>1370</v>
      </c>
      <c r="H209" s="446" t="s">
        <v>4078</v>
      </c>
      <c r="I209" s="446" t="s">
        <v>4109</v>
      </c>
      <c r="J209" s="446" t="s">
        <v>4110</v>
      </c>
      <c r="K209" s="485" t="s">
        <v>4081</v>
      </c>
      <c r="L209" s="450"/>
      <c r="M209" s="450"/>
      <c r="N209" s="450"/>
      <c r="O209" s="450"/>
      <c r="P209" s="450"/>
      <c r="Q209" s="450"/>
      <c r="R209" s="450"/>
      <c r="S209" s="451"/>
      <c r="T209" s="450"/>
      <c r="U209" s="451"/>
      <c r="V209" s="450"/>
      <c r="W209" s="450"/>
      <c r="X209" s="450"/>
      <c r="Y209" s="450"/>
      <c r="Z209" s="450"/>
    </row>
    <row r="210" spans="1:26" x14ac:dyDescent="0.25">
      <c r="A210" s="446"/>
      <c r="B210" s="446"/>
      <c r="C210" s="446" t="s">
        <v>1456</v>
      </c>
      <c r="D210" s="446" t="s">
        <v>4111</v>
      </c>
      <c r="E210" s="448">
        <v>36600</v>
      </c>
      <c r="F210" s="448">
        <v>36600</v>
      </c>
      <c r="G210" s="446" t="s">
        <v>205</v>
      </c>
      <c r="H210" s="446" t="s">
        <v>85</v>
      </c>
      <c r="I210" s="446" t="s">
        <v>238</v>
      </c>
      <c r="J210" s="446" t="s">
        <v>4112</v>
      </c>
      <c r="K210" s="485" t="s">
        <v>4107</v>
      </c>
      <c r="L210" s="450"/>
      <c r="M210" s="450"/>
      <c r="N210" s="450"/>
      <c r="O210" s="450"/>
      <c r="P210" s="450"/>
      <c r="Q210" s="450"/>
      <c r="R210" s="450"/>
      <c r="S210" s="451"/>
      <c r="T210" s="450"/>
      <c r="U210" s="451"/>
      <c r="V210" s="450"/>
      <c r="W210" s="450"/>
      <c r="X210" s="450"/>
      <c r="Y210" s="450"/>
      <c r="Z210" s="450"/>
    </row>
    <row r="211" spans="1:26" x14ac:dyDescent="0.25">
      <c r="A211" s="446"/>
      <c r="B211" s="446">
        <v>70</v>
      </c>
      <c r="C211" s="446" t="s">
        <v>202</v>
      </c>
      <c r="D211" s="446" t="s">
        <v>4113</v>
      </c>
      <c r="E211" s="448">
        <v>36612</v>
      </c>
      <c r="F211" s="448">
        <v>36612</v>
      </c>
      <c r="G211" s="446" t="s">
        <v>4114</v>
      </c>
      <c r="H211" s="446" t="s">
        <v>205</v>
      </c>
      <c r="I211" s="446" t="s">
        <v>4115</v>
      </c>
      <c r="J211" s="446" t="s">
        <v>4116</v>
      </c>
      <c r="K211" s="485" t="s">
        <v>4117</v>
      </c>
      <c r="L211" s="450"/>
      <c r="M211" s="450"/>
      <c r="N211" s="450"/>
      <c r="O211" s="450"/>
      <c r="P211" s="450"/>
      <c r="Q211" s="450"/>
      <c r="R211" s="450"/>
      <c r="S211" s="451"/>
      <c r="T211" s="450"/>
      <c r="U211" s="451"/>
      <c r="V211" s="450"/>
      <c r="W211" s="450"/>
      <c r="X211" s="450"/>
      <c r="Y211" s="450"/>
      <c r="Z211" s="450"/>
    </row>
    <row r="212" spans="1:26" x14ac:dyDescent="0.25">
      <c r="A212" s="446"/>
      <c r="B212" s="446"/>
      <c r="C212" s="446" t="s">
        <v>202</v>
      </c>
      <c r="D212" s="446" t="s">
        <v>4118</v>
      </c>
      <c r="E212" s="448">
        <v>36613</v>
      </c>
      <c r="F212" s="448">
        <v>36613</v>
      </c>
      <c r="G212" s="446" t="s">
        <v>4119</v>
      </c>
      <c r="H212" s="446" t="s">
        <v>262</v>
      </c>
      <c r="I212" s="446" t="s">
        <v>4120</v>
      </c>
      <c r="J212" s="446"/>
      <c r="K212" s="485" t="s">
        <v>4107</v>
      </c>
      <c r="L212" s="450"/>
      <c r="M212" s="450"/>
      <c r="N212" s="450"/>
      <c r="O212" s="450"/>
      <c r="P212" s="450"/>
      <c r="Q212" s="450"/>
      <c r="R212" s="450"/>
      <c r="S212" s="451"/>
      <c r="T212" s="450"/>
      <c r="U212" s="451"/>
      <c r="V212" s="450"/>
      <c r="W212" s="450"/>
      <c r="X212" s="450"/>
      <c r="Y212" s="450"/>
      <c r="Z212" s="450"/>
    </row>
    <row r="213" spans="1:26" x14ac:dyDescent="0.25">
      <c r="A213" s="446"/>
      <c r="B213" s="446"/>
      <c r="C213" s="446" t="s">
        <v>202</v>
      </c>
      <c r="D213" s="446" t="s">
        <v>4121</v>
      </c>
      <c r="E213" s="448">
        <v>36613</v>
      </c>
      <c r="F213" s="448">
        <v>36613</v>
      </c>
      <c r="G213" s="446" t="s">
        <v>209</v>
      </c>
      <c r="H213" s="446" t="s">
        <v>262</v>
      </c>
      <c r="I213" s="446" t="s">
        <v>4120</v>
      </c>
      <c r="J213" s="446"/>
      <c r="K213" s="485" t="s">
        <v>4107</v>
      </c>
      <c r="L213" s="450"/>
      <c r="M213" s="450"/>
      <c r="N213" s="450"/>
      <c r="O213" s="450"/>
      <c r="P213" s="450"/>
      <c r="Q213" s="450"/>
      <c r="R213" s="450"/>
      <c r="S213" s="451"/>
      <c r="T213" s="450"/>
      <c r="U213" s="451"/>
      <c r="V213" s="450"/>
      <c r="W213" s="450"/>
      <c r="X213" s="450"/>
      <c r="Y213" s="450"/>
      <c r="Z213" s="450"/>
    </row>
    <row r="214" spans="1:26" x14ac:dyDescent="0.25">
      <c r="A214" s="446"/>
      <c r="B214" s="446"/>
      <c r="C214" s="446" t="s">
        <v>1456</v>
      </c>
      <c r="D214" s="446" t="s">
        <v>1936</v>
      </c>
      <c r="E214" s="448">
        <v>39336</v>
      </c>
      <c r="F214" s="448">
        <v>39336</v>
      </c>
      <c r="G214" s="446" t="s">
        <v>1980</v>
      </c>
      <c r="H214" s="446" t="s">
        <v>3020</v>
      </c>
      <c r="I214" s="446" t="s">
        <v>4122</v>
      </c>
      <c r="J214" s="446" t="s">
        <v>4112</v>
      </c>
      <c r="K214" s="485" t="s">
        <v>4107</v>
      </c>
      <c r="L214" s="450"/>
      <c r="M214" s="450"/>
      <c r="N214" s="450"/>
      <c r="O214" s="450"/>
      <c r="P214" s="450"/>
      <c r="Q214" s="450"/>
      <c r="R214" s="450"/>
      <c r="S214" s="451"/>
      <c r="T214" s="450"/>
      <c r="U214" s="451"/>
      <c r="V214" s="450"/>
      <c r="W214" s="450"/>
      <c r="X214" s="450"/>
      <c r="Y214" s="450"/>
      <c r="Z214" s="450"/>
    </row>
    <row r="215" spans="1:26" x14ac:dyDescent="0.25">
      <c r="A215" s="446"/>
      <c r="B215" s="446"/>
      <c r="C215" s="446" t="s">
        <v>4123</v>
      </c>
      <c r="D215" s="446" t="s">
        <v>4124</v>
      </c>
      <c r="E215" s="448">
        <v>41190</v>
      </c>
      <c r="F215" s="448">
        <v>41190</v>
      </c>
      <c r="G215" s="446" t="s">
        <v>4125</v>
      </c>
      <c r="H215" s="446" t="s">
        <v>4126</v>
      </c>
      <c r="I215" s="446" t="s">
        <v>231</v>
      </c>
      <c r="J215" s="446"/>
      <c r="K215" s="485" t="s">
        <v>4107</v>
      </c>
      <c r="L215" s="450"/>
      <c r="M215" s="450"/>
      <c r="N215" s="450"/>
      <c r="O215" s="450"/>
      <c r="P215" s="450"/>
      <c r="Q215" s="450"/>
      <c r="R215" s="450"/>
      <c r="S215" s="451"/>
      <c r="T215" s="450"/>
      <c r="U215" s="451"/>
      <c r="V215" s="450"/>
      <c r="W215" s="450"/>
      <c r="X215" s="450"/>
      <c r="Y215" s="450"/>
      <c r="Z215" s="450"/>
    </row>
    <row r="216" spans="1:26" x14ac:dyDescent="0.25">
      <c r="A216" s="446"/>
      <c r="B216" s="446"/>
      <c r="C216" s="446" t="s">
        <v>4123</v>
      </c>
      <c r="D216" s="446" t="s">
        <v>2190</v>
      </c>
      <c r="E216" s="448">
        <v>41387</v>
      </c>
      <c r="F216" s="448">
        <v>41387</v>
      </c>
      <c r="G216" s="446" t="s">
        <v>2191</v>
      </c>
      <c r="H216" s="446" t="s">
        <v>2192</v>
      </c>
      <c r="I216" s="446" t="s">
        <v>4127</v>
      </c>
      <c r="J216" s="446"/>
      <c r="K216" s="485" t="s">
        <v>4107</v>
      </c>
      <c r="L216" s="450"/>
      <c r="M216" s="450"/>
      <c r="N216" s="450"/>
      <c r="O216" s="450"/>
      <c r="P216" s="450"/>
      <c r="Q216" s="450"/>
      <c r="R216" s="450"/>
      <c r="S216" s="451"/>
      <c r="T216" s="450"/>
      <c r="U216" s="451"/>
      <c r="V216" s="450"/>
      <c r="W216" s="450"/>
      <c r="X216" s="450"/>
      <c r="Y216" s="450"/>
      <c r="Z216" s="450"/>
    </row>
    <row r="217" spans="1:26" x14ac:dyDescent="0.25">
      <c r="A217" s="446"/>
      <c r="B217" s="446">
        <v>43</v>
      </c>
      <c r="C217" s="446" t="s">
        <v>1456</v>
      </c>
      <c r="D217" s="446" t="s">
        <v>2370</v>
      </c>
      <c r="E217" s="448">
        <v>42593</v>
      </c>
      <c r="F217" s="448">
        <v>42593</v>
      </c>
      <c r="G217" s="446" t="s">
        <v>361</v>
      </c>
      <c r="H217" s="446" t="s">
        <v>2371</v>
      </c>
      <c r="I217" s="446" t="s">
        <v>4128</v>
      </c>
      <c r="J217" s="446" t="s">
        <v>4129</v>
      </c>
      <c r="K217" s="485" t="s">
        <v>4130</v>
      </c>
      <c r="L217" s="450"/>
      <c r="M217" s="450"/>
      <c r="N217" s="450"/>
      <c r="O217" s="450"/>
      <c r="P217" s="450"/>
      <c r="Q217" s="450"/>
      <c r="R217" s="450"/>
      <c r="S217" s="451"/>
      <c r="T217" s="450"/>
      <c r="U217" s="451"/>
      <c r="V217" s="450"/>
      <c r="W217" s="450"/>
      <c r="X217" s="450"/>
      <c r="Y217" s="450"/>
      <c r="Z217" s="450"/>
    </row>
    <row r="218" spans="1:26" x14ac:dyDescent="0.25">
      <c r="A218" s="446"/>
      <c r="B218" s="446"/>
      <c r="C218" s="446" t="s">
        <v>1160</v>
      </c>
      <c r="D218" s="446" t="s">
        <v>2373</v>
      </c>
      <c r="E218" s="448">
        <v>42593</v>
      </c>
      <c r="F218" s="448">
        <v>42593</v>
      </c>
      <c r="G218" s="446" t="s">
        <v>361</v>
      </c>
      <c r="H218" s="446" t="s">
        <v>4131</v>
      </c>
      <c r="I218" s="446" t="s">
        <v>4132</v>
      </c>
      <c r="J218" s="446" t="s">
        <v>4133</v>
      </c>
      <c r="K218" s="485" t="s">
        <v>4107</v>
      </c>
      <c r="L218" s="450"/>
      <c r="M218" s="450"/>
      <c r="N218" s="450"/>
      <c r="O218" s="450"/>
      <c r="P218" s="450"/>
      <c r="Q218" s="450"/>
      <c r="R218" s="450"/>
      <c r="S218" s="451"/>
      <c r="T218" s="450"/>
      <c r="U218" s="451"/>
      <c r="V218" s="450"/>
      <c r="W218" s="450"/>
      <c r="X218" s="450"/>
      <c r="Y218" s="450"/>
      <c r="Z218" s="450"/>
    </row>
    <row r="219" spans="1:26" x14ac:dyDescent="0.25">
      <c r="A219" s="446"/>
      <c r="B219" s="446"/>
      <c r="C219" s="446" t="s">
        <v>1456</v>
      </c>
      <c r="D219" s="446" t="s">
        <v>2378</v>
      </c>
      <c r="E219" s="448">
        <v>42719</v>
      </c>
      <c r="F219" s="448">
        <v>42719</v>
      </c>
      <c r="G219" s="446" t="s">
        <v>2075</v>
      </c>
      <c r="H219" s="446" t="s">
        <v>2076</v>
      </c>
      <c r="I219" s="446" t="s">
        <v>238</v>
      </c>
      <c r="J219" s="446" t="s">
        <v>4112</v>
      </c>
      <c r="K219" s="485" t="s">
        <v>4107</v>
      </c>
      <c r="L219" s="450"/>
      <c r="M219" s="450"/>
      <c r="N219" s="450"/>
      <c r="O219" s="450"/>
      <c r="P219" s="450"/>
      <c r="Q219" s="450"/>
      <c r="R219" s="450"/>
      <c r="S219" s="451"/>
      <c r="T219" s="450"/>
      <c r="U219" s="451"/>
      <c r="V219" s="450"/>
      <c r="W219" s="450"/>
      <c r="X219" s="450"/>
      <c r="Y219" s="450"/>
      <c r="Z219" s="450"/>
    </row>
    <row r="220" spans="1:26" x14ac:dyDescent="0.25">
      <c r="A220" s="446"/>
      <c r="B220" s="446"/>
      <c r="C220" s="446" t="s">
        <v>1456</v>
      </c>
      <c r="D220" s="446" t="s">
        <v>4134</v>
      </c>
      <c r="E220" s="448">
        <v>42723</v>
      </c>
      <c r="F220" s="448">
        <v>42723</v>
      </c>
      <c r="G220" s="446" t="s">
        <v>4135</v>
      </c>
      <c r="H220" s="446" t="s">
        <v>1909</v>
      </c>
      <c r="I220" s="446" t="s">
        <v>4127</v>
      </c>
      <c r="J220" s="446" t="s">
        <v>4112</v>
      </c>
      <c r="K220" s="485" t="s">
        <v>4107</v>
      </c>
      <c r="L220" s="450"/>
      <c r="M220" s="450"/>
      <c r="N220" s="450"/>
      <c r="O220" s="450"/>
      <c r="P220" s="450"/>
      <c r="Q220" s="450"/>
      <c r="R220" s="450"/>
      <c r="S220" s="451"/>
      <c r="T220" s="450"/>
      <c r="U220" s="451"/>
      <c r="V220" s="450"/>
      <c r="W220" s="450"/>
      <c r="X220" s="450"/>
      <c r="Y220" s="450"/>
      <c r="Z220" s="450"/>
    </row>
    <row r="221" spans="1:26" x14ac:dyDescent="0.25">
      <c r="A221" s="446"/>
      <c r="B221" s="446"/>
      <c r="C221" s="446" t="s">
        <v>1456</v>
      </c>
      <c r="D221" s="446" t="s">
        <v>2380</v>
      </c>
      <c r="E221" s="448">
        <v>42752</v>
      </c>
      <c r="F221" s="448">
        <v>42752</v>
      </c>
      <c r="G221" s="446" t="s">
        <v>4136</v>
      </c>
      <c r="H221" s="446" t="s">
        <v>2382</v>
      </c>
      <c r="I221" s="446" t="s">
        <v>231</v>
      </c>
      <c r="J221" s="446" t="s">
        <v>4112</v>
      </c>
      <c r="K221" s="485" t="s">
        <v>4107</v>
      </c>
      <c r="L221" s="450"/>
      <c r="M221" s="450"/>
      <c r="N221" s="450"/>
      <c r="O221" s="450"/>
      <c r="P221" s="450"/>
      <c r="Q221" s="450"/>
      <c r="R221" s="450"/>
      <c r="S221" s="451"/>
      <c r="T221" s="450"/>
      <c r="U221" s="451"/>
      <c r="V221" s="450"/>
      <c r="W221" s="450"/>
      <c r="X221" s="450"/>
      <c r="Y221" s="450"/>
      <c r="Z221" s="450"/>
    </row>
    <row r="222" spans="1:26" x14ac:dyDescent="0.25">
      <c r="A222" s="446"/>
      <c r="B222" s="446"/>
      <c r="C222" s="446" t="s">
        <v>619</v>
      </c>
      <c r="D222" s="446" t="s">
        <v>2385</v>
      </c>
      <c r="E222" s="448">
        <v>42858</v>
      </c>
      <c r="F222" s="448">
        <v>42858</v>
      </c>
      <c r="G222" s="446" t="s">
        <v>374</v>
      </c>
      <c r="H222" s="446" t="s">
        <v>2914</v>
      </c>
      <c r="I222" s="446" t="s">
        <v>4137</v>
      </c>
      <c r="J222" s="446" t="s">
        <v>4138</v>
      </c>
      <c r="K222" s="485" t="s">
        <v>4139</v>
      </c>
      <c r="L222" s="450"/>
      <c r="M222" s="450"/>
      <c r="N222" s="450"/>
      <c r="O222" s="450"/>
      <c r="P222" s="450"/>
      <c r="Q222" s="450"/>
      <c r="R222" s="450"/>
      <c r="S222" s="451"/>
      <c r="T222" s="450"/>
      <c r="U222" s="451"/>
      <c r="V222" s="450"/>
      <c r="W222" s="450"/>
      <c r="X222" s="450"/>
      <c r="Y222" s="450"/>
      <c r="Z222" s="450"/>
    </row>
    <row r="223" spans="1:26" x14ac:dyDescent="0.25">
      <c r="A223" s="446"/>
      <c r="B223" s="446"/>
      <c r="C223" s="446" t="s">
        <v>1181</v>
      </c>
      <c r="D223" s="446" t="s">
        <v>4140</v>
      </c>
      <c r="E223" s="448">
        <v>43088</v>
      </c>
      <c r="F223" s="448">
        <v>43088</v>
      </c>
      <c r="G223" s="446" t="s">
        <v>2371</v>
      </c>
      <c r="H223" s="446" t="s">
        <v>4141</v>
      </c>
      <c r="I223" s="446" t="s">
        <v>238</v>
      </c>
      <c r="J223" s="446"/>
      <c r="K223" s="485" t="s">
        <v>4107</v>
      </c>
      <c r="L223" s="450"/>
      <c r="M223" s="450"/>
      <c r="N223" s="450"/>
      <c r="O223" s="450"/>
      <c r="P223" s="450"/>
      <c r="Q223" s="450"/>
      <c r="R223" s="450"/>
      <c r="S223" s="451"/>
      <c r="T223" s="450"/>
      <c r="U223" s="451"/>
      <c r="V223" s="450"/>
      <c r="W223" s="450"/>
      <c r="X223" s="450"/>
      <c r="Y223" s="450"/>
      <c r="Z223" s="450"/>
    </row>
    <row r="224" spans="1:26" x14ac:dyDescent="0.25">
      <c r="A224" s="446"/>
      <c r="B224" s="446">
        <v>47</v>
      </c>
      <c r="C224" s="446" t="s">
        <v>1456</v>
      </c>
      <c r="D224" s="446" t="s">
        <v>2400</v>
      </c>
      <c r="E224" s="448">
        <v>43119</v>
      </c>
      <c r="F224" s="448">
        <v>43119</v>
      </c>
      <c r="G224" s="446" t="s">
        <v>2401</v>
      </c>
      <c r="H224" s="446" t="s">
        <v>2287</v>
      </c>
      <c r="I224" s="446" t="s">
        <v>4142</v>
      </c>
      <c r="J224" s="446" t="s">
        <v>4143</v>
      </c>
      <c r="K224" s="485" t="s">
        <v>4144</v>
      </c>
      <c r="L224" s="450"/>
      <c r="M224" s="450"/>
      <c r="N224" s="450"/>
      <c r="O224" s="450"/>
      <c r="P224" s="450"/>
      <c r="Q224" s="450"/>
      <c r="R224" s="450"/>
      <c r="S224" s="451"/>
      <c r="T224" s="450"/>
      <c r="U224" s="451"/>
      <c r="V224" s="450"/>
      <c r="W224" s="450"/>
      <c r="X224" s="450"/>
      <c r="Y224" s="450"/>
      <c r="Z224" s="450"/>
    </row>
    <row r="225" spans="1:26" x14ac:dyDescent="0.25">
      <c r="A225" s="446"/>
      <c r="B225" s="446"/>
      <c r="C225" s="446" t="s">
        <v>4123</v>
      </c>
      <c r="D225" s="446" t="s">
        <v>2415</v>
      </c>
      <c r="E225" s="448">
        <v>43327</v>
      </c>
      <c r="F225" s="448">
        <v>43327</v>
      </c>
      <c r="G225" s="446" t="s">
        <v>4145</v>
      </c>
      <c r="H225" s="446" t="s">
        <v>102</v>
      </c>
      <c r="I225" s="446" t="s">
        <v>231</v>
      </c>
      <c r="J225" s="446"/>
      <c r="K225" s="485" t="s">
        <v>4107</v>
      </c>
      <c r="L225" s="450"/>
      <c r="M225" s="450"/>
      <c r="N225" s="450"/>
      <c r="O225" s="450"/>
      <c r="P225" s="450"/>
      <c r="Q225" s="450"/>
      <c r="R225" s="450"/>
      <c r="S225" s="451"/>
      <c r="T225" s="450"/>
      <c r="U225" s="451"/>
      <c r="V225" s="450"/>
      <c r="W225" s="450"/>
      <c r="X225" s="450"/>
      <c r="Y225" s="450"/>
      <c r="Z225" s="450"/>
    </row>
    <row r="226" spans="1:26" x14ac:dyDescent="0.25">
      <c r="A226" s="446"/>
      <c r="B226" s="446"/>
      <c r="C226" s="446" t="s">
        <v>1160</v>
      </c>
      <c r="D226" s="446" t="s">
        <v>2418</v>
      </c>
      <c r="E226" s="448">
        <v>43382</v>
      </c>
      <c r="F226" s="448">
        <v>43382</v>
      </c>
      <c r="G226" s="446" t="s">
        <v>4146</v>
      </c>
      <c r="H226" s="446" t="s">
        <v>4147</v>
      </c>
      <c r="I226" s="446" t="s">
        <v>3310</v>
      </c>
      <c r="J226" s="446" t="s">
        <v>4148</v>
      </c>
      <c r="K226" s="485" t="s">
        <v>4107</v>
      </c>
      <c r="L226" s="450"/>
      <c r="M226" s="450"/>
      <c r="N226" s="450"/>
      <c r="O226" s="450"/>
      <c r="P226" s="450"/>
      <c r="Q226" s="450"/>
      <c r="R226" s="450"/>
      <c r="S226" s="451"/>
      <c r="T226" s="450"/>
      <c r="U226" s="451"/>
      <c r="V226" s="450"/>
      <c r="W226" s="450"/>
      <c r="X226" s="450"/>
      <c r="Y226" s="450"/>
      <c r="Z226" s="450"/>
    </row>
    <row r="227" spans="1:26" x14ac:dyDescent="0.25">
      <c r="A227" s="446"/>
      <c r="B227" s="446">
        <v>49</v>
      </c>
      <c r="C227" s="446" t="s">
        <v>1456</v>
      </c>
      <c r="D227" s="446" t="s">
        <v>2433</v>
      </c>
      <c r="E227" s="448">
        <v>43698</v>
      </c>
      <c r="F227" s="448">
        <v>43698</v>
      </c>
      <c r="G227" s="446" t="s">
        <v>3022</v>
      </c>
      <c r="H227" s="446" t="s">
        <v>2435</v>
      </c>
      <c r="I227" s="446" t="s">
        <v>4149</v>
      </c>
      <c r="J227" s="446" t="s">
        <v>4150</v>
      </c>
      <c r="K227" s="485" t="s">
        <v>4151</v>
      </c>
      <c r="L227" s="450"/>
      <c r="M227" s="450"/>
      <c r="N227" s="450"/>
      <c r="O227" s="450"/>
      <c r="P227" s="450"/>
      <c r="Q227" s="450"/>
      <c r="R227" s="450"/>
      <c r="S227" s="451"/>
      <c r="T227" s="450"/>
      <c r="U227" s="451"/>
      <c r="V227" s="450"/>
      <c r="W227" s="450"/>
      <c r="X227" s="450"/>
      <c r="Y227" s="450"/>
      <c r="Z227" s="450"/>
    </row>
    <row r="228" spans="1:26" x14ac:dyDescent="0.25">
      <c r="A228" s="446"/>
      <c r="B228" s="446"/>
      <c r="C228" s="446" t="s">
        <v>619</v>
      </c>
      <c r="D228" s="446" t="s">
        <v>2439</v>
      </c>
      <c r="E228" s="448">
        <v>43711</v>
      </c>
      <c r="F228" s="448">
        <v>43711</v>
      </c>
      <c r="G228" s="446" t="s">
        <v>4152</v>
      </c>
      <c r="H228" s="446" t="s">
        <v>104</v>
      </c>
      <c r="I228" s="446" t="s">
        <v>332</v>
      </c>
      <c r="J228" s="446" t="s">
        <v>4153</v>
      </c>
      <c r="K228" s="485" t="s">
        <v>4139</v>
      </c>
      <c r="L228" s="450"/>
      <c r="M228" s="450"/>
      <c r="N228" s="450"/>
      <c r="O228" s="450"/>
      <c r="P228" s="450"/>
      <c r="Q228" s="450"/>
      <c r="R228" s="450"/>
      <c r="S228" s="451"/>
      <c r="T228" s="450"/>
      <c r="U228" s="451"/>
      <c r="V228" s="450"/>
      <c r="W228" s="450"/>
      <c r="X228" s="450"/>
      <c r="Y228" s="450"/>
      <c r="Z228" s="450"/>
    </row>
    <row r="229" spans="1:26" x14ac:dyDescent="0.25">
      <c r="A229" s="446"/>
      <c r="B229" s="446"/>
      <c r="C229" s="446" t="s">
        <v>1456</v>
      </c>
      <c r="D229" s="446" t="s">
        <v>2442</v>
      </c>
      <c r="E229" s="448">
        <v>44060</v>
      </c>
      <c r="F229" s="448">
        <v>44060</v>
      </c>
      <c r="G229" s="446" t="s">
        <v>4154</v>
      </c>
      <c r="H229" s="446" t="s">
        <v>2443</v>
      </c>
      <c r="I229" s="446" t="s">
        <v>238</v>
      </c>
      <c r="J229" s="446" t="s">
        <v>4112</v>
      </c>
      <c r="K229" s="485" t="s">
        <v>4107</v>
      </c>
      <c r="L229" s="450"/>
      <c r="M229" s="450"/>
      <c r="N229" s="450"/>
      <c r="O229" s="450"/>
      <c r="P229" s="450"/>
      <c r="Q229" s="450"/>
      <c r="R229" s="450"/>
      <c r="S229" s="451"/>
      <c r="T229" s="450"/>
      <c r="U229" s="451"/>
      <c r="V229" s="450"/>
      <c r="W229" s="450"/>
      <c r="X229" s="450"/>
      <c r="Y229" s="450"/>
      <c r="Z229" s="450"/>
    </row>
    <row r="230" spans="1:26" x14ac:dyDescent="0.25">
      <c r="A230" s="446"/>
      <c r="B230" s="446"/>
      <c r="C230" s="446" t="s">
        <v>1456</v>
      </c>
      <c r="D230" s="446" t="s">
        <v>2460</v>
      </c>
      <c r="E230" s="448">
        <v>44118</v>
      </c>
      <c r="F230" s="448">
        <v>44118</v>
      </c>
      <c r="G230" s="446" t="s">
        <v>4155</v>
      </c>
      <c r="H230" s="446" t="s">
        <v>2448</v>
      </c>
      <c r="I230" s="446" t="s">
        <v>238</v>
      </c>
      <c r="J230" s="446" t="s">
        <v>4112</v>
      </c>
      <c r="K230" s="485" t="s">
        <v>4107</v>
      </c>
      <c r="L230" s="450"/>
      <c r="M230" s="450"/>
      <c r="N230" s="450"/>
      <c r="O230" s="450"/>
      <c r="P230" s="450"/>
      <c r="Q230" s="450"/>
      <c r="R230" s="450"/>
      <c r="S230" s="451"/>
      <c r="T230" s="450"/>
      <c r="U230" s="451"/>
      <c r="V230" s="450"/>
      <c r="W230" s="450"/>
      <c r="X230" s="450"/>
      <c r="Y230" s="450"/>
      <c r="Z230" s="450"/>
    </row>
    <row r="231" spans="1:26" x14ac:dyDescent="0.25">
      <c r="A231" s="446"/>
      <c r="B231" s="446"/>
      <c r="C231" s="446" t="s">
        <v>619</v>
      </c>
      <c r="D231" s="446" t="s">
        <v>2470</v>
      </c>
      <c r="E231" s="448">
        <v>44144</v>
      </c>
      <c r="F231" s="448">
        <v>44144</v>
      </c>
      <c r="G231" s="446" t="s">
        <v>2471</v>
      </c>
      <c r="H231" s="446" t="s">
        <v>2472</v>
      </c>
      <c r="I231" s="446" t="s">
        <v>4156</v>
      </c>
      <c r="J231" s="446" t="s">
        <v>4157</v>
      </c>
      <c r="K231" s="485" t="s">
        <v>4139</v>
      </c>
      <c r="L231" s="450"/>
      <c r="M231" s="450"/>
      <c r="N231" s="450"/>
      <c r="O231" s="450"/>
      <c r="P231" s="450"/>
      <c r="Q231" s="450"/>
      <c r="R231" s="450"/>
      <c r="S231" s="451"/>
      <c r="T231" s="450"/>
      <c r="U231" s="451"/>
      <c r="V231" s="450"/>
      <c r="W231" s="450"/>
      <c r="X231" s="450"/>
      <c r="Y231" s="450"/>
      <c r="Z231" s="450"/>
    </row>
    <row r="232" spans="1:26" x14ac:dyDescent="0.25">
      <c r="A232" s="446"/>
      <c r="B232" s="446"/>
      <c r="C232" s="446" t="s">
        <v>1456</v>
      </c>
      <c r="D232" s="446" t="s">
        <v>2475</v>
      </c>
      <c r="E232" s="448">
        <v>44175</v>
      </c>
      <c r="F232" s="448">
        <v>44175</v>
      </c>
      <c r="G232" s="446" t="s">
        <v>3024</v>
      </c>
      <c r="H232" s="446" t="s">
        <v>3025</v>
      </c>
      <c r="I232" s="446" t="s">
        <v>4158</v>
      </c>
      <c r="J232" s="446" t="s">
        <v>4159</v>
      </c>
      <c r="K232" s="485" t="s">
        <v>4139</v>
      </c>
      <c r="L232" s="450"/>
      <c r="M232" s="450"/>
      <c r="N232" s="450"/>
      <c r="O232" s="450"/>
      <c r="P232" s="450"/>
      <c r="Q232" s="450"/>
      <c r="R232" s="450"/>
      <c r="S232" s="451"/>
      <c r="T232" s="450"/>
      <c r="U232" s="451"/>
      <c r="V232" s="450"/>
      <c r="W232" s="450"/>
      <c r="X232" s="450"/>
      <c r="Y232" s="450"/>
      <c r="Z232" s="450"/>
    </row>
    <row r="233" spans="1:26" x14ac:dyDescent="0.25">
      <c r="A233" s="446"/>
      <c r="B233" s="446"/>
      <c r="C233" s="446" t="s">
        <v>461</v>
      </c>
      <c r="D233" s="446" t="s">
        <v>2498</v>
      </c>
      <c r="E233" s="448">
        <v>44462</v>
      </c>
      <c r="F233" s="448">
        <v>44462</v>
      </c>
      <c r="G233" s="446" t="s">
        <v>2499</v>
      </c>
      <c r="H233" s="446" t="s">
        <v>102</v>
      </c>
      <c r="I233" s="446" t="s">
        <v>4160</v>
      </c>
      <c r="J233" s="446" t="s">
        <v>4161</v>
      </c>
      <c r="K233" s="485" t="s">
        <v>4139</v>
      </c>
      <c r="L233" s="450"/>
      <c r="M233" s="450"/>
      <c r="N233" s="450"/>
      <c r="O233" s="450"/>
      <c r="P233" s="450"/>
      <c r="Q233" s="450"/>
      <c r="R233" s="450"/>
      <c r="S233" s="451"/>
      <c r="T233" s="450"/>
      <c r="U233" s="451"/>
      <c r="V233" s="450"/>
      <c r="W233" s="450"/>
      <c r="X233" s="450"/>
      <c r="Y233" s="450"/>
      <c r="Z233" s="450"/>
    </row>
    <row r="234" spans="1:26" x14ac:dyDescent="0.25">
      <c r="A234" s="446"/>
      <c r="B234" s="446"/>
      <c r="C234" s="446" t="s">
        <v>98</v>
      </c>
      <c r="D234" s="446" t="s">
        <v>100</v>
      </c>
      <c r="E234" s="448">
        <v>44462</v>
      </c>
      <c r="F234" s="448">
        <v>44462</v>
      </c>
      <c r="G234" s="446" t="s">
        <v>105</v>
      </c>
      <c r="H234" s="446" t="s">
        <v>4162</v>
      </c>
      <c r="I234" s="446" t="s">
        <v>238</v>
      </c>
      <c r="J234" s="446"/>
      <c r="K234" s="485" t="s">
        <v>4107</v>
      </c>
      <c r="L234" s="450"/>
      <c r="M234" s="450"/>
      <c r="N234" s="450"/>
      <c r="O234" s="450"/>
      <c r="P234" s="450"/>
      <c r="Q234" s="450"/>
      <c r="R234" s="450"/>
      <c r="S234" s="451"/>
      <c r="T234" s="450"/>
      <c r="U234" s="451"/>
      <c r="V234" s="450"/>
      <c r="W234" s="450"/>
      <c r="X234" s="450"/>
      <c r="Y234" s="450"/>
      <c r="Z234" s="450"/>
    </row>
    <row r="235" spans="1:26" x14ac:dyDescent="0.25">
      <c r="A235" s="446"/>
      <c r="B235" s="446"/>
      <c r="C235" s="446" t="s">
        <v>1456</v>
      </c>
      <c r="D235" s="446" t="s">
        <v>2486</v>
      </c>
      <c r="E235" s="448">
        <v>44463</v>
      </c>
      <c r="F235" s="448">
        <v>44463</v>
      </c>
      <c r="G235" s="446" t="s">
        <v>4163</v>
      </c>
      <c r="H235" s="446" t="s">
        <v>2448</v>
      </c>
      <c r="I235" s="446" t="s">
        <v>332</v>
      </c>
      <c r="J235" s="446" t="s">
        <v>4112</v>
      </c>
      <c r="K235" s="485" t="s">
        <v>4107</v>
      </c>
      <c r="L235" s="450"/>
      <c r="M235" s="450"/>
      <c r="N235" s="450"/>
      <c r="O235" s="450"/>
      <c r="P235" s="450"/>
      <c r="Q235" s="450"/>
      <c r="R235" s="450"/>
      <c r="S235" s="451"/>
      <c r="T235" s="450"/>
      <c r="U235" s="451"/>
      <c r="V235" s="450"/>
      <c r="W235" s="450"/>
      <c r="X235" s="450"/>
      <c r="Y235" s="450"/>
      <c r="Z235" s="450"/>
    </row>
    <row r="236" spans="1:26" x14ac:dyDescent="0.25">
      <c r="A236" s="446"/>
      <c r="B236" s="446"/>
      <c r="C236" s="446" t="s">
        <v>1456</v>
      </c>
      <c r="D236" s="446" t="s">
        <v>2502</v>
      </c>
      <c r="E236" s="448">
        <v>44476</v>
      </c>
      <c r="F236" s="448">
        <v>44476</v>
      </c>
      <c r="G236" s="446" t="s">
        <v>3026</v>
      </c>
      <c r="H236" s="446" t="s">
        <v>4164</v>
      </c>
      <c r="I236" s="446" t="s">
        <v>238</v>
      </c>
      <c r="J236" s="446" t="s">
        <v>4112</v>
      </c>
      <c r="K236" s="485" t="s">
        <v>4107</v>
      </c>
      <c r="L236" s="450"/>
      <c r="M236" s="450"/>
      <c r="N236" s="450"/>
      <c r="O236" s="450"/>
      <c r="P236" s="450"/>
      <c r="Q236" s="450"/>
      <c r="R236" s="450"/>
      <c r="S236" s="451"/>
      <c r="T236" s="450"/>
      <c r="U236" s="451"/>
      <c r="V236" s="450"/>
      <c r="W236" s="450"/>
      <c r="X236" s="450"/>
      <c r="Y236" s="450"/>
      <c r="Z236" s="450"/>
    </row>
    <row r="237" spans="1:26" x14ac:dyDescent="0.25">
      <c r="A237" s="446"/>
      <c r="B237" s="446"/>
      <c r="C237" s="446" t="s">
        <v>619</v>
      </c>
      <c r="D237" s="446" t="s">
        <v>2507</v>
      </c>
      <c r="E237" s="448">
        <v>44491</v>
      </c>
      <c r="F237" s="448">
        <v>44491</v>
      </c>
      <c r="G237" s="446" t="s">
        <v>4165</v>
      </c>
      <c r="H237" s="446" t="s">
        <v>4166</v>
      </c>
      <c r="I237" s="446" t="s">
        <v>3233</v>
      </c>
      <c r="J237" s="446" t="s">
        <v>4148</v>
      </c>
      <c r="K237" s="485" t="s">
        <v>4107</v>
      </c>
      <c r="L237" s="450"/>
      <c r="M237" s="450"/>
      <c r="N237" s="450"/>
      <c r="O237" s="450"/>
      <c r="P237" s="450"/>
      <c r="Q237" s="450"/>
      <c r="R237" s="450"/>
      <c r="S237" s="451"/>
      <c r="T237" s="450"/>
      <c r="U237" s="451"/>
      <c r="V237" s="450"/>
      <c r="W237" s="450"/>
      <c r="X237" s="450"/>
      <c r="Y237" s="450"/>
      <c r="Z237" s="450"/>
    </row>
    <row r="238" spans="1:26" x14ac:dyDescent="0.25">
      <c r="A238" s="446"/>
      <c r="B238" s="446">
        <v>56</v>
      </c>
      <c r="C238" s="446" t="s">
        <v>2531</v>
      </c>
      <c r="D238" s="446" t="s">
        <v>2532</v>
      </c>
      <c r="E238" s="448">
        <v>45247</v>
      </c>
      <c r="F238" s="448">
        <v>45247</v>
      </c>
      <c r="G238" s="446" t="s">
        <v>2483</v>
      </c>
      <c r="H238" s="446" t="s">
        <v>4167</v>
      </c>
      <c r="I238" s="446" t="s">
        <v>4168</v>
      </c>
      <c r="J238" s="446" t="s">
        <v>4169</v>
      </c>
      <c r="K238" s="485" t="s">
        <v>4081</v>
      </c>
      <c r="L238" s="450"/>
      <c r="M238" s="450"/>
      <c r="N238" s="450"/>
      <c r="O238" s="450"/>
      <c r="P238" s="450"/>
      <c r="Q238" s="450"/>
      <c r="R238" s="450"/>
      <c r="S238" s="451"/>
      <c r="T238" s="450"/>
      <c r="U238" s="451"/>
      <c r="V238" s="450"/>
      <c r="W238" s="450"/>
      <c r="X238" s="450"/>
      <c r="Y238" s="450"/>
      <c r="Z238" s="450"/>
    </row>
    <row r="239" spans="1:26" x14ac:dyDescent="0.25">
      <c r="A239" s="446"/>
      <c r="B239" s="446"/>
      <c r="C239" s="446" t="s">
        <v>2156</v>
      </c>
      <c r="D239" s="446" t="s">
        <v>4170</v>
      </c>
      <c r="E239" s="448">
        <v>45247</v>
      </c>
      <c r="F239" s="448">
        <v>45247</v>
      </c>
      <c r="G239" s="446" t="s">
        <v>4171</v>
      </c>
      <c r="H239" s="446" t="s">
        <v>4172</v>
      </c>
      <c r="I239" s="446" t="s">
        <v>238</v>
      </c>
      <c r="J239" s="446"/>
      <c r="K239" s="485" t="s">
        <v>4107</v>
      </c>
      <c r="L239" s="450"/>
      <c r="M239" s="450"/>
      <c r="N239" s="450"/>
      <c r="O239" s="450"/>
      <c r="P239" s="450"/>
      <c r="Q239" s="450"/>
      <c r="R239" s="450"/>
      <c r="S239" s="451"/>
      <c r="T239" s="450"/>
      <c r="U239" s="451"/>
      <c r="V239" s="450"/>
      <c r="W239" s="450"/>
      <c r="X239" s="450"/>
      <c r="Y239" s="450"/>
      <c r="Z239" s="450"/>
    </row>
    <row r="240" spans="1:26" x14ac:dyDescent="0.25">
      <c r="A240" s="446"/>
      <c r="B240" s="446"/>
      <c r="C240" s="446" t="s">
        <v>2156</v>
      </c>
      <c r="D240" s="446" t="s">
        <v>4173</v>
      </c>
      <c r="E240" s="448">
        <v>45250</v>
      </c>
      <c r="F240" s="448">
        <v>45250</v>
      </c>
      <c r="G240" s="446" t="s">
        <v>2483</v>
      </c>
      <c r="H240" s="446" t="s">
        <v>4174</v>
      </c>
      <c r="I240" s="446" t="s">
        <v>4175</v>
      </c>
      <c r="J240" s="446" t="s">
        <v>4176</v>
      </c>
      <c r="K240" s="485" t="s">
        <v>4139</v>
      </c>
      <c r="L240" s="450"/>
      <c r="M240" s="450"/>
      <c r="N240" s="450"/>
      <c r="O240" s="450"/>
      <c r="P240" s="450"/>
      <c r="Q240" s="450"/>
      <c r="R240" s="450"/>
      <c r="S240" s="451"/>
      <c r="T240" s="450"/>
      <c r="U240" s="451"/>
      <c r="V240" s="450"/>
      <c r="W240" s="450"/>
      <c r="X240" s="450"/>
      <c r="Y240" s="450"/>
      <c r="Z240" s="450"/>
    </row>
    <row r="241" spans="1:26" x14ac:dyDescent="0.25">
      <c r="A241" s="446"/>
      <c r="B241" s="446"/>
      <c r="C241" s="446" t="s">
        <v>1456</v>
      </c>
      <c r="D241" s="446" t="s">
        <v>4177</v>
      </c>
      <c r="E241" s="448">
        <v>45401</v>
      </c>
      <c r="F241" s="448">
        <v>45401</v>
      </c>
      <c r="G241" s="446" t="s">
        <v>1549</v>
      </c>
      <c r="H241" s="446" t="s">
        <v>4178</v>
      </c>
      <c r="I241" s="446" t="s">
        <v>238</v>
      </c>
      <c r="J241" s="446" t="s">
        <v>4112</v>
      </c>
      <c r="K241" s="485" t="s">
        <v>4107</v>
      </c>
      <c r="L241" s="450"/>
      <c r="M241" s="450"/>
      <c r="N241" s="450"/>
      <c r="O241" s="450"/>
      <c r="P241" s="450"/>
      <c r="Q241" s="450"/>
      <c r="R241" s="450"/>
      <c r="S241" s="451"/>
      <c r="T241" s="450"/>
      <c r="U241" s="451"/>
      <c r="V241" s="450"/>
      <c r="W241" s="450"/>
      <c r="X241" s="450"/>
      <c r="Y241" s="450"/>
      <c r="Z241" s="450"/>
    </row>
    <row r="242" spans="1:26" x14ac:dyDescent="0.25">
      <c r="A242" s="446"/>
      <c r="B242" s="446"/>
      <c r="C242" s="446" t="s">
        <v>1456</v>
      </c>
      <c r="D242" s="446" t="s">
        <v>4179</v>
      </c>
      <c r="E242" s="448">
        <v>45432</v>
      </c>
      <c r="F242" s="448">
        <v>45432</v>
      </c>
      <c r="G242" s="446" t="s">
        <v>1549</v>
      </c>
      <c r="H242" s="446" t="s">
        <v>4180</v>
      </c>
      <c r="I242" s="446" t="s">
        <v>231</v>
      </c>
      <c r="J242" s="446" t="s">
        <v>4112</v>
      </c>
      <c r="K242" s="485" t="s">
        <v>4107</v>
      </c>
      <c r="L242" s="450"/>
      <c r="M242" s="450"/>
      <c r="N242" s="450"/>
      <c r="O242" s="450"/>
      <c r="P242" s="450"/>
      <c r="Q242" s="450"/>
      <c r="R242" s="450"/>
      <c r="S242" s="451"/>
      <c r="T242" s="450"/>
      <c r="U242" s="451"/>
      <c r="V242" s="450"/>
      <c r="W242" s="450"/>
      <c r="X242" s="450"/>
      <c r="Y242" s="450"/>
      <c r="Z242" s="450"/>
    </row>
    <row r="243" spans="1:26" x14ac:dyDescent="0.25">
      <c r="A243" s="446"/>
      <c r="B243" s="446">
        <v>59</v>
      </c>
      <c r="C243" s="446" t="s">
        <v>1456</v>
      </c>
      <c r="D243" s="446" t="s">
        <v>2527</v>
      </c>
      <c r="E243" s="448">
        <v>45509</v>
      </c>
      <c r="F243" s="448">
        <v>45509</v>
      </c>
      <c r="G243" s="446" t="s">
        <v>2514</v>
      </c>
      <c r="H243" s="446" t="s">
        <v>3031</v>
      </c>
      <c r="I243" s="446" t="s">
        <v>238</v>
      </c>
      <c r="J243" s="446" t="s">
        <v>4181</v>
      </c>
      <c r="K243" s="485" t="s">
        <v>4081</v>
      </c>
      <c r="L243" s="450"/>
      <c r="M243" s="450"/>
      <c r="N243" s="450"/>
      <c r="O243" s="450"/>
      <c r="P243" s="450"/>
      <c r="Q243" s="450"/>
      <c r="R243" s="450"/>
      <c r="S243" s="451"/>
      <c r="T243" s="450"/>
      <c r="U243" s="451"/>
      <c r="V243" s="450"/>
      <c r="W243" s="450"/>
      <c r="X243" s="450"/>
      <c r="Y243" s="450"/>
      <c r="Z243" s="450"/>
    </row>
    <row r="244" spans="1:26" x14ac:dyDescent="0.25">
      <c r="A244" s="446"/>
      <c r="B244" s="446"/>
      <c r="C244" s="446" t="s">
        <v>1181</v>
      </c>
      <c r="D244" s="446" t="s">
        <v>2544</v>
      </c>
      <c r="E244" s="448">
        <v>45614</v>
      </c>
      <c r="F244" s="448">
        <v>45614</v>
      </c>
      <c r="G244" s="446" t="s">
        <v>2545</v>
      </c>
      <c r="H244" s="446" t="s">
        <v>4182</v>
      </c>
      <c r="I244" s="446" t="s">
        <v>238</v>
      </c>
      <c r="J244" s="446"/>
      <c r="K244" s="485" t="s">
        <v>4107</v>
      </c>
      <c r="L244" s="450"/>
      <c r="M244" s="450"/>
      <c r="N244" s="450"/>
      <c r="O244" s="450"/>
      <c r="P244" s="450"/>
      <c r="Q244" s="450"/>
      <c r="R244" s="450"/>
      <c r="S244" s="451"/>
      <c r="T244" s="450"/>
      <c r="U244" s="451"/>
      <c r="V244" s="450"/>
      <c r="W244" s="450"/>
      <c r="X244" s="450"/>
      <c r="Y244" s="450"/>
      <c r="Z244" s="450"/>
    </row>
    <row r="245" spans="1:26" x14ac:dyDescent="0.25">
      <c r="A245" s="446"/>
      <c r="B245" s="446"/>
      <c r="C245" s="446" t="s">
        <v>4183</v>
      </c>
      <c r="D245" s="446" t="s">
        <v>2548</v>
      </c>
      <c r="E245" s="448">
        <v>45614</v>
      </c>
      <c r="F245" s="448">
        <v>45614</v>
      </c>
      <c r="G245" s="446" t="s">
        <v>4184</v>
      </c>
      <c r="H245" s="446" t="s">
        <v>102</v>
      </c>
      <c r="I245" s="446" t="s">
        <v>238</v>
      </c>
      <c r="J245" s="446"/>
      <c r="K245" s="485" t="s">
        <v>4107</v>
      </c>
      <c r="L245" s="450"/>
      <c r="M245" s="450"/>
      <c r="N245" s="450"/>
      <c r="O245" s="450"/>
      <c r="P245" s="450"/>
      <c r="Q245" s="450"/>
      <c r="R245" s="450"/>
      <c r="S245" s="451"/>
      <c r="T245" s="450"/>
      <c r="U245" s="451"/>
      <c r="V245" s="450"/>
      <c r="W245" s="450"/>
      <c r="X245" s="450"/>
      <c r="Y245" s="450"/>
      <c r="Z245" s="450"/>
    </row>
    <row r="246" spans="1:26" x14ac:dyDescent="0.25">
      <c r="A246" s="446"/>
      <c r="B246" s="446"/>
      <c r="C246" s="446" t="s">
        <v>619</v>
      </c>
      <c r="D246" s="446" t="s">
        <v>2551</v>
      </c>
      <c r="E246" s="448">
        <v>45621</v>
      </c>
      <c r="F246" s="448">
        <v>45621</v>
      </c>
      <c r="G246" s="446" t="s">
        <v>204</v>
      </c>
      <c r="H246" s="446" t="s">
        <v>4185</v>
      </c>
      <c r="I246" s="446" t="s">
        <v>4186</v>
      </c>
      <c r="J246" s="446" t="s">
        <v>4148</v>
      </c>
      <c r="K246" s="485" t="s">
        <v>4107</v>
      </c>
      <c r="L246" s="450"/>
      <c r="M246" s="450"/>
      <c r="N246" s="450"/>
      <c r="O246" s="450"/>
      <c r="P246" s="450"/>
      <c r="Q246" s="450"/>
      <c r="R246" s="450"/>
      <c r="S246" s="451"/>
      <c r="T246" s="450"/>
      <c r="U246" s="451"/>
      <c r="V246" s="450"/>
      <c r="W246" s="450"/>
      <c r="X246" s="450"/>
      <c r="Y246" s="450"/>
      <c r="Z246" s="450"/>
    </row>
    <row r="247" spans="1:26" x14ac:dyDescent="0.25">
      <c r="A247" s="446"/>
      <c r="B247" s="446"/>
      <c r="C247" s="446" t="s">
        <v>1456</v>
      </c>
      <c r="D247" s="446" t="s">
        <v>2540</v>
      </c>
      <c r="E247" s="448">
        <v>45642</v>
      </c>
      <c r="F247" s="448">
        <v>45642</v>
      </c>
      <c r="G247" s="446" t="s">
        <v>4187</v>
      </c>
      <c r="H247" s="446" t="s">
        <v>2542</v>
      </c>
      <c r="I247" s="446" t="s">
        <v>3166</v>
      </c>
      <c r="J247" s="446" t="s">
        <v>4112</v>
      </c>
      <c r="K247" s="485" t="s">
        <v>4107</v>
      </c>
      <c r="L247" s="450"/>
      <c r="M247" s="450"/>
      <c r="N247" s="450"/>
      <c r="O247" s="450"/>
      <c r="P247" s="450"/>
      <c r="Q247" s="450"/>
      <c r="R247" s="450"/>
      <c r="S247" s="451"/>
      <c r="T247" s="450"/>
      <c r="U247" s="451"/>
      <c r="V247" s="450"/>
      <c r="W247" s="450"/>
      <c r="X247" s="450"/>
      <c r="Y247" s="450"/>
      <c r="Z247" s="450"/>
    </row>
    <row r="248" spans="1:26" x14ac:dyDescent="0.25">
      <c r="A248" s="446"/>
      <c r="B248" s="446"/>
      <c r="C248" s="446" t="s">
        <v>1902</v>
      </c>
      <c r="D248" s="446" t="s">
        <v>2555</v>
      </c>
      <c r="E248" s="448">
        <v>45672</v>
      </c>
      <c r="F248" s="448">
        <v>45672</v>
      </c>
      <c r="G248" s="446" t="s">
        <v>4163</v>
      </c>
      <c r="H248" s="446" t="s">
        <v>2448</v>
      </c>
      <c r="I248" s="446" t="s">
        <v>238</v>
      </c>
      <c r="J248" s="446"/>
      <c r="K248" s="485" t="s">
        <v>4107</v>
      </c>
      <c r="L248" s="450"/>
      <c r="M248" s="450"/>
      <c r="N248" s="450"/>
      <c r="O248" s="450"/>
      <c r="P248" s="450"/>
      <c r="Q248" s="450"/>
      <c r="R248" s="450"/>
      <c r="S248" s="451"/>
      <c r="T248" s="450"/>
      <c r="U248" s="451"/>
      <c r="V248" s="450"/>
      <c r="W248" s="450"/>
      <c r="X248" s="450"/>
      <c r="Y248" s="450"/>
      <c r="Z248" s="450"/>
    </row>
    <row r="249" spans="1:26" x14ac:dyDescent="0.25">
      <c r="A249" s="446"/>
      <c r="B249" s="446"/>
      <c r="C249" s="446" t="s">
        <v>619</v>
      </c>
      <c r="D249" s="446" t="s">
        <v>2575</v>
      </c>
      <c r="E249" s="448">
        <v>45771</v>
      </c>
      <c r="F249" s="448">
        <v>45771</v>
      </c>
      <c r="G249" s="446" t="s">
        <v>2570</v>
      </c>
      <c r="H249" s="446" t="s">
        <v>2748</v>
      </c>
      <c r="I249" s="446" t="s">
        <v>4188</v>
      </c>
      <c r="J249" s="446" t="s">
        <v>4189</v>
      </c>
      <c r="K249" s="485" t="s">
        <v>4139</v>
      </c>
      <c r="L249" s="450"/>
      <c r="M249" s="450"/>
      <c r="N249" s="450"/>
      <c r="O249" s="450"/>
      <c r="P249" s="450"/>
      <c r="Q249" s="450"/>
      <c r="R249" s="450"/>
      <c r="S249" s="451"/>
      <c r="T249" s="450"/>
      <c r="U249" s="451"/>
      <c r="V249" s="450"/>
      <c r="W249" s="450"/>
      <c r="X249" s="450"/>
      <c r="Y249" s="450"/>
      <c r="Z249" s="450"/>
    </row>
    <row r="250" spans="1:26" x14ac:dyDescent="0.25">
      <c r="A250" s="446"/>
      <c r="B250" s="446"/>
      <c r="C250" s="446" t="s">
        <v>619</v>
      </c>
      <c r="D250" s="446" t="s">
        <v>2569</v>
      </c>
      <c r="E250" s="448">
        <v>45771</v>
      </c>
      <c r="F250" s="448">
        <v>45771</v>
      </c>
      <c r="G250" s="446" t="s">
        <v>2570</v>
      </c>
      <c r="H250" s="446" t="s">
        <v>4190</v>
      </c>
      <c r="I250" s="446" t="s">
        <v>4188</v>
      </c>
      <c r="J250" s="446" t="s">
        <v>4191</v>
      </c>
      <c r="K250" s="485" t="s">
        <v>4139</v>
      </c>
      <c r="L250" s="450"/>
      <c r="M250" s="450"/>
      <c r="N250" s="450"/>
      <c r="O250" s="450"/>
      <c r="P250" s="450"/>
      <c r="Q250" s="450"/>
      <c r="R250" s="450"/>
      <c r="S250" s="451"/>
      <c r="T250" s="450"/>
      <c r="U250" s="451"/>
      <c r="V250" s="450"/>
      <c r="W250" s="450"/>
      <c r="X250" s="450"/>
      <c r="Y250" s="450"/>
      <c r="Z250" s="450"/>
    </row>
    <row r="251" spans="1:26" x14ac:dyDescent="0.25">
      <c r="A251" s="446"/>
      <c r="B251" s="446"/>
      <c r="C251" s="446" t="s">
        <v>461</v>
      </c>
      <c r="D251" s="446" t="s">
        <v>2577</v>
      </c>
      <c r="E251" s="448">
        <v>45792</v>
      </c>
      <c r="F251" s="448">
        <v>45792</v>
      </c>
      <c r="G251" s="446" t="s">
        <v>2578</v>
      </c>
      <c r="H251" s="446" t="s">
        <v>4192</v>
      </c>
      <c r="I251" s="446" t="s">
        <v>238</v>
      </c>
      <c r="J251" s="446" t="s">
        <v>4193</v>
      </c>
      <c r="K251" s="485" t="s">
        <v>4107</v>
      </c>
      <c r="L251" s="450"/>
      <c r="M251" s="450"/>
      <c r="N251" s="450"/>
      <c r="O251" s="450"/>
      <c r="P251" s="450"/>
      <c r="Q251" s="450"/>
      <c r="R251" s="450"/>
      <c r="S251" s="451"/>
      <c r="T251" s="450"/>
      <c r="U251" s="451"/>
      <c r="V251" s="450"/>
      <c r="W251" s="450"/>
      <c r="X251" s="450"/>
      <c r="Y251" s="450"/>
      <c r="Z251" s="450"/>
    </row>
    <row r="252" spans="1:26" x14ac:dyDescent="0.25">
      <c r="A252" s="446"/>
      <c r="B252" s="446"/>
      <c r="C252" s="446" t="s">
        <v>4123</v>
      </c>
      <c r="D252" s="446" t="s">
        <v>2588</v>
      </c>
      <c r="E252" s="448">
        <v>45954</v>
      </c>
      <c r="F252" s="448">
        <v>45954</v>
      </c>
      <c r="G252" s="446" t="s">
        <v>4194</v>
      </c>
      <c r="H252" s="446" t="s">
        <v>4195</v>
      </c>
      <c r="I252" s="446" t="s">
        <v>238</v>
      </c>
      <c r="J252" s="446"/>
      <c r="K252" s="485" t="s">
        <v>4107</v>
      </c>
      <c r="L252" s="450"/>
      <c r="M252" s="450"/>
      <c r="N252" s="450"/>
      <c r="O252" s="450"/>
      <c r="P252" s="450"/>
      <c r="Q252" s="450"/>
      <c r="R252" s="450"/>
      <c r="S252" s="451"/>
      <c r="T252" s="450"/>
      <c r="U252" s="451"/>
      <c r="V252" s="450"/>
      <c r="W252" s="450"/>
      <c r="X252" s="450"/>
      <c r="Y252" s="450"/>
      <c r="Z252" s="450"/>
    </row>
    <row r="253" spans="1:26" x14ac:dyDescent="0.25">
      <c r="A253" s="446"/>
      <c r="B253" s="446">
        <v>63</v>
      </c>
      <c r="C253" s="446" t="s">
        <v>2531</v>
      </c>
      <c r="D253" s="446" t="s">
        <v>2591</v>
      </c>
      <c r="E253" s="448">
        <v>45975</v>
      </c>
      <c r="F253" s="448">
        <v>45975</v>
      </c>
      <c r="G253" s="446" t="s">
        <v>2592</v>
      </c>
      <c r="H253" s="446" t="s">
        <v>2593</v>
      </c>
      <c r="I253" s="446" t="s">
        <v>238</v>
      </c>
      <c r="J253" s="446" t="s">
        <v>4196</v>
      </c>
      <c r="K253" s="485" t="s">
        <v>4081</v>
      </c>
      <c r="L253" s="450"/>
      <c r="M253" s="450"/>
      <c r="N253" s="450"/>
      <c r="O253" s="450"/>
      <c r="P253" s="450"/>
      <c r="Q253" s="450"/>
      <c r="R253" s="450"/>
      <c r="S253" s="451"/>
      <c r="T253" s="450"/>
      <c r="U253" s="451"/>
      <c r="V253" s="450"/>
      <c r="W253" s="450"/>
      <c r="X253" s="450"/>
      <c r="Y253" s="450"/>
      <c r="Z253" s="450"/>
    </row>
    <row r="254" spans="1:26" x14ac:dyDescent="0.25">
      <c r="A254" s="446"/>
      <c r="B254" s="446"/>
      <c r="C254" s="446" t="s">
        <v>1902</v>
      </c>
      <c r="D254" s="446" t="s">
        <v>2609</v>
      </c>
      <c r="E254" s="448">
        <v>46052</v>
      </c>
      <c r="F254" s="448">
        <v>46052</v>
      </c>
      <c r="G254" s="446" t="s">
        <v>4194</v>
      </c>
      <c r="H254" s="446" t="s">
        <v>102</v>
      </c>
      <c r="I254" s="446" t="s">
        <v>238</v>
      </c>
      <c r="J254" s="446"/>
      <c r="K254" s="485" t="s">
        <v>4107</v>
      </c>
      <c r="L254" s="450"/>
      <c r="M254" s="450"/>
      <c r="N254" s="450"/>
      <c r="O254" s="450"/>
      <c r="P254" s="450"/>
      <c r="Q254" s="450"/>
      <c r="R254" s="450"/>
      <c r="S254" s="451"/>
      <c r="T254" s="450"/>
      <c r="U254" s="451"/>
      <c r="V254" s="450"/>
      <c r="W254" s="450"/>
      <c r="X254" s="450"/>
      <c r="Y254" s="450"/>
      <c r="Z254" s="450"/>
    </row>
    <row r="255" spans="1:26" x14ac:dyDescent="0.25">
      <c r="A255" s="446"/>
      <c r="B255" s="446"/>
      <c r="C255" s="446" t="s">
        <v>461</v>
      </c>
      <c r="D255" s="446" t="s">
        <v>2644</v>
      </c>
      <c r="E255" s="448">
        <v>46119</v>
      </c>
      <c r="F255" s="448">
        <v>46119</v>
      </c>
      <c r="G255" s="446" t="s">
        <v>4197</v>
      </c>
      <c r="H255" s="446" t="s">
        <v>102</v>
      </c>
      <c r="I255" s="446" t="s">
        <v>238</v>
      </c>
      <c r="J255" s="446" t="s">
        <v>4193</v>
      </c>
      <c r="K255" s="485" t="s">
        <v>4107</v>
      </c>
      <c r="L255" s="450"/>
      <c r="M255" s="450"/>
      <c r="N255" s="450"/>
      <c r="O255" s="450"/>
      <c r="P255" s="450"/>
      <c r="Q255" s="450"/>
      <c r="R255" s="450"/>
      <c r="S255" s="451"/>
      <c r="T255" s="450"/>
      <c r="U255" s="451"/>
      <c r="V255" s="450"/>
      <c r="W255" s="450"/>
      <c r="X255" s="450"/>
      <c r="Y255" s="450"/>
      <c r="Z255" s="450"/>
    </row>
    <row r="256" spans="1:26" x14ac:dyDescent="0.25">
      <c r="A256" s="446"/>
      <c r="B256" s="446"/>
      <c r="C256" s="446" t="s">
        <v>461</v>
      </c>
      <c r="D256" s="446" t="s">
        <v>2639</v>
      </c>
      <c r="E256" s="448">
        <v>46119</v>
      </c>
      <c r="F256" s="448">
        <v>46119</v>
      </c>
      <c r="G256" s="446" t="s">
        <v>4198</v>
      </c>
      <c r="H256" s="446" t="s">
        <v>102</v>
      </c>
      <c r="I256" s="446" t="s">
        <v>238</v>
      </c>
      <c r="J256" s="446" t="s">
        <v>4193</v>
      </c>
      <c r="K256" s="485" t="s">
        <v>4107</v>
      </c>
      <c r="L256" s="450"/>
      <c r="M256" s="450"/>
      <c r="N256" s="450"/>
      <c r="O256" s="450"/>
      <c r="P256" s="450"/>
      <c r="Q256" s="450"/>
      <c r="R256" s="450"/>
      <c r="S256" s="451"/>
      <c r="T256" s="450"/>
      <c r="U256" s="451"/>
      <c r="V256" s="450"/>
      <c r="W256" s="450"/>
      <c r="X256" s="450"/>
      <c r="Y256" s="450"/>
      <c r="Z256" s="450"/>
    </row>
    <row r="257" spans="1:26" x14ac:dyDescent="0.25">
      <c r="A257" s="446"/>
      <c r="B257" s="446"/>
      <c r="C257" s="446" t="s">
        <v>202</v>
      </c>
      <c r="D257" s="446" t="s">
        <v>395</v>
      </c>
      <c r="E257" s="448">
        <v>46122</v>
      </c>
      <c r="F257" s="448">
        <v>46122</v>
      </c>
      <c r="G257" s="446" t="s">
        <v>4199</v>
      </c>
      <c r="H257" s="446" t="s">
        <v>384</v>
      </c>
      <c r="I257" s="446" t="s">
        <v>3218</v>
      </c>
      <c r="J257" s="446"/>
      <c r="K257" s="485" t="s">
        <v>4107</v>
      </c>
      <c r="L257" s="450"/>
      <c r="M257" s="450"/>
      <c r="N257" s="450"/>
      <c r="O257" s="450"/>
      <c r="P257" s="450"/>
      <c r="Q257" s="450"/>
      <c r="R257" s="450"/>
      <c r="S257" s="451"/>
      <c r="T257" s="450"/>
      <c r="U257" s="451"/>
      <c r="V257" s="450"/>
      <c r="W257" s="450"/>
      <c r="X257" s="450"/>
      <c r="Y257" s="450"/>
      <c r="Z257" s="450"/>
    </row>
    <row r="258" spans="1:26" x14ac:dyDescent="0.25">
      <c r="A258" s="446"/>
      <c r="B258" s="446"/>
      <c r="C258" s="446" t="s">
        <v>202</v>
      </c>
      <c r="D258" s="446" t="s">
        <v>382</v>
      </c>
      <c r="E258" s="448">
        <v>46122</v>
      </c>
      <c r="F258" s="448">
        <v>46122</v>
      </c>
      <c r="G258" s="446" t="s">
        <v>4200</v>
      </c>
      <c r="H258" s="446" t="s">
        <v>384</v>
      </c>
      <c r="I258" s="446" t="s">
        <v>3175</v>
      </c>
      <c r="J258" s="446"/>
      <c r="K258" s="485" t="s">
        <v>4107</v>
      </c>
      <c r="L258" s="450"/>
      <c r="M258" s="450"/>
      <c r="N258" s="450"/>
      <c r="O258" s="450"/>
      <c r="P258" s="450"/>
      <c r="Q258" s="450"/>
      <c r="R258" s="450"/>
      <c r="S258" s="451"/>
      <c r="T258" s="450"/>
      <c r="U258" s="451"/>
      <c r="V258" s="450"/>
      <c r="W258" s="450"/>
      <c r="X258" s="450"/>
      <c r="Y258" s="450"/>
      <c r="Z258" s="450"/>
    </row>
    <row r="259" spans="1:26" x14ac:dyDescent="0.25">
      <c r="A259" s="446"/>
      <c r="B259" s="446"/>
      <c r="C259" s="446" t="s">
        <v>202</v>
      </c>
      <c r="D259" s="446" t="s">
        <v>397</v>
      </c>
      <c r="E259" s="448">
        <v>46122</v>
      </c>
      <c r="F259" s="448">
        <v>46122</v>
      </c>
      <c r="G259" s="446" t="s">
        <v>4201</v>
      </c>
      <c r="H259" s="446" t="s">
        <v>384</v>
      </c>
      <c r="I259" s="446" t="s">
        <v>3218</v>
      </c>
      <c r="J259" s="446"/>
      <c r="K259" s="485" t="s">
        <v>4107</v>
      </c>
      <c r="L259" s="450"/>
      <c r="M259" s="450"/>
      <c r="N259" s="450"/>
      <c r="O259" s="450"/>
      <c r="P259" s="450"/>
      <c r="Q259" s="450"/>
      <c r="R259" s="450"/>
      <c r="S259" s="451"/>
      <c r="T259" s="450"/>
      <c r="U259" s="451"/>
      <c r="V259" s="450"/>
      <c r="W259" s="450"/>
      <c r="X259" s="450"/>
      <c r="Y259" s="450"/>
      <c r="Z259" s="450"/>
    </row>
    <row r="260" spans="1:26" x14ac:dyDescent="0.25">
      <c r="A260" s="446"/>
      <c r="B260" s="446"/>
      <c r="C260" s="446" t="s">
        <v>2010</v>
      </c>
      <c r="D260" s="446" t="s">
        <v>2632</v>
      </c>
      <c r="E260" s="448">
        <v>46143</v>
      </c>
      <c r="F260" s="448">
        <v>46143</v>
      </c>
      <c r="G260" s="446" t="s">
        <v>4202</v>
      </c>
      <c r="H260" s="446" t="s">
        <v>4203</v>
      </c>
      <c r="I260" s="446" t="s">
        <v>3166</v>
      </c>
      <c r="J260" s="446" t="s">
        <v>4193</v>
      </c>
      <c r="K260" s="485" t="s">
        <v>4107</v>
      </c>
      <c r="L260" s="450"/>
      <c r="M260" s="450"/>
      <c r="N260" s="450"/>
      <c r="O260" s="450"/>
      <c r="P260" s="450"/>
      <c r="Q260" s="450"/>
      <c r="R260" s="450"/>
      <c r="S260" s="451"/>
      <c r="T260" s="450"/>
      <c r="U260" s="451"/>
      <c r="V260" s="450"/>
      <c r="W260" s="450"/>
      <c r="X260" s="450"/>
      <c r="Y260" s="450"/>
      <c r="Z260" s="450"/>
    </row>
    <row r="261" spans="1:26" x14ac:dyDescent="0.25">
      <c r="A261" s="446"/>
      <c r="B261" s="446"/>
      <c r="C261" s="446" t="s">
        <v>202</v>
      </c>
      <c r="D261" s="446" t="s">
        <v>393</v>
      </c>
      <c r="E261" s="448">
        <v>46143</v>
      </c>
      <c r="F261" s="448">
        <v>46143</v>
      </c>
      <c r="G261" s="446" t="s">
        <v>4204</v>
      </c>
      <c r="H261" s="446" t="s">
        <v>384</v>
      </c>
      <c r="I261" s="446" t="s">
        <v>4205</v>
      </c>
      <c r="J261" s="446"/>
      <c r="K261" s="485" t="s">
        <v>4107</v>
      </c>
      <c r="L261" s="450"/>
      <c r="M261" s="450"/>
      <c r="N261" s="450"/>
      <c r="O261" s="450"/>
      <c r="P261" s="450"/>
      <c r="Q261" s="450"/>
      <c r="R261" s="450"/>
      <c r="S261" s="451"/>
      <c r="T261" s="450"/>
      <c r="U261" s="451"/>
      <c r="V261" s="450"/>
      <c r="W261" s="450"/>
      <c r="X261" s="450"/>
      <c r="Y261" s="450"/>
      <c r="Z261" s="450"/>
    </row>
    <row r="262" spans="1:26" x14ac:dyDescent="0.25">
      <c r="A262" s="446"/>
      <c r="B262" s="446"/>
      <c r="C262" s="446" t="s">
        <v>202</v>
      </c>
      <c r="D262" s="446" t="s">
        <v>387</v>
      </c>
      <c r="E262" s="448">
        <v>46143</v>
      </c>
      <c r="F262" s="448">
        <v>46143</v>
      </c>
      <c r="G262" s="446" t="s">
        <v>388</v>
      </c>
      <c r="H262" s="446" t="s">
        <v>384</v>
      </c>
      <c r="I262" s="446" t="s">
        <v>4206</v>
      </c>
      <c r="J262" s="446" t="s">
        <v>4207</v>
      </c>
      <c r="K262" s="485" t="s">
        <v>4139</v>
      </c>
      <c r="L262" s="450"/>
      <c r="M262" s="450"/>
      <c r="N262" s="450"/>
      <c r="O262" s="450"/>
      <c r="P262" s="450"/>
      <c r="Q262" s="450"/>
      <c r="R262" s="450"/>
      <c r="S262" s="451"/>
      <c r="T262" s="450"/>
      <c r="U262" s="451"/>
      <c r="V262" s="450"/>
      <c r="W262" s="450"/>
      <c r="X262" s="450"/>
      <c r="Y262" s="450"/>
      <c r="Z262" s="450"/>
    </row>
    <row r="263" spans="1:26" x14ac:dyDescent="0.25">
      <c r="A263" s="446"/>
      <c r="B263" s="446"/>
      <c r="C263" s="446" t="s">
        <v>461</v>
      </c>
      <c r="D263" s="446" t="s">
        <v>2647</v>
      </c>
      <c r="E263" s="448">
        <v>46143</v>
      </c>
      <c r="F263" s="448">
        <v>46143</v>
      </c>
      <c r="G263" s="446" t="s">
        <v>4204</v>
      </c>
      <c r="H263" s="446" t="s">
        <v>102</v>
      </c>
      <c r="I263" s="446" t="s">
        <v>3218</v>
      </c>
      <c r="J263" s="446" t="s">
        <v>4193</v>
      </c>
      <c r="K263" s="485" t="s">
        <v>4107</v>
      </c>
      <c r="L263" s="450"/>
      <c r="M263" s="450"/>
      <c r="N263" s="450"/>
      <c r="O263" s="450"/>
      <c r="P263" s="450"/>
      <c r="Q263" s="450"/>
      <c r="R263" s="450"/>
      <c r="S263" s="451"/>
      <c r="T263" s="450"/>
      <c r="U263" s="451"/>
      <c r="V263" s="450"/>
      <c r="W263" s="450"/>
      <c r="X263" s="450"/>
      <c r="Y263" s="450"/>
      <c r="Z263" s="450"/>
    </row>
    <row r="264" spans="1:26" x14ac:dyDescent="0.25">
      <c r="A264" s="446"/>
      <c r="B264" s="446"/>
      <c r="C264" s="446" t="s">
        <v>2531</v>
      </c>
      <c r="D264" s="446" t="s">
        <v>2602</v>
      </c>
      <c r="E264" s="448">
        <v>46146</v>
      </c>
      <c r="F264" s="448">
        <v>46146</v>
      </c>
      <c r="G264" s="446" t="s">
        <v>2603</v>
      </c>
      <c r="H264" s="446" t="s">
        <v>4208</v>
      </c>
      <c r="I264" s="446" t="s">
        <v>4209</v>
      </c>
      <c r="J264" s="446" t="s">
        <v>4112</v>
      </c>
      <c r="K264" s="485" t="s">
        <v>4107</v>
      </c>
      <c r="L264" s="450"/>
      <c r="M264" s="450"/>
      <c r="N264" s="450"/>
      <c r="O264" s="450"/>
      <c r="P264" s="450"/>
      <c r="Q264" s="450"/>
      <c r="R264" s="450"/>
      <c r="S264" s="451"/>
      <c r="T264" s="450"/>
      <c r="U264" s="451"/>
      <c r="V264" s="450"/>
      <c r="W264" s="450"/>
      <c r="X264" s="450"/>
      <c r="Y264" s="450"/>
      <c r="Z264" s="450"/>
    </row>
    <row r="265" spans="1:26" x14ac:dyDescent="0.25">
      <c r="A265" s="446"/>
      <c r="B265" s="446"/>
      <c r="C265" s="446" t="s">
        <v>585</v>
      </c>
      <c r="D265" s="446" t="s">
        <v>2428</v>
      </c>
      <c r="E265" s="448">
        <v>46160</v>
      </c>
      <c r="F265" s="448">
        <v>46160</v>
      </c>
      <c r="G265" s="446" t="s">
        <v>3185</v>
      </c>
      <c r="H265" s="446" t="s">
        <v>102</v>
      </c>
      <c r="I265" s="446" t="s">
        <v>4210</v>
      </c>
      <c r="J265" s="446" t="s">
        <v>4211</v>
      </c>
      <c r="K265" s="485" t="s">
        <v>4139</v>
      </c>
      <c r="L265" s="450"/>
      <c r="M265" s="450"/>
      <c r="N265" s="450"/>
      <c r="O265" s="450"/>
      <c r="P265" s="450"/>
      <c r="Q265" s="450"/>
      <c r="R265" s="450"/>
      <c r="S265" s="451"/>
      <c r="T265" s="450"/>
      <c r="U265" s="451"/>
      <c r="V265" s="450"/>
      <c r="W265" s="450"/>
      <c r="X265" s="450"/>
      <c r="Y265" s="450"/>
      <c r="Z265" s="450"/>
    </row>
    <row r="266" spans="1:26" x14ac:dyDescent="0.25">
      <c r="A266" s="446"/>
      <c r="B266" s="446"/>
      <c r="C266" s="446" t="s">
        <v>2010</v>
      </c>
      <c r="D266" s="446" t="s">
        <v>2661</v>
      </c>
      <c r="E266" s="448">
        <v>46170</v>
      </c>
      <c r="F266" s="448">
        <v>46170</v>
      </c>
      <c r="G266" s="446" t="s">
        <v>204</v>
      </c>
      <c r="H266" s="446" t="s">
        <v>4212</v>
      </c>
      <c r="I266" s="446" t="s">
        <v>3166</v>
      </c>
      <c r="J266" s="446" t="s">
        <v>4213</v>
      </c>
      <c r="K266" s="485" t="s">
        <v>4139</v>
      </c>
      <c r="L266" s="450"/>
      <c r="M266" s="450"/>
      <c r="N266" s="450"/>
      <c r="O266" s="450"/>
      <c r="P266" s="450"/>
      <c r="Q266" s="450"/>
      <c r="R266" s="450"/>
      <c r="S266" s="451"/>
      <c r="T266" s="450"/>
      <c r="U266" s="451"/>
      <c r="V266" s="450"/>
      <c r="W266" s="450"/>
      <c r="X266" s="450"/>
      <c r="Y266" s="450"/>
      <c r="Z266" s="450"/>
    </row>
    <row r="267" spans="1:26" x14ac:dyDescent="0.25">
      <c r="A267" s="446"/>
      <c r="B267" s="446"/>
      <c r="C267" s="446" t="s">
        <v>2010</v>
      </c>
      <c r="D267" s="446" t="s">
        <v>2658</v>
      </c>
      <c r="E267" s="448">
        <v>46170</v>
      </c>
      <c r="F267" s="448">
        <v>46170</v>
      </c>
      <c r="G267" s="446" t="s">
        <v>204</v>
      </c>
      <c r="H267" s="446" t="s">
        <v>4214</v>
      </c>
      <c r="I267" s="446" t="s">
        <v>3166</v>
      </c>
      <c r="J267" s="446" t="s">
        <v>4215</v>
      </c>
      <c r="K267" s="485" t="s">
        <v>4139</v>
      </c>
      <c r="L267" s="450"/>
      <c r="M267" s="450"/>
      <c r="N267" s="450"/>
      <c r="O267" s="450"/>
      <c r="P267" s="450"/>
      <c r="Q267" s="450"/>
      <c r="R267" s="450"/>
      <c r="S267" s="451"/>
      <c r="T267" s="450"/>
      <c r="U267" s="451"/>
      <c r="V267" s="450"/>
      <c r="W267" s="450"/>
      <c r="X267" s="450"/>
      <c r="Y267" s="450"/>
      <c r="Z267" s="450"/>
    </row>
    <row r="268" spans="1:26" x14ac:dyDescent="0.25">
      <c r="A268" s="446"/>
      <c r="B268" s="446"/>
      <c r="C268" s="446" t="s">
        <v>202</v>
      </c>
      <c r="D268" s="446" t="s">
        <v>390</v>
      </c>
      <c r="E268" s="448">
        <v>46170</v>
      </c>
      <c r="F268" s="448">
        <v>46170</v>
      </c>
      <c r="G268" s="446" t="s">
        <v>4216</v>
      </c>
      <c r="H268" s="446" t="s">
        <v>384</v>
      </c>
      <c r="I268" s="446" t="s">
        <v>3175</v>
      </c>
      <c r="J268" s="446"/>
      <c r="K268" s="485" t="s">
        <v>4107</v>
      </c>
      <c r="L268" s="450"/>
      <c r="M268" s="450"/>
      <c r="N268" s="450"/>
      <c r="O268" s="450"/>
      <c r="P268" s="450"/>
      <c r="Q268" s="450"/>
      <c r="R268" s="450"/>
      <c r="S268" s="451"/>
      <c r="T268" s="450"/>
      <c r="U268" s="451"/>
      <c r="V268" s="450"/>
      <c r="W268" s="450"/>
      <c r="X268" s="450"/>
      <c r="Y268" s="450"/>
      <c r="Z268" s="450"/>
    </row>
    <row r="269" spans="1:26" x14ac:dyDescent="0.25">
      <c r="A269" s="446"/>
      <c r="B269" s="446"/>
      <c r="C269" s="446" t="s">
        <v>461</v>
      </c>
      <c r="D269" s="446" t="s">
        <v>2664</v>
      </c>
      <c r="E269" s="448">
        <v>46170</v>
      </c>
      <c r="F269" s="448">
        <v>46170</v>
      </c>
      <c r="G269" s="446" t="s">
        <v>4217</v>
      </c>
      <c r="H269" s="446" t="s">
        <v>102</v>
      </c>
      <c r="I269" s="446" t="s">
        <v>3175</v>
      </c>
      <c r="J269" s="446" t="s">
        <v>4218</v>
      </c>
      <c r="K269" s="485" t="s">
        <v>4139</v>
      </c>
      <c r="L269" s="450"/>
      <c r="M269" s="450"/>
      <c r="N269" s="450"/>
      <c r="O269" s="450"/>
      <c r="P269" s="450"/>
      <c r="Q269" s="450"/>
      <c r="R269" s="450"/>
      <c r="S269" s="451"/>
      <c r="T269" s="450"/>
      <c r="U269" s="451"/>
      <c r="V269" s="450"/>
      <c r="W269" s="450"/>
      <c r="X269" s="450"/>
      <c r="Y269" s="450"/>
      <c r="Z269" s="450"/>
    </row>
    <row r="270" spans="1:26" x14ac:dyDescent="0.25">
      <c r="A270" s="446"/>
      <c r="B270" s="446"/>
      <c r="C270" s="446" t="s">
        <v>585</v>
      </c>
      <c r="D270" s="446" t="s">
        <v>143</v>
      </c>
      <c r="E270" s="448">
        <v>46178</v>
      </c>
      <c r="F270" s="448">
        <v>46178</v>
      </c>
      <c r="G270" s="446" t="s">
        <v>3151</v>
      </c>
      <c r="H270" s="446" t="s">
        <v>102</v>
      </c>
      <c r="I270" s="446" t="s">
        <v>4219</v>
      </c>
      <c r="J270" s="446" t="s">
        <v>4220</v>
      </c>
      <c r="K270" s="485" t="s">
        <v>4139</v>
      </c>
      <c r="L270" s="450"/>
      <c r="M270" s="450"/>
      <c r="N270" s="450"/>
      <c r="O270" s="450"/>
      <c r="P270" s="450"/>
      <c r="Q270" s="450"/>
      <c r="R270" s="450"/>
      <c r="S270" s="451"/>
      <c r="T270" s="450"/>
      <c r="U270" s="451"/>
      <c r="V270" s="450"/>
      <c r="W270" s="450"/>
      <c r="X270" s="450"/>
      <c r="Y270" s="450"/>
      <c r="Z270" s="450"/>
    </row>
    <row r="271" spans="1:26" x14ac:dyDescent="0.25">
      <c r="A271" s="446"/>
      <c r="B271" s="446"/>
      <c r="C271" s="446" t="s">
        <v>1062</v>
      </c>
      <c r="D271" s="446" t="s">
        <v>4221</v>
      </c>
      <c r="E271" s="448"/>
      <c r="F271" s="448">
        <v>42930</v>
      </c>
      <c r="G271" s="446" t="s">
        <v>2393</v>
      </c>
      <c r="H271" s="446" t="s">
        <v>102</v>
      </c>
      <c r="I271" s="446" t="s">
        <v>4222</v>
      </c>
      <c r="J271" s="446"/>
      <c r="K271" s="485" t="s">
        <v>4223</v>
      </c>
      <c r="L271" s="450"/>
      <c r="M271" s="450"/>
      <c r="N271" s="450"/>
      <c r="O271" s="450"/>
      <c r="P271" s="450"/>
      <c r="Q271" s="450"/>
      <c r="R271" s="450"/>
      <c r="S271" s="451"/>
      <c r="T271" s="450"/>
      <c r="U271" s="451"/>
      <c r="V271" s="450"/>
      <c r="W271" s="450"/>
      <c r="X271" s="450"/>
      <c r="Y271" s="450"/>
      <c r="Z271" s="450"/>
    </row>
    <row r="272" spans="1:26" x14ac:dyDescent="0.25">
      <c r="A272" s="446"/>
      <c r="B272" s="446"/>
      <c r="C272" s="446" t="s">
        <v>4224</v>
      </c>
      <c r="D272" s="446" t="s">
        <v>4225</v>
      </c>
      <c r="E272" s="448"/>
      <c r="F272" s="448">
        <v>43353</v>
      </c>
      <c r="G272" s="446" t="s">
        <v>4226</v>
      </c>
      <c r="H272" s="446" t="s">
        <v>2146</v>
      </c>
      <c r="I272" s="446" t="s">
        <v>4227</v>
      </c>
      <c r="J272" s="446"/>
      <c r="K272" s="485" t="s">
        <v>4223</v>
      </c>
      <c r="L272" s="450"/>
      <c r="M272" s="450"/>
      <c r="N272" s="450"/>
      <c r="O272" s="450"/>
      <c r="P272" s="450"/>
      <c r="Q272" s="450"/>
      <c r="R272" s="450"/>
      <c r="S272" s="451"/>
      <c r="T272" s="450"/>
      <c r="U272" s="451"/>
      <c r="V272" s="450"/>
      <c r="W272" s="450"/>
      <c r="X272" s="450"/>
      <c r="Y272" s="450"/>
      <c r="Z272" s="450"/>
    </row>
    <row r="273" spans="1:26" x14ac:dyDescent="0.25">
      <c r="A273" s="446"/>
      <c r="B273" s="446"/>
      <c r="C273" s="446" t="s">
        <v>4224</v>
      </c>
      <c r="D273" s="446" t="s">
        <v>4228</v>
      </c>
      <c r="E273" s="448"/>
      <c r="F273" s="448">
        <v>43679</v>
      </c>
      <c r="G273" s="446" t="s">
        <v>4229</v>
      </c>
      <c r="H273" s="446" t="s">
        <v>4230</v>
      </c>
      <c r="I273" s="446" t="s">
        <v>4231</v>
      </c>
      <c r="J273" s="446"/>
      <c r="K273" s="485" t="s">
        <v>4223</v>
      </c>
      <c r="L273" s="450"/>
      <c r="M273" s="450"/>
      <c r="N273" s="450"/>
      <c r="O273" s="450"/>
      <c r="P273" s="450"/>
      <c r="Q273" s="450"/>
      <c r="R273" s="450"/>
      <c r="S273" s="451"/>
      <c r="T273" s="450"/>
      <c r="U273" s="451"/>
      <c r="V273" s="450"/>
      <c r="W273" s="450"/>
      <c r="X273" s="450"/>
      <c r="Y273" s="450"/>
      <c r="Z273" s="450"/>
    </row>
    <row r="274" spans="1:26" x14ac:dyDescent="0.25">
      <c r="A274" s="446"/>
      <c r="B274" s="446"/>
      <c r="C274" s="446" t="s">
        <v>4232</v>
      </c>
      <c r="D274" s="446" t="s">
        <v>4233</v>
      </c>
      <c r="E274" s="448"/>
      <c r="F274" s="448">
        <v>43754</v>
      </c>
      <c r="G274" s="446" t="s">
        <v>4234</v>
      </c>
      <c r="H274" s="446" t="s">
        <v>4235</v>
      </c>
      <c r="I274" s="446" t="s">
        <v>4236</v>
      </c>
      <c r="J274" s="446"/>
      <c r="K274" s="485" t="s">
        <v>4223</v>
      </c>
      <c r="L274" s="450"/>
      <c r="M274" s="450"/>
      <c r="N274" s="450"/>
      <c r="O274" s="450"/>
      <c r="P274" s="450"/>
      <c r="Q274" s="450"/>
      <c r="R274" s="450"/>
      <c r="S274" s="451"/>
      <c r="T274" s="450"/>
      <c r="U274" s="451"/>
      <c r="V274" s="450"/>
      <c r="W274" s="450"/>
      <c r="X274" s="450"/>
      <c r="Y274" s="450"/>
      <c r="Z274" s="450"/>
    </row>
    <row r="275" spans="1:26" x14ac:dyDescent="0.25">
      <c r="A275" s="446"/>
      <c r="B275" s="446"/>
      <c r="C275" s="446" t="s">
        <v>3404</v>
      </c>
      <c r="D275" s="446" t="s">
        <v>4237</v>
      </c>
      <c r="E275" s="448"/>
      <c r="F275" s="448">
        <v>43759</v>
      </c>
      <c r="G275" s="446" t="s">
        <v>4238</v>
      </c>
      <c r="H275" s="446" t="s">
        <v>4125</v>
      </c>
      <c r="I275" s="446" t="s">
        <v>4239</v>
      </c>
      <c r="J275" s="446"/>
      <c r="K275" s="485" t="s">
        <v>4223</v>
      </c>
      <c r="L275" s="450"/>
      <c r="M275" s="450"/>
      <c r="N275" s="450"/>
      <c r="O275" s="450"/>
      <c r="P275" s="450"/>
      <c r="Q275" s="450"/>
      <c r="R275" s="450"/>
      <c r="S275" s="451"/>
      <c r="T275" s="450"/>
      <c r="U275" s="451"/>
      <c r="V275" s="450"/>
      <c r="W275" s="450"/>
      <c r="X275" s="450"/>
      <c r="Y275" s="450"/>
      <c r="Z275" s="450"/>
    </row>
    <row r="276" spans="1:26" x14ac:dyDescent="0.25">
      <c r="A276" s="446"/>
      <c r="B276" s="446"/>
      <c r="C276" s="446" t="s">
        <v>4224</v>
      </c>
      <c r="D276" s="446" t="s">
        <v>4240</v>
      </c>
      <c r="E276" s="448"/>
      <c r="F276" s="448">
        <v>43759</v>
      </c>
      <c r="G276" s="446" t="s">
        <v>4241</v>
      </c>
      <c r="H276" s="446" t="s">
        <v>4125</v>
      </c>
      <c r="I276" s="446" t="s">
        <v>4242</v>
      </c>
      <c r="J276" s="446"/>
      <c r="K276" s="485" t="s">
        <v>4223</v>
      </c>
      <c r="L276" s="450"/>
      <c r="M276" s="450"/>
      <c r="N276" s="450"/>
      <c r="O276" s="450"/>
      <c r="P276" s="450"/>
      <c r="Q276" s="450"/>
      <c r="R276" s="450"/>
      <c r="S276" s="451"/>
      <c r="T276" s="450"/>
      <c r="U276" s="451"/>
      <c r="V276" s="450"/>
      <c r="W276" s="450"/>
      <c r="X276" s="450"/>
      <c r="Y276" s="450"/>
      <c r="Z276" s="450"/>
    </row>
    <row r="277" spans="1:26" x14ac:dyDescent="0.25">
      <c r="A277" s="446"/>
      <c r="B277" s="446"/>
      <c r="C277" s="446" t="s">
        <v>3253</v>
      </c>
      <c r="D277" s="446" t="s">
        <v>4243</v>
      </c>
      <c r="E277" s="448"/>
      <c r="F277" s="448">
        <v>43802</v>
      </c>
      <c r="G277" s="446" t="s">
        <v>4244</v>
      </c>
      <c r="H277" s="446" t="s">
        <v>4245</v>
      </c>
      <c r="I277" s="446" t="s">
        <v>4246</v>
      </c>
      <c r="J277" s="446"/>
      <c r="K277" s="485" t="s">
        <v>4223</v>
      </c>
      <c r="L277" s="450"/>
      <c r="M277" s="450"/>
      <c r="N277" s="450"/>
      <c r="O277" s="450"/>
      <c r="P277" s="450"/>
      <c r="Q277" s="450"/>
      <c r="R277" s="450"/>
      <c r="S277" s="451"/>
      <c r="T277" s="450"/>
      <c r="U277" s="451"/>
      <c r="V277" s="450"/>
      <c r="W277" s="450"/>
      <c r="X277" s="450"/>
      <c r="Y277" s="450"/>
      <c r="Z277" s="450"/>
    </row>
    <row r="278" spans="1:26" x14ac:dyDescent="0.25">
      <c r="A278" s="446"/>
      <c r="B278" s="446"/>
      <c r="C278" s="446" t="s">
        <v>3404</v>
      </c>
      <c r="D278" s="446" t="s">
        <v>4247</v>
      </c>
      <c r="E278" s="448"/>
      <c r="F278" s="448">
        <v>43802</v>
      </c>
      <c r="G278" s="446" t="s">
        <v>4248</v>
      </c>
      <c r="H278" s="446" t="s">
        <v>4249</v>
      </c>
      <c r="I278" s="446" t="s">
        <v>4246</v>
      </c>
      <c r="J278" s="446"/>
      <c r="K278" s="485" t="s">
        <v>4223</v>
      </c>
      <c r="L278" s="450"/>
      <c r="M278" s="450"/>
      <c r="N278" s="450"/>
      <c r="O278" s="450"/>
      <c r="P278" s="450"/>
      <c r="Q278" s="450"/>
      <c r="R278" s="450"/>
      <c r="S278" s="451"/>
      <c r="T278" s="450"/>
      <c r="U278" s="451"/>
      <c r="V278" s="450"/>
      <c r="W278" s="450"/>
      <c r="X278" s="450"/>
      <c r="Y278" s="450"/>
      <c r="Z278" s="450"/>
    </row>
    <row r="279" spans="1:26" x14ac:dyDescent="0.25">
      <c r="A279" s="446"/>
      <c r="B279" s="446"/>
      <c r="C279" s="446" t="s">
        <v>3263</v>
      </c>
      <c r="D279" s="446" t="s">
        <v>4250</v>
      </c>
      <c r="E279" s="448"/>
      <c r="F279" s="448">
        <v>43802</v>
      </c>
      <c r="G279" s="446" t="s">
        <v>4251</v>
      </c>
      <c r="H279" s="446" t="s">
        <v>4248</v>
      </c>
      <c r="I279" s="446" t="s">
        <v>4227</v>
      </c>
      <c r="J279" s="446"/>
      <c r="K279" s="485" t="s">
        <v>4223</v>
      </c>
      <c r="L279" s="450"/>
      <c r="M279" s="450"/>
      <c r="N279" s="450"/>
      <c r="O279" s="450"/>
      <c r="P279" s="450"/>
      <c r="Q279" s="450"/>
      <c r="R279" s="450"/>
      <c r="S279" s="451"/>
      <c r="T279" s="450"/>
      <c r="U279" s="451"/>
      <c r="V279" s="450"/>
      <c r="W279" s="450"/>
      <c r="X279" s="450"/>
      <c r="Y279" s="450"/>
      <c r="Z279" s="450"/>
    </row>
    <row r="280" spans="1:26" x14ac:dyDescent="0.25">
      <c r="A280" s="446"/>
      <c r="B280" s="446"/>
      <c r="C280" s="446" t="s">
        <v>3263</v>
      </c>
      <c r="D280" s="446" t="s">
        <v>4252</v>
      </c>
      <c r="E280" s="448"/>
      <c r="F280" s="448">
        <v>44060</v>
      </c>
      <c r="G280" s="446" t="s">
        <v>4125</v>
      </c>
      <c r="H280" s="446" t="s">
        <v>4253</v>
      </c>
      <c r="I280" s="446" t="s">
        <v>4254</v>
      </c>
      <c r="J280" s="446"/>
      <c r="K280" s="485" t="s">
        <v>4223</v>
      </c>
      <c r="L280" s="450"/>
      <c r="M280" s="450"/>
      <c r="N280" s="450"/>
      <c r="O280" s="450"/>
      <c r="P280" s="450"/>
      <c r="Q280" s="450"/>
      <c r="R280" s="450"/>
      <c r="S280" s="451"/>
      <c r="T280" s="450"/>
      <c r="U280" s="451"/>
      <c r="V280" s="450"/>
      <c r="W280" s="450"/>
      <c r="X280" s="450"/>
      <c r="Y280" s="450"/>
      <c r="Z280" s="450"/>
    </row>
    <row r="281" spans="1:26" x14ac:dyDescent="0.25">
      <c r="A281" s="446"/>
      <c r="B281" s="446"/>
      <c r="C281" s="446" t="s">
        <v>3253</v>
      </c>
      <c r="D281" s="446" t="s">
        <v>4255</v>
      </c>
      <c r="E281" s="448"/>
      <c r="F281" s="448">
        <v>44060</v>
      </c>
      <c r="G281" s="446" t="s">
        <v>2443</v>
      </c>
      <c r="H281" s="446" t="s">
        <v>4256</v>
      </c>
      <c r="I281" s="446" t="s">
        <v>4257</v>
      </c>
      <c r="J281" s="446"/>
      <c r="K281" s="485" t="s">
        <v>4223</v>
      </c>
      <c r="L281" s="450"/>
      <c r="M281" s="450"/>
      <c r="N281" s="450"/>
      <c r="O281" s="450"/>
      <c r="P281" s="450"/>
      <c r="Q281" s="450"/>
      <c r="R281" s="450"/>
      <c r="S281" s="451"/>
      <c r="T281" s="450"/>
      <c r="U281" s="451"/>
      <c r="V281" s="450"/>
      <c r="W281" s="450"/>
      <c r="X281" s="450"/>
      <c r="Y281" s="450"/>
      <c r="Z281" s="450"/>
    </row>
    <row r="282" spans="1:26" x14ac:dyDescent="0.25">
      <c r="A282" s="446"/>
      <c r="B282" s="446"/>
      <c r="C282" s="446" t="s">
        <v>3404</v>
      </c>
      <c r="D282" s="446" t="s">
        <v>4258</v>
      </c>
      <c r="E282" s="448"/>
      <c r="F282" s="448">
        <v>44060</v>
      </c>
      <c r="G282" s="446" t="s">
        <v>2443</v>
      </c>
      <c r="H282" s="446" t="s">
        <v>4256</v>
      </c>
      <c r="I282" s="446" t="s">
        <v>4257</v>
      </c>
      <c r="J282" s="446"/>
      <c r="K282" s="485" t="s">
        <v>4223</v>
      </c>
      <c r="L282" s="450"/>
      <c r="M282" s="450"/>
      <c r="N282" s="450"/>
      <c r="O282" s="450"/>
      <c r="P282" s="450"/>
      <c r="Q282" s="450"/>
      <c r="R282" s="450"/>
      <c r="S282" s="451"/>
      <c r="T282" s="450"/>
      <c r="U282" s="451"/>
      <c r="V282" s="450"/>
      <c r="W282" s="450"/>
      <c r="X282" s="450"/>
      <c r="Y282" s="450"/>
      <c r="Z282" s="450"/>
    </row>
    <row r="283" spans="1:26" x14ac:dyDescent="0.25">
      <c r="A283" s="446"/>
      <c r="B283" s="446"/>
      <c r="C283" s="446" t="s">
        <v>4259</v>
      </c>
      <c r="D283" s="446" t="s">
        <v>4260</v>
      </c>
      <c r="E283" s="448"/>
      <c r="F283" s="448">
        <v>44126</v>
      </c>
      <c r="G283" s="446" t="s">
        <v>4174</v>
      </c>
      <c r="H283" s="446" t="s">
        <v>2371</v>
      </c>
      <c r="I283" s="446" t="s">
        <v>4246</v>
      </c>
      <c r="J283" s="446"/>
      <c r="K283" s="485" t="s">
        <v>4223</v>
      </c>
      <c r="L283" s="450"/>
      <c r="M283" s="450"/>
      <c r="N283" s="450"/>
      <c r="O283" s="450"/>
      <c r="P283" s="450"/>
      <c r="Q283" s="450"/>
      <c r="R283" s="450"/>
      <c r="S283" s="451"/>
      <c r="T283" s="450"/>
      <c r="U283" s="451"/>
      <c r="V283" s="450"/>
      <c r="W283" s="450"/>
      <c r="X283" s="450"/>
      <c r="Y283" s="450"/>
      <c r="Z283" s="450"/>
    </row>
    <row r="284" spans="1:26" x14ac:dyDescent="0.25">
      <c r="A284" s="446"/>
      <c r="B284" s="446"/>
      <c r="C284" s="446" t="s">
        <v>3263</v>
      </c>
      <c r="D284" s="446" t="s">
        <v>4261</v>
      </c>
      <c r="E284" s="448"/>
      <c r="F284" s="448">
        <v>44272</v>
      </c>
      <c r="G284" s="446" t="s">
        <v>4174</v>
      </c>
      <c r="H284" s="446" t="s">
        <v>4262</v>
      </c>
      <c r="I284" s="446" t="s">
        <v>4263</v>
      </c>
      <c r="J284" s="446"/>
      <c r="K284" s="485" t="s">
        <v>4223</v>
      </c>
      <c r="L284" s="450"/>
      <c r="M284" s="450"/>
      <c r="N284" s="450"/>
      <c r="O284" s="450"/>
      <c r="P284" s="450"/>
      <c r="Q284" s="450"/>
      <c r="R284" s="450"/>
      <c r="S284" s="451"/>
      <c r="T284" s="450"/>
      <c r="U284" s="451"/>
      <c r="V284" s="450"/>
      <c r="W284" s="450"/>
      <c r="X284" s="450"/>
      <c r="Y284" s="450"/>
      <c r="Z284" s="450"/>
    </row>
    <row r="285" spans="1:26" x14ac:dyDescent="0.25">
      <c r="A285" s="446"/>
      <c r="B285" s="446"/>
      <c r="C285" s="446" t="s">
        <v>4259</v>
      </c>
      <c r="D285" s="446" t="s">
        <v>4264</v>
      </c>
      <c r="E285" s="448"/>
      <c r="F285" s="448">
        <v>44312</v>
      </c>
      <c r="G285" s="446" t="s">
        <v>4249</v>
      </c>
      <c r="H285" s="446" t="s">
        <v>2283</v>
      </c>
      <c r="I285" s="446" t="s">
        <v>4265</v>
      </c>
      <c r="J285" s="446"/>
      <c r="K285" s="485" t="s">
        <v>4223</v>
      </c>
      <c r="L285" s="450"/>
      <c r="M285" s="450"/>
      <c r="N285" s="450"/>
      <c r="O285" s="450"/>
      <c r="P285" s="450"/>
      <c r="Q285" s="450"/>
      <c r="R285" s="450"/>
      <c r="S285" s="451"/>
      <c r="T285" s="450"/>
      <c r="U285" s="451"/>
      <c r="V285" s="450"/>
      <c r="W285" s="450"/>
      <c r="X285" s="450"/>
      <c r="Y285" s="450"/>
      <c r="Z285" s="450"/>
    </row>
    <row r="286" spans="1:26" x14ac:dyDescent="0.25">
      <c r="A286" s="446"/>
      <c r="B286" s="446"/>
      <c r="C286" s="446" t="s">
        <v>3253</v>
      </c>
      <c r="D286" s="446" t="s">
        <v>4266</v>
      </c>
      <c r="E286" s="448"/>
      <c r="F286" s="448">
        <v>44462</v>
      </c>
      <c r="G286" s="446" t="s">
        <v>2592</v>
      </c>
      <c r="H286" s="446" t="s">
        <v>4267</v>
      </c>
      <c r="I286" s="446" t="s">
        <v>4268</v>
      </c>
      <c r="J286" s="446"/>
      <c r="K286" s="485" t="s">
        <v>4223</v>
      </c>
      <c r="L286" s="450"/>
      <c r="M286" s="450"/>
      <c r="N286" s="450"/>
      <c r="O286" s="450"/>
      <c r="P286" s="450"/>
      <c r="Q286" s="450"/>
      <c r="R286" s="450"/>
      <c r="S286" s="451"/>
      <c r="T286" s="450"/>
      <c r="U286" s="451"/>
      <c r="V286" s="450"/>
      <c r="W286" s="450"/>
      <c r="X286" s="450"/>
      <c r="Y286" s="450"/>
      <c r="Z286" s="450"/>
    </row>
    <row r="287" spans="1:26" x14ac:dyDescent="0.25">
      <c r="A287" s="446"/>
      <c r="B287" s="446"/>
      <c r="C287" s="446" t="s">
        <v>3253</v>
      </c>
      <c r="D287" s="446" t="s">
        <v>4269</v>
      </c>
      <c r="E287" s="448"/>
      <c r="F287" s="448">
        <v>44462</v>
      </c>
      <c r="G287" s="446" t="s">
        <v>2443</v>
      </c>
      <c r="H287" s="446" t="s">
        <v>2592</v>
      </c>
      <c r="I287" s="446" t="s">
        <v>4268</v>
      </c>
      <c r="J287" s="446"/>
      <c r="K287" s="485" t="s">
        <v>4223</v>
      </c>
      <c r="L287" s="450"/>
      <c r="M287" s="450"/>
      <c r="N287" s="450"/>
      <c r="O287" s="450"/>
      <c r="P287" s="450"/>
      <c r="Q287" s="450"/>
      <c r="R287" s="450"/>
      <c r="S287" s="451"/>
      <c r="T287" s="450"/>
      <c r="U287" s="451"/>
      <c r="V287" s="450"/>
      <c r="W287" s="450"/>
      <c r="X287" s="450"/>
      <c r="Y287" s="450"/>
      <c r="Z287" s="450"/>
    </row>
    <row r="288" spans="1:26" x14ac:dyDescent="0.25">
      <c r="A288" s="446"/>
      <c r="B288" s="446"/>
      <c r="C288" s="446" t="s">
        <v>3253</v>
      </c>
      <c r="D288" s="446" t="s">
        <v>4270</v>
      </c>
      <c r="E288" s="448"/>
      <c r="F288" s="448">
        <v>44477</v>
      </c>
      <c r="G288" s="446" t="s">
        <v>4271</v>
      </c>
      <c r="H288" s="446" t="s">
        <v>4272</v>
      </c>
      <c r="I288" s="446" t="s">
        <v>4268</v>
      </c>
      <c r="J288" s="446"/>
      <c r="K288" s="485" t="s">
        <v>4223</v>
      </c>
      <c r="L288" s="450"/>
      <c r="M288" s="450"/>
      <c r="N288" s="450"/>
      <c r="O288" s="450"/>
      <c r="P288" s="450"/>
      <c r="Q288" s="450"/>
      <c r="R288" s="450"/>
      <c r="S288" s="451"/>
      <c r="T288" s="450"/>
      <c r="U288" s="451"/>
      <c r="V288" s="450"/>
      <c r="W288" s="450"/>
      <c r="X288" s="450"/>
      <c r="Y288" s="450"/>
      <c r="Z288" s="450"/>
    </row>
    <row r="289" spans="1:26" x14ac:dyDescent="0.25">
      <c r="A289" s="446"/>
      <c r="B289" s="446"/>
      <c r="C289" s="446" t="s">
        <v>3404</v>
      </c>
      <c r="D289" s="446" t="s">
        <v>4273</v>
      </c>
      <c r="E289" s="448"/>
      <c r="F289" s="448">
        <v>44693</v>
      </c>
      <c r="G289" s="446" t="s">
        <v>4274</v>
      </c>
      <c r="H289" s="446" t="s">
        <v>4275</v>
      </c>
      <c r="I289" s="446" t="s">
        <v>4236</v>
      </c>
      <c r="J289" s="446"/>
      <c r="K289" s="485" t="s">
        <v>4223</v>
      </c>
      <c r="L289" s="450"/>
      <c r="M289" s="450"/>
      <c r="N289" s="450"/>
      <c r="O289" s="450"/>
      <c r="P289" s="450"/>
      <c r="Q289" s="450"/>
      <c r="R289" s="450"/>
      <c r="S289" s="451"/>
      <c r="T289" s="450"/>
      <c r="U289" s="451"/>
      <c r="V289" s="450"/>
      <c r="W289" s="450"/>
      <c r="X289" s="450"/>
      <c r="Y289" s="450"/>
      <c r="Z289" s="450"/>
    </row>
    <row r="290" spans="1:26" x14ac:dyDescent="0.25">
      <c r="A290" s="446"/>
      <c r="B290" s="446"/>
      <c r="C290" s="446" t="s">
        <v>3253</v>
      </c>
      <c r="D290" s="446" t="s">
        <v>4276</v>
      </c>
      <c r="E290" s="448"/>
      <c r="F290" s="448">
        <v>44693</v>
      </c>
      <c r="G290" s="446" t="s">
        <v>4274</v>
      </c>
      <c r="H290" s="446" t="s">
        <v>4275</v>
      </c>
      <c r="I290" s="446" t="s">
        <v>4236</v>
      </c>
      <c r="J290" s="446"/>
      <c r="K290" s="485" t="s">
        <v>4223</v>
      </c>
      <c r="L290" s="450"/>
      <c r="M290" s="450"/>
      <c r="N290" s="450"/>
      <c r="O290" s="450"/>
      <c r="P290" s="450"/>
      <c r="Q290" s="450"/>
      <c r="R290" s="450"/>
      <c r="S290" s="451"/>
      <c r="T290" s="450"/>
      <c r="U290" s="451"/>
      <c r="V290" s="450"/>
      <c r="W290" s="450"/>
      <c r="X290" s="450"/>
      <c r="Y290" s="450"/>
      <c r="Z290" s="450"/>
    </row>
    <row r="291" spans="1:26" x14ac:dyDescent="0.25">
      <c r="A291" s="446"/>
      <c r="B291" s="446"/>
      <c r="C291" s="446" t="s">
        <v>4277</v>
      </c>
      <c r="D291" s="446" t="s">
        <v>4278</v>
      </c>
      <c r="E291" s="448"/>
      <c r="F291" s="448">
        <v>44741</v>
      </c>
      <c r="G291" s="446" t="s">
        <v>4245</v>
      </c>
      <c r="H291" s="446" t="s">
        <v>4279</v>
      </c>
      <c r="I291" s="446" t="s">
        <v>4246</v>
      </c>
      <c r="J291" s="446"/>
      <c r="K291" s="485" t="s">
        <v>4223</v>
      </c>
      <c r="L291" s="450"/>
      <c r="M291" s="450"/>
      <c r="N291" s="450"/>
      <c r="O291" s="450"/>
      <c r="P291" s="450"/>
      <c r="Q291" s="450"/>
      <c r="R291" s="450"/>
      <c r="S291" s="451"/>
      <c r="T291" s="450"/>
      <c r="U291" s="451"/>
      <c r="V291" s="450"/>
      <c r="W291" s="450"/>
      <c r="X291" s="450"/>
      <c r="Y291" s="450"/>
      <c r="Z291" s="450"/>
    </row>
    <row r="292" spans="1:26" x14ac:dyDescent="0.25">
      <c r="A292" s="446"/>
      <c r="B292" s="446"/>
      <c r="C292" s="446" t="s">
        <v>4277</v>
      </c>
      <c r="D292" s="446" t="s">
        <v>4280</v>
      </c>
      <c r="E292" s="448"/>
      <c r="F292" s="448">
        <v>44936</v>
      </c>
      <c r="G292" s="446" t="s">
        <v>4275</v>
      </c>
      <c r="H292" s="446" t="s">
        <v>2371</v>
      </c>
      <c r="I292" s="446" t="s">
        <v>4246</v>
      </c>
      <c r="J292" s="446"/>
      <c r="K292" s="485" t="s">
        <v>4223</v>
      </c>
      <c r="L292" s="450"/>
      <c r="M292" s="450"/>
      <c r="N292" s="450"/>
      <c r="O292" s="450"/>
      <c r="P292" s="450"/>
      <c r="Q292" s="450"/>
      <c r="R292" s="450"/>
      <c r="S292" s="451"/>
      <c r="T292" s="450"/>
      <c r="U292" s="451"/>
      <c r="V292" s="450"/>
      <c r="W292" s="450"/>
      <c r="X292" s="450"/>
      <c r="Y292" s="450"/>
      <c r="Z292" s="450"/>
    </row>
    <row r="293" spans="1:26" x14ac:dyDescent="0.25">
      <c r="A293" s="446"/>
      <c r="B293" s="446"/>
      <c r="C293" s="446" t="s">
        <v>3253</v>
      </c>
      <c r="D293" s="446" t="s">
        <v>4281</v>
      </c>
      <c r="E293" s="448"/>
      <c r="F293" s="448">
        <v>45170</v>
      </c>
      <c r="G293" s="446" t="s">
        <v>2592</v>
      </c>
      <c r="H293" s="446" t="s">
        <v>4267</v>
      </c>
      <c r="I293" s="446" t="s">
        <v>4282</v>
      </c>
      <c r="J293" s="446"/>
      <c r="K293" s="485" t="s">
        <v>4223</v>
      </c>
      <c r="L293" s="450"/>
      <c r="M293" s="450"/>
      <c r="N293" s="450"/>
      <c r="O293" s="450"/>
      <c r="P293" s="450"/>
      <c r="Q293" s="450"/>
      <c r="R293" s="450"/>
      <c r="S293" s="451"/>
      <c r="T293" s="450"/>
      <c r="U293" s="451"/>
      <c r="V293" s="450"/>
      <c r="W293" s="450"/>
      <c r="X293" s="450"/>
      <c r="Y293" s="450"/>
      <c r="Z293" s="450"/>
    </row>
    <row r="294" spans="1:26" x14ac:dyDescent="0.25">
      <c r="A294" s="446"/>
      <c r="B294" s="446"/>
      <c r="C294" s="446" t="s">
        <v>3253</v>
      </c>
      <c r="D294" s="446" t="s">
        <v>4283</v>
      </c>
      <c r="E294" s="448"/>
      <c r="F294" s="448">
        <v>45247</v>
      </c>
      <c r="G294" s="446" t="s">
        <v>4284</v>
      </c>
      <c r="H294" s="446" t="s">
        <v>4285</v>
      </c>
      <c r="I294" s="446" t="s">
        <v>4286</v>
      </c>
      <c r="J294" s="446"/>
      <c r="K294" s="485" t="s">
        <v>4223</v>
      </c>
      <c r="L294" s="450"/>
      <c r="M294" s="450"/>
      <c r="N294" s="450"/>
      <c r="O294" s="450"/>
      <c r="P294" s="450"/>
      <c r="Q294" s="450"/>
      <c r="R294" s="450"/>
      <c r="S294" s="451"/>
      <c r="T294" s="450"/>
      <c r="U294" s="451"/>
      <c r="V294" s="450"/>
      <c r="W294" s="450"/>
      <c r="X294" s="450"/>
      <c r="Y294" s="450"/>
      <c r="Z294" s="450"/>
    </row>
    <row r="295" spans="1:26" x14ac:dyDescent="0.25">
      <c r="A295" s="446"/>
      <c r="B295" s="446"/>
      <c r="C295" s="446" t="s">
        <v>4232</v>
      </c>
      <c r="D295" s="446" t="s">
        <v>4287</v>
      </c>
      <c r="E295" s="448"/>
      <c r="F295" s="448">
        <v>45247</v>
      </c>
      <c r="G295" s="446" t="s">
        <v>4288</v>
      </c>
      <c r="H295" s="446" t="s">
        <v>4289</v>
      </c>
      <c r="I295" s="446" t="s">
        <v>4290</v>
      </c>
      <c r="J295" s="446"/>
      <c r="K295" s="485" t="s">
        <v>4223</v>
      </c>
      <c r="L295" s="450"/>
      <c r="M295" s="450"/>
      <c r="N295" s="450"/>
      <c r="O295" s="450"/>
      <c r="P295" s="450"/>
      <c r="Q295" s="450"/>
      <c r="R295" s="450"/>
      <c r="S295" s="451"/>
      <c r="T295" s="450"/>
      <c r="U295" s="451"/>
      <c r="V295" s="450"/>
      <c r="W295" s="450"/>
      <c r="X295" s="450"/>
      <c r="Y295" s="450"/>
      <c r="Z295" s="450"/>
    </row>
    <row r="296" spans="1:26" x14ac:dyDescent="0.25">
      <c r="A296" s="446"/>
      <c r="B296" s="446"/>
      <c r="C296" s="446" t="s">
        <v>3253</v>
      </c>
      <c r="D296" s="446" t="s">
        <v>4291</v>
      </c>
      <c r="E296" s="448"/>
      <c r="F296" s="448">
        <v>45247</v>
      </c>
      <c r="G296" s="446" t="s">
        <v>4274</v>
      </c>
      <c r="H296" s="446" t="s">
        <v>4292</v>
      </c>
      <c r="I296" s="446" t="s">
        <v>4286</v>
      </c>
      <c r="J296" s="446"/>
      <c r="K296" s="485" t="s">
        <v>4223</v>
      </c>
      <c r="L296" s="450"/>
      <c r="M296" s="450"/>
      <c r="N296" s="450"/>
      <c r="O296" s="450"/>
      <c r="P296" s="450"/>
      <c r="Q296" s="450"/>
      <c r="R296" s="450"/>
      <c r="S296" s="451"/>
      <c r="T296" s="450"/>
      <c r="U296" s="451"/>
      <c r="V296" s="450"/>
      <c r="W296" s="450"/>
      <c r="X296" s="450"/>
      <c r="Y296" s="450"/>
      <c r="Z296" s="450"/>
    </row>
    <row r="297" spans="1:26" x14ac:dyDescent="0.25">
      <c r="A297" s="446"/>
      <c r="B297" s="446"/>
      <c r="C297" s="446" t="s">
        <v>4224</v>
      </c>
      <c r="D297" s="446" t="s">
        <v>4293</v>
      </c>
      <c r="E297" s="448"/>
      <c r="F297" s="448">
        <v>45265</v>
      </c>
      <c r="G297" s="446" t="s">
        <v>4274</v>
      </c>
      <c r="H297" s="446" t="s">
        <v>4174</v>
      </c>
      <c r="I297" s="446" t="s">
        <v>4294</v>
      </c>
      <c r="J297" s="446"/>
      <c r="K297" s="485" t="s">
        <v>4223</v>
      </c>
      <c r="L297" s="450"/>
      <c r="M297" s="450"/>
      <c r="N297" s="450"/>
      <c r="O297" s="450"/>
      <c r="P297" s="450"/>
      <c r="Q297" s="450"/>
      <c r="R297" s="450"/>
      <c r="S297" s="451"/>
      <c r="T297" s="450"/>
      <c r="U297" s="451"/>
      <c r="V297" s="450"/>
      <c r="W297" s="450"/>
      <c r="X297" s="450"/>
      <c r="Y297" s="450"/>
      <c r="Z297" s="450"/>
    </row>
    <row r="298" spans="1:26" x14ac:dyDescent="0.25">
      <c r="A298" s="446"/>
      <c r="B298" s="446"/>
      <c r="C298" s="446" t="s">
        <v>3404</v>
      </c>
      <c r="D298" s="446" t="s">
        <v>4295</v>
      </c>
      <c r="E298" s="448"/>
      <c r="F298" s="448">
        <v>45336</v>
      </c>
      <c r="G298" s="446" t="s">
        <v>2483</v>
      </c>
      <c r="H298" s="446" t="s">
        <v>4296</v>
      </c>
      <c r="I298" s="446" t="s">
        <v>4290</v>
      </c>
      <c r="J298" s="446"/>
      <c r="K298" s="485" t="s">
        <v>4223</v>
      </c>
      <c r="L298" s="450"/>
      <c r="M298" s="450"/>
      <c r="N298" s="450"/>
      <c r="O298" s="450"/>
      <c r="P298" s="450"/>
      <c r="Q298" s="450"/>
      <c r="R298" s="450"/>
      <c r="S298" s="451"/>
      <c r="T298" s="450"/>
      <c r="U298" s="451"/>
      <c r="V298" s="450"/>
      <c r="W298" s="450"/>
      <c r="X298" s="450"/>
      <c r="Y298" s="450"/>
      <c r="Z298" s="450"/>
    </row>
    <row r="299" spans="1:26" x14ac:dyDescent="0.25">
      <c r="A299" s="446"/>
      <c r="B299" s="446"/>
      <c r="C299" s="446" t="s">
        <v>3404</v>
      </c>
      <c r="D299" s="446" t="s">
        <v>4297</v>
      </c>
      <c r="E299" s="448"/>
      <c r="F299" s="448">
        <v>45336</v>
      </c>
      <c r="G299" s="446" t="s">
        <v>4298</v>
      </c>
      <c r="H299" s="446" t="s">
        <v>4174</v>
      </c>
      <c r="I299" s="446" t="s">
        <v>4290</v>
      </c>
      <c r="J299" s="446"/>
      <c r="K299" s="485" t="s">
        <v>4223</v>
      </c>
      <c r="L299" s="450"/>
      <c r="M299" s="450"/>
      <c r="N299" s="450"/>
      <c r="O299" s="450"/>
      <c r="P299" s="450"/>
      <c r="Q299" s="450"/>
      <c r="R299" s="450"/>
      <c r="S299" s="451"/>
      <c r="T299" s="450"/>
      <c r="U299" s="451"/>
      <c r="V299" s="450"/>
      <c r="W299" s="450"/>
      <c r="X299" s="450"/>
      <c r="Y299" s="450"/>
      <c r="Z299" s="450"/>
    </row>
    <row r="300" spans="1:26" x14ac:dyDescent="0.25">
      <c r="A300" s="446"/>
      <c r="B300" s="446"/>
      <c r="C300" s="446" t="s">
        <v>4299</v>
      </c>
      <c r="D300" s="446" t="s">
        <v>4300</v>
      </c>
      <c r="E300" s="448"/>
      <c r="F300" s="448">
        <v>45478</v>
      </c>
      <c r="G300" s="446" t="s">
        <v>2371</v>
      </c>
      <c r="H300" s="446" t="s">
        <v>4174</v>
      </c>
      <c r="I300" s="446" t="s">
        <v>4301</v>
      </c>
      <c r="J300" s="446"/>
      <c r="K300" s="485" t="s">
        <v>4223</v>
      </c>
      <c r="L300" s="450"/>
      <c r="M300" s="450"/>
      <c r="N300" s="450"/>
      <c r="O300" s="450"/>
      <c r="P300" s="450"/>
      <c r="Q300" s="450"/>
      <c r="R300" s="450"/>
      <c r="S300" s="451"/>
      <c r="T300" s="450"/>
      <c r="U300" s="451"/>
      <c r="V300" s="450"/>
      <c r="W300" s="450"/>
      <c r="X300" s="450"/>
      <c r="Y300" s="450"/>
      <c r="Z300" s="450"/>
    </row>
    <row r="301" spans="1:26" x14ac:dyDescent="0.25">
      <c r="A301" s="446"/>
      <c r="B301" s="446"/>
      <c r="C301" s="446" t="s">
        <v>4259</v>
      </c>
      <c r="D301" s="446" t="s">
        <v>4302</v>
      </c>
      <c r="E301" s="448"/>
      <c r="F301" s="448">
        <v>45825</v>
      </c>
      <c r="G301" s="446" t="s">
        <v>4174</v>
      </c>
      <c r="H301" s="446" t="s">
        <v>4303</v>
      </c>
      <c r="I301" s="446" t="s">
        <v>4304</v>
      </c>
      <c r="J301" s="446"/>
      <c r="K301" s="485" t="s">
        <v>4223</v>
      </c>
      <c r="L301" s="450"/>
      <c r="M301" s="450"/>
      <c r="N301" s="450"/>
      <c r="O301" s="450"/>
      <c r="P301" s="450"/>
      <c r="Q301" s="450"/>
      <c r="R301" s="450"/>
      <c r="S301" s="451"/>
      <c r="T301" s="450"/>
      <c r="U301" s="451"/>
      <c r="V301" s="450"/>
      <c r="W301" s="450"/>
      <c r="X301" s="450"/>
      <c r="Y301" s="450"/>
      <c r="Z301" s="450"/>
    </row>
    <row r="302" spans="1:26" x14ac:dyDescent="0.25">
      <c r="A302" s="446"/>
      <c r="B302" s="446"/>
      <c r="C302" s="446" t="s">
        <v>3263</v>
      </c>
      <c r="D302" s="446" t="s">
        <v>4305</v>
      </c>
      <c r="E302" s="448"/>
      <c r="F302" s="448">
        <v>45915</v>
      </c>
      <c r="G302" s="446" t="s">
        <v>4306</v>
      </c>
      <c r="H302" s="446" t="s">
        <v>4307</v>
      </c>
      <c r="I302" s="446" t="s">
        <v>4282</v>
      </c>
      <c r="J302" s="446"/>
      <c r="K302" s="485" t="s">
        <v>4223</v>
      </c>
      <c r="L302" s="450"/>
      <c r="M302" s="450"/>
      <c r="N302" s="450"/>
      <c r="O302" s="450"/>
      <c r="P302" s="450"/>
      <c r="Q302" s="450"/>
      <c r="R302" s="450"/>
      <c r="S302" s="451"/>
      <c r="T302" s="450"/>
      <c r="U302" s="451"/>
      <c r="V302" s="450"/>
      <c r="W302" s="450"/>
      <c r="X302" s="450"/>
      <c r="Y302" s="450"/>
      <c r="Z302" s="450"/>
    </row>
    <row r="303" spans="1:26" x14ac:dyDescent="0.25">
      <c r="A303" s="446"/>
      <c r="B303" s="446"/>
      <c r="C303" s="446" t="s">
        <v>3253</v>
      </c>
      <c r="D303" s="446" t="s">
        <v>4308</v>
      </c>
      <c r="E303" s="448"/>
      <c r="F303" s="448">
        <v>45925</v>
      </c>
      <c r="G303" s="446" t="s">
        <v>4307</v>
      </c>
      <c r="H303" s="446" t="s">
        <v>4309</v>
      </c>
      <c r="I303" s="446" t="s">
        <v>4310</v>
      </c>
      <c r="J303" s="446"/>
      <c r="K303" s="485" t="s">
        <v>4223</v>
      </c>
      <c r="L303" s="450"/>
      <c r="M303" s="450"/>
      <c r="N303" s="450"/>
      <c r="O303" s="450"/>
      <c r="P303" s="450"/>
      <c r="Q303" s="450"/>
      <c r="R303" s="450"/>
      <c r="S303" s="451"/>
      <c r="T303" s="450"/>
      <c r="U303" s="451"/>
      <c r="V303" s="450"/>
      <c r="W303" s="450"/>
      <c r="X303" s="450"/>
      <c r="Y303" s="450"/>
      <c r="Z303" s="450"/>
    </row>
    <row r="304" spans="1:26" x14ac:dyDescent="0.25">
      <c r="A304" s="446"/>
      <c r="B304" s="446"/>
      <c r="C304" s="446" t="s">
        <v>3253</v>
      </c>
      <c r="D304" s="446" t="s">
        <v>4311</v>
      </c>
      <c r="E304" s="448"/>
      <c r="F304" s="448">
        <v>45954</v>
      </c>
      <c r="G304" s="446" t="s">
        <v>4312</v>
      </c>
      <c r="H304" s="446" t="s">
        <v>4313</v>
      </c>
      <c r="I304" s="446" t="s">
        <v>4314</v>
      </c>
      <c r="J304" s="446"/>
      <c r="K304" s="485" t="s">
        <v>4223</v>
      </c>
      <c r="L304" s="450"/>
      <c r="M304" s="450"/>
      <c r="N304" s="450"/>
      <c r="O304" s="450"/>
      <c r="P304" s="450"/>
      <c r="Q304" s="450"/>
      <c r="R304" s="450"/>
      <c r="S304" s="451"/>
      <c r="T304" s="450"/>
      <c r="U304" s="451"/>
      <c r="V304" s="450"/>
      <c r="W304" s="450"/>
      <c r="X304" s="450"/>
      <c r="Y304" s="450"/>
      <c r="Z304" s="450"/>
    </row>
    <row r="305" spans="1:26" x14ac:dyDescent="0.25">
      <c r="A305" s="446"/>
      <c r="B305" s="446"/>
      <c r="C305" s="446" t="s">
        <v>4232</v>
      </c>
      <c r="D305" s="446" t="s">
        <v>4315</v>
      </c>
      <c r="E305" s="448"/>
      <c r="F305" s="448">
        <v>45975</v>
      </c>
      <c r="G305" s="446" t="s">
        <v>4316</v>
      </c>
      <c r="H305" s="446" t="s">
        <v>2592</v>
      </c>
      <c r="I305" s="446" t="s">
        <v>4317</v>
      </c>
      <c r="J305" s="446"/>
      <c r="K305" s="485" t="s">
        <v>4223</v>
      </c>
      <c r="L305" s="450"/>
      <c r="M305" s="450"/>
      <c r="N305" s="450"/>
      <c r="O305" s="450"/>
      <c r="P305" s="450"/>
      <c r="Q305" s="450"/>
      <c r="R305" s="450"/>
      <c r="S305" s="451"/>
      <c r="T305" s="450"/>
      <c r="U305" s="451"/>
      <c r="V305" s="450"/>
      <c r="W305" s="450"/>
      <c r="X305" s="450"/>
      <c r="Y305" s="450"/>
      <c r="Z305" s="450"/>
    </row>
    <row r="306" spans="1:26" x14ac:dyDescent="0.25">
      <c r="A306" s="446"/>
      <c r="B306" s="446"/>
      <c r="C306" s="446" t="s">
        <v>1062</v>
      </c>
      <c r="D306" s="446" t="s">
        <v>4318</v>
      </c>
      <c r="E306" s="448"/>
      <c r="F306" s="448">
        <v>46160</v>
      </c>
      <c r="G306" s="446" t="s">
        <v>4319</v>
      </c>
      <c r="H306" s="446" t="s">
        <v>102</v>
      </c>
      <c r="I306" s="446" t="s">
        <v>2653</v>
      </c>
      <c r="J306" s="446"/>
      <c r="K306" s="485" t="s">
        <v>4223</v>
      </c>
      <c r="L306" s="450"/>
      <c r="M306" s="450"/>
      <c r="N306" s="450"/>
      <c r="O306" s="450"/>
      <c r="P306" s="450"/>
      <c r="Q306" s="450"/>
      <c r="R306" s="450"/>
      <c r="S306" s="451"/>
      <c r="T306" s="450"/>
      <c r="U306" s="451"/>
      <c r="V306" s="450"/>
      <c r="W306" s="450"/>
      <c r="X306" s="450"/>
      <c r="Y306" s="450"/>
      <c r="Z306" s="450"/>
    </row>
    <row r="307" spans="1:26" x14ac:dyDescent="0.25">
      <c r="A307" s="446"/>
      <c r="B307" s="446"/>
      <c r="C307" s="446" t="s">
        <v>99</v>
      </c>
      <c r="D307" s="446" t="s">
        <v>4320</v>
      </c>
      <c r="E307" s="448"/>
      <c r="F307" s="448">
        <v>2063</v>
      </c>
      <c r="G307" s="446" t="s">
        <v>103</v>
      </c>
      <c r="H307" s="446" t="s">
        <v>401</v>
      </c>
      <c r="I307" s="446" t="s">
        <v>238</v>
      </c>
      <c r="J307" s="446"/>
      <c r="K307" s="446"/>
      <c r="L307" s="450"/>
      <c r="M307" s="450"/>
      <c r="N307" s="450"/>
      <c r="O307" s="450"/>
      <c r="P307" s="450"/>
      <c r="Q307" s="450"/>
      <c r="R307" s="450"/>
      <c r="S307" s="451"/>
      <c r="T307" s="450"/>
      <c r="U307" s="451"/>
      <c r="V307" s="450"/>
      <c r="W307" s="450"/>
      <c r="X307" s="450"/>
      <c r="Y307" s="450"/>
      <c r="Z307" s="450"/>
    </row>
    <row r="308" spans="1:26" x14ac:dyDescent="0.25">
      <c r="A308" s="446"/>
      <c r="B308" s="446"/>
      <c r="C308" s="446" t="s">
        <v>99</v>
      </c>
      <c r="D308" s="446" t="s">
        <v>4321</v>
      </c>
      <c r="E308" s="448"/>
      <c r="F308" s="448">
        <v>2601</v>
      </c>
      <c r="G308" s="446" t="s">
        <v>103</v>
      </c>
      <c r="H308" s="446" t="s">
        <v>420</v>
      </c>
      <c r="I308" s="446" t="s">
        <v>238</v>
      </c>
      <c r="J308" s="446"/>
      <c r="K308" s="446"/>
      <c r="L308" s="450"/>
      <c r="M308" s="450"/>
      <c r="N308" s="450"/>
      <c r="O308" s="450"/>
      <c r="P308" s="450"/>
      <c r="Q308" s="450"/>
      <c r="R308" s="450"/>
      <c r="S308" s="451"/>
      <c r="T308" s="450"/>
      <c r="U308" s="451"/>
      <c r="V308" s="450"/>
      <c r="W308" s="450"/>
      <c r="X308" s="450"/>
      <c r="Y308" s="450"/>
      <c r="Z308" s="450"/>
    </row>
    <row r="309" spans="1:26" x14ac:dyDescent="0.25">
      <c r="A309" s="446"/>
      <c r="B309" s="446"/>
      <c r="C309" s="446" t="s">
        <v>415</v>
      </c>
      <c r="D309" s="446" t="s">
        <v>4322</v>
      </c>
      <c r="E309" s="448"/>
      <c r="F309" s="448">
        <v>2752</v>
      </c>
      <c r="G309" s="446" t="s">
        <v>106</v>
      </c>
      <c r="H309" s="446" t="s">
        <v>410</v>
      </c>
      <c r="I309" s="446" t="s">
        <v>238</v>
      </c>
      <c r="J309" s="446"/>
      <c r="K309" s="446"/>
      <c r="L309" s="450"/>
      <c r="M309" s="450"/>
      <c r="N309" s="450"/>
      <c r="O309" s="450"/>
      <c r="P309" s="450"/>
      <c r="Q309" s="450"/>
      <c r="R309" s="450"/>
      <c r="S309" s="451"/>
      <c r="T309" s="450"/>
      <c r="U309" s="451"/>
      <c r="V309" s="450"/>
      <c r="W309" s="450"/>
      <c r="X309" s="450"/>
      <c r="Y309" s="450"/>
      <c r="Z309" s="450"/>
    </row>
    <row r="310" spans="1:26" x14ac:dyDescent="0.25">
      <c r="A310" s="446"/>
      <c r="B310" s="446"/>
      <c r="C310" s="446" t="s">
        <v>99</v>
      </c>
      <c r="D310" s="446" t="s">
        <v>4323</v>
      </c>
      <c r="E310" s="448"/>
      <c r="F310" s="448">
        <v>2754</v>
      </c>
      <c r="G310" s="446" t="s">
        <v>103</v>
      </c>
      <c r="H310" s="446" t="s">
        <v>4324</v>
      </c>
      <c r="I310" s="446" t="s">
        <v>238</v>
      </c>
      <c r="J310" s="446"/>
      <c r="K310" s="446"/>
      <c r="L310" s="450"/>
      <c r="M310" s="450"/>
      <c r="N310" s="450"/>
      <c r="O310" s="450"/>
      <c r="P310" s="450"/>
      <c r="Q310" s="450"/>
      <c r="R310" s="450"/>
      <c r="S310" s="451"/>
      <c r="T310" s="450"/>
      <c r="U310" s="451"/>
      <c r="V310" s="450"/>
      <c r="W310" s="450"/>
      <c r="X310" s="450"/>
      <c r="Y310" s="450"/>
      <c r="Z310" s="450"/>
    </row>
    <row r="311" spans="1:26" x14ac:dyDescent="0.25">
      <c r="A311" s="446"/>
      <c r="B311" s="446"/>
      <c r="C311" s="446" t="s">
        <v>99</v>
      </c>
      <c r="D311" s="446" t="s">
        <v>4325</v>
      </c>
      <c r="E311" s="448"/>
      <c r="F311" s="448">
        <v>2754</v>
      </c>
      <c r="G311" s="446" t="s">
        <v>103</v>
      </c>
      <c r="H311" s="446" t="s">
        <v>431</v>
      </c>
      <c r="I311" s="446" t="s">
        <v>238</v>
      </c>
      <c r="J311" s="446"/>
      <c r="K311" s="446"/>
      <c r="L311" s="450"/>
      <c r="M311" s="450"/>
      <c r="N311" s="450"/>
      <c r="O311" s="450"/>
      <c r="P311" s="450"/>
      <c r="Q311" s="450"/>
      <c r="R311" s="450"/>
      <c r="S311" s="451"/>
      <c r="T311" s="450"/>
      <c r="U311" s="451"/>
      <c r="V311" s="450"/>
      <c r="W311" s="450"/>
      <c r="X311" s="450"/>
      <c r="Y311" s="450"/>
      <c r="Z311" s="450"/>
    </row>
    <row r="312" spans="1:26" x14ac:dyDescent="0.25">
      <c r="A312" s="446"/>
      <c r="B312" s="446"/>
      <c r="C312" s="446" t="s">
        <v>99</v>
      </c>
      <c r="D312" s="446" t="s">
        <v>4326</v>
      </c>
      <c r="E312" s="448"/>
      <c r="F312" s="448">
        <v>3121</v>
      </c>
      <c r="G312" s="446" t="s">
        <v>103</v>
      </c>
      <c r="H312" s="446" t="s">
        <v>4327</v>
      </c>
      <c r="I312" s="446" t="s">
        <v>3166</v>
      </c>
      <c r="J312" s="446"/>
      <c r="K312" s="446"/>
      <c r="L312" s="450"/>
      <c r="M312" s="450"/>
      <c r="N312" s="450"/>
      <c r="O312" s="450"/>
      <c r="P312" s="450"/>
      <c r="Q312" s="450"/>
      <c r="R312" s="450"/>
      <c r="S312" s="451"/>
      <c r="T312" s="450"/>
      <c r="U312" s="451"/>
      <c r="V312" s="450"/>
      <c r="W312" s="450"/>
      <c r="X312" s="450"/>
      <c r="Y312" s="450"/>
      <c r="Z312" s="450"/>
    </row>
    <row r="313" spans="1:26" x14ac:dyDescent="0.25">
      <c r="A313" s="446"/>
      <c r="B313" s="446"/>
      <c r="C313" s="446" t="s">
        <v>415</v>
      </c>
      <c r="D313" s="446" t="s">
        <v>4328</v>
      </c>
      <c r="E313" s="448"/>
      <c r="F313" s="448">
        <v>3652</v>
      </c>
      <c r="G313" s="446" t="s">
        <v>106</v>
      </c>
      <c r="H313" s="446" t="s">
        <v>431</v>
      </c>
      <c r="I313" s="446" t="s">
        <v>238</v>
      </c>
      <c r="J313" s="446"/>
      <c r="K313" s="446"/>
      <c r="L313" s="450"/>
      <c r="M313" s="450"/>
      <c r="N313" s="450"/>
      <c r="O313" s="450"/>
      <c r="P313" s="450"/>
      <c r="Q313" s="450"/>
      <c r="R313" s="450"/>
      <c r="S313" s="451"/>
      <c r="T313" s="450"/>
      <c r="U313" s="451"/>
      <c r="V313" s="450"/>
      <c r="W313" s="450"/>
      <c r="X313" s="450"/>
      <c r="Y313" s="450"/>
      <c r="Z313" s="450"/>
    </row>
    <row r="314" spans="1:26" x14ac:dyDescent="0.25">
      <c r="A314" s="446"/>
      <c r="B314" s="446"/>
      <c r="C314" s="446" t="s">
        <v>415</v>
      </c>
      <c r="D314" s="446" t="s">
        <v>4329</v>
      </c>
      <c r="E314" s="448"/>
      <c r="F314" s="448">
        <v>11021</v>
      </c>
      <c r="G314" s="446" t="s">
        <v>106</v>
      </c>
      <c r="H314" s="446" t="s">
        <v>4327</v>
      </c>
      <c r="I314" s="446" t="s">
        <v>3166</v>
      </c>
      <c r="J314" s="446"/>
      <c r="K314" s="446"/>
      <c r="L314" s="450"/>
      <c r="M314" s="450"/>
      <c r="N314" s="450"/>
      <c r="O314" s="450"/>
      <c r="P314" s="450"/>
      <c r="Q314" s="450"/>
      <c r="R314" s="450"/>
      <c r="S314" s="451"/>
      <c r="T314" s="450"/>
      <c r="U314" s="451"/>
      <c r="V314" s="450"/>
      <c r="W314" s="450"/>
      <c r="X314" s="450"/>
      <c r="Y314" s="450"/>
      <c r="Z314" s="450"/>
    </row>
    <row r="315" spans="1:26" x14ac:dyDescent="0.25">
      <c r="A315" s="446"/>
      <c r="B315" s="446"/>
      <c r="C315" s="446" t="s">
        <v>415</v>
      </c>
      <c r="D315" s="446" t="s">
        <v>4330</v>
      </c>
      <c r="E315" s="448"/>
      <c r="F315" s="448">
        <v>11450</v>
      </c>
      <c r="G315" s="446" t="s">
        <v>106</v>
      </c>
      <c r="H315" s="446" t="s">
        <v>436</v>
      </c>
      <c r="I315" s="446" t="s">
        <v>238</v>
      </c>
      <c r="J315" s="446"/>
      <c r="K315" s="446"/>
      <c r="L315" s="450"/>
      <c r="M315" s="450"/>
      <c r="N315" s="450"/>
      <c r="O315" s="450"/>
      <c r="P315" s="450"/>
      <c r="Q315" s="450"/>
      <c r="R315" s="450"/>
      <c r="S315" s="451"/>
      <c r="T315" s="450"/>
      <c r="U315" s="451"/>
      <c r="V315" s="450"/>
      <c r="W315" s="450"/>
      <c r="X315" s="450"/>
      <c r="Y315" s="450"/>
      <c r="Z315" s="450"/>
    </row>
    <row r="316" spans="1:26" x14ac:dyDescent="0.25">
      <c r="A316" s="446"/>
      <c r="B316" s="446"/>
      <c r="C316" s="446" t="s">
        <v>408</v>
      </c>
      <c r="D316" s="446" t="s">
        <v>4331</v>
      </c>
      <c r="E316" s="448"/>
      <c r="F316" s="448">
        <v>27121</v>
      </c>
      <c r="G316" s="446" t="s">
        <v>4332</v>
      </c>
      <c r="H316" s="446" t="s">
        <v>4333</v>
      </c>
      <c r="I316" s="446" t="s">
        <v>238</v>
      </c>
      <c r="J316" s="446"/>
      <c r="K316" s="446"/>
      <c r="L316" s="450"/>
      <c r="M316" s="450"/>
      <c r="N316" s="450"/>
      <c r="O316" s="450"/>
      <c r="P316" s="450"/>
      <c r="Q316" s="450"/>
      <c r="R316" s="450"/>
      <c r="S316" s="451"/>
      <c r="T316" s="450"/>
      <c r="U316" s="451"/>
      <c r="V316" s="450"/>
      <c r="W316" s="450"/>
      <c r="X316" s="450"/>
      <c r="Y316" s="450"/>
      <c r="Z316" s="450"/>
    </row>
    <row r="317" spans="1:26" x14ac:dyDescent="0.25">
      <c r="A317" s="446"/>
      <c r="B317" s="446"/>
      <c r="C317" s="446" t="s">
        <v>408</v>
      </c>
      <c r="D317" s="446" t="s">
        <v>4334</v>
      </c>
      <c r="E317" s="448"/>
      <c r="F317" s="448">
        <v>27163</v>
      </c>
      <c r="G317" s="446" t="s">
        <v>4335</v>
      </c>
      <c r="H317" s="446" t="s">
        <v>694</v>
      </c>
      <c r="I317" s="446" t="s">
        <v>3166</v>
      </c>
      <c r="J317" s="446"/>
      <c r="K317" s="446"/>
      <c r="L317" s="450"/>
      <c r="M317" s="450"/>
      <c r="N317" s="450"/>
      <c r="O317" s="450"/>
      <c r="P317" s="450"/>
      <c r="Q317" s="450"/>
      <c r="R317" s="450"/>
      <c r="S317" s="451"/>
      <c r="T317" s="450"/>
      <c r="U317" s="451"/>
      <c r="V317" s="450"/>
      <c r="W317" s="450"/>
      <c r="X317" s="450"/>
      <c r="Y317" s="450"/>
      <c r="Z317" s="450"/>
    </row>
    <row r="318" spans="1:26" x14ac:dyDescent="0.25">
      <c r="A318" s="446"/>
      <c r="B318" s="446"/>
      <c r="C318" s="446" t="s">
        <v>408</v>
      </c>
      <c r="D318" s="446" t="s">
        <v>4336</v>
      </c>
      <c r="E318" s="448"/>
      <c r="F318" s="448">
        <v>27171</v>
      </c>
      <c r="G318" s="446" t="s">
        <v>694</v>
      </c>
      <c r="H318" s="446" t="s">
        <v>698</v>
      </c>
      <c r="I318" s="446" t="s">
        <v>3166</v>
      </c>
      <c r="J318" s="446"/>
      <c r="K318" s="446"/>
      <c r="L318" s="450"/>
      <c r="M318" s="450"/>
      <c r="N318" s="450"/>
      <c r="O318" s="450"/>
      <c r="P318" s="450"/>
      <c r="Q318" s="450"/>
      <c r="R318" s="450"/>
      <c r="S318" s="451"/>
      <c r="T318" s="450"/>
      <c r="U318" s="451"/>
      <c r="V318" s="450"/>
      <c r="W318" s="450"/>
      <c r="X318" s="450"/>
      <c r="Y318" s="450"/>
      <c r="Z318" s="450"/>
    </row>
    <row r="319" spans="1:26" x14ac:dyDescent="0.25">
      <c r="A319" s="446"/>
      <c r="B319" s="446"/>
      <c r="C319" s="446" t="s">
        <v>408</v>
      </c>
      <c r="D319" s="446" t="s">
        <v>4337</v>
      </c>
      <c r="E319" s="448"/>
      <c r="F319" s="448">
        <v>27207</v>
      </c>
      <c r="G319" s="446" t="s">
        <v>694</v>
      </c>
      <c r="H319" s="446" t="s">
        <v>4338</v>
      </c>
      <c r="I319" s="446" t="s">
        <v>3166</v>
      </c>
      <c r="J319" s="446"/>
      <c r="K319" s="446"/>
      <c r="L319" s="450"/>
      <c r="M319" s="450"/>
      <c r="N319" s="450"/>
      <c r="O319" s="450"/>
      <c r="P319" s="450"/>
      <c r="Q319" s="450"/>
      <c r="R319" s="450"/>
      <c r="S319" s="451"/>
      <c r="T319" s="450"/>
      <c r="U319" s="451"/>
      <c r="V319" s="450"/>
      <c r="W319" s="450"/>
      <c r="X319" s="450"/>
      <c r="Y319" s="450"/>
      <c r="Z319" s="450"/>
    </row>
    <row r="320" spans="1:26" x14ac:dyDescent="0.25">
      <c r="A320" s="446"/>
      <c r="B320" s="446"/>
      <c r="C320" s="446" t="s">
        <v>408</v>
      </c>
      <c r="D320" s="446" t="s">
        <v>4339</v>
      </c>
      <c r="E320" s="448"/>
      <c r="F320" s="448">
        <v>27481</v>
      </c>
      <c r="G320" s="446" t="s">
        <v>694</v>
      </c>
      <c r="H320" s="446" t="s">
        <v>706</v>
      </c>
      <c r="I320" s="446" t="s">
        <v>3166</v>
      </c>
      <c r="J320" s="446"/>
      <c r="K320" s="446"/>
      <c r="L320" s="450"/>
      <c r="M320" s="450"/>
      <c r="N320" s="450"/>
      <c r="O320" s="450"/>
      <c r="P320" s="450"/>
      <c r="Q320" s="450"/>
      <c r="R320" s="450"/>
      <c r="S320" s="451"/>
      <c r="T320" s="450"/>
      <c r="U320" s="451"/>
      <c r="V320" s="450"/>
      <c r="W320" s="450"/>
      <c r="X320" s="450"/>
      <c r="Y320" s="450"/>
      <c r="Z320" s="450"/>
    </row>
    <row r="321" spans="1:26" x14ac:dyDescent="0.25">
      <c r="A321" s="446"/>
      <c r="B321" s="446"/>
      <c r="C321" s="446" t="s">
        <v>408</v>
      </c>
      <c r="D321" s="446" t="s">
        <v>4340</v>
      </c>
      <c r="E321" s="448"/>
      <c r="F321" s="448">
        <v>28005</v>
      </c>
      <c r="G321" s="446" t="s">
        <v>4333</v>
      </c>
      <c r="H321" s="446" t="s">
        <v>710</v>
      </c>
      <c r="I321" s="446" t="s">
        <v>238</v>
      </c>
      <c r="J321" s="446"/>
      <c r="K321" s="446"/>
      <c r="L321" s="450"/>
      <c r="M321" s="450"/>
      <c r="N321" s="450"/>
      <c r="O321" s="450"/>
      <c r="P321" s="450"/>
      <c r="Q321" s="450"/>
      <c r="R321" s="450"/>
      <c r="S321" s="451"/>
      <c r="T321" s="450"/>
      <c r="U321" s="451"/>
      <c r="V321" s="450"/>
      <c r="W321" s="450"/>
      <c r="X321" s="450"/>
      <c r="Y321" s="450"/>
      <c r="Z321" s="450"/>
    </row>
    <row r="322" spans="1:26" x14ac:dyDescent="0.25">
      <c r="A322" s="446"/>
      <c r="B322" s="446"/>
      <c r="C322" s="446" t="s">
        <v>408</v>
      </c>
      <c r="D322" s="446" t="s">
        <v>4341</v>
      </c>
      <c r="E322" s="448"/>
      <c r="F322" s="448">
        <v>28445</v>
      </c>
      <c r="G322" s="446" t="s">
        <v>710</v>
      </c>
      <c r="H322" s="446" t="s">
        <v>4342</v>
      </c>
      <c r="I322" s="446" t="s">
        <v>238</v>
      </c>
      <c r="J322" s="446"/>
      <c r="K322" s="446"/>
      <c r="L322" s="450"/>
      <c r="M322" s="450"/>
      <c r="N322" s="450"/>
      <c r="O322" s="450"/>
      <c r="P322" s="450"/>
      <c r="Q322" s="450"/>
      <c r="R322" s="450"/>
      <c r="S322" s="451"/>
      <c r="T322" s="450"/>
      <c r="U322" s="451"/>
      <c r="V322" s="450"/>
      <c r="W322" s="450"/>
      <c r="X322" s="450"/>
      <c r="Y322" s="450"/>
      <c r="Z322" s="450"/>
    </row>
    <row r="323" spans="1:26" x14ac:dyDescent="0.25">
      <c r="A323" s="446"/>
      <c r="B323" s="446"/>
      <c r="C323" s="446" t="s">
        <v>408</v>
      </c>
      <c r="D323" s="446" t="s">
        <v>4343</v>
      </c>
      <c r="E323" s="448"/>
      <c r="F323" s="448">
        <v>28583</v>
      </c>
      <c r="G323" s="446" t="s">
        <v>4344</v>
      </c>
      <c r="H323" s="446" t="s">
        <v>355</v>
      </c>
      <c r="I323" s="446" t="s">
        <v>3166</v>
      </c>
      <c r="J323" s="446"/>
      <c r="K323" s="446"/>
      <c r="L323" s="450"/>
      <c r="M323" s="450"/>
      <c r="N323" s="450"/>
      <c r="O323" s="450"/>
      <c r="P323" s="450"/>
      <c r="Q323" s="450"/>
      <c r="R323" s="450"/>
      <c r="S323" s="451"/>
      <c r="T323" s="450"/>
      <c r="U323" s="451"/>
      <c r="V323" s="450"/>
      <c r="W323" s="450"/>
      <c r="X323" s="450"/>
      <c r="Y323" s="450"/>
      <c r="Z323" s="450"/>
    </row>
    <row r="324" spans="1:26" x14ac:dyDescent="0.25">
      <c r="A324" s="446"/>
      <c r="B324" s="446"/>
      <c r="C324" s="446" t="s">
        <v>408</v>
      </c>
      <c r="D324" s="446" t="s">
        <v>4345</v>
      </c>
      <c r="E324" s="448"/>
      <c r="F324" s="448">
        <v>28583</v>
      </c>
      <c r="G324" s="446" t="s">
        <v>4344</v>
      </c>
      <c r="H324" s="446" t="s">
        <v>731</v>
      </c>
      <c r="I324" s="446" t="s">
        <v>3166</v>
      </c>
      <c r="J324" s="446"/>
      <c r="K324" s="446"/>
      <c r="L324" s="450"/>
      <c r="M324" s="450"/>
      <c r="N324" s="450"/>
      <c r="O324" s="450"/>
      <c r="P324" s="450"/>
      <c r="Q324" s="450"/>
      <c r="R324" s="450"/>
      <c r="S324" s="451"/>
      <c r="T324" s="450"/>
      <c r="U324" s="451"/>
      <c r="V324" s="450"/>
      <c r="W324" s="450"/>
      <c r="X324" s="450"/>
      <c r="Y324" s="450"/>
      <c r="Z324" s="450"/>
    </row>
    <row r="325" spans="1:26" x14ac:dyDescent="0.25">
      <c r="A325" s="446"/>
      <c r="B325" s="446"/>
      <c r="C325" s="446" t="s">
        <v>408</v>
      </c>
      <c r="D325" s="446" t="s">
        <v>4346</v>
      </c>
      <c r="E325" s="448"/>
      <c r="F325" s="448">
        <v>28583</v>
      </c>
      <c r="G325" s="446" t="s">
        <v>4344</v>
      </c>
      <c r="H325" s="446" t="s">
        <v>4347</v>
      </c>
      <c r="I325" s="446" t="s">
        <v>3166</v>
      </c>
      <c r="J325" s="446"/>
      <c r="K325" s="446"/>
      <c r="L325" s="450"/>
      <c r="M325" s="450"/>
      <c r="N325" s="450"/>
      <c r="O325" s="450"/>
      <c r="P325" s="450"/>
      <c r="Q325" s="450"/>
      <c r="R325" s="450"/>
      <c r="S325" s="451"/>
      <c r="T325" s="450"/>
      <c r="U325" s="451"/>
      <c r="V325" s="450"/>
      <c r="W325" s="450"/>
      <c r="X325" s="450"/>
      <c r="Y325" s="450"/>
      <c r="Z325" s="450"/>
    </row>
    <row r="326" spans="1:26" x14ac:dyDescent="0.25">
      <c r="A326" s="446"/>
      <c r="B326" s="446"/>
      <c r="C326" s="446" t="s">
        <v>408</v>
      </c>
      <c r="D326" s="446" t="s">
        <v>4348</v>
      </c>
      <c r="E326" s="448"/>
      <c r="F326" s="448">
        <v>28583</v>
      </c>
      <c r="G326" s="446" t="s">
        <v>4344</v>
      </c>
      <c r="H326" s="446" t="s">
        <v>726</v>
      </c>
      <c r="I326" s="446" t="s">
        <v>3166</v>
      </c>
      <c r="J326" s="446"/>
      <c r="K326" s="446"/>
      <c r="L326" s="450"/>
      <c r="M326" s="450"/>
      <c r="N326" s="450"/>
      <c r="O326" s="450"/>
      <c r="P326" s="450"/>
      <c r="Q326" s="450"/>
      <c r="R326" s="450"/>
      <c r="S326" s="451"/>
      <c r="T326" s="450"/>
      <c r="U326" s="451"/>
      <c r="V326" s="450"/>
      <c r="W326" s="450"/>
      <c r="X326" s="450"/>
      <c r="Y326" s="450"/>
      <c r="Z326" s="450"/>
    </row>
    <row r="327" spans="1:26" x14ac:dyDescent="0.25">
      <c r="A327" s="446"/>
      <c r="B327" s="446"/>
      <c r="C327" s="446" t="s">
        <v>408</v>
      </c>
      <c r="D327" s="446" t="s">
        <v>4349</v>
      </c>
      <c r="E327" s="448"/>
      <c r="F327" s="448">
        <v>28583</v>
      </c>
      <c r="G327" s="446" t="s">
        <v>4344</v>
      </c>
      <c r="H327" s="446" t="s">
        <v>214</v>
      </c>
      <c r="I327" s="446" t="s">
        <v>3166</v>
      </c>
      <c r="J327" s="446"/>
      <c r="K327" s="446"/>
      <c r="L327" s="450"/>
      <c r="M327" s="450"/>
      <c r="N327" s="450"/>
      <c r="O327" s="450"/>
      <c r="P327" s="450"/>
      <c r="Q327" s="450"/>
      <c r="R327" s="450"/>
      <c r="S327" s="451"/>
      <c r="T327" s="450"/>
      <c r="U327" s="451"/>
      <c r="V327" s="450"/>
      <c r="W327" s="450"/>
      <c r="X327" s="450"/>
      <c r="Y327" s="450"/>
      <c r="Z327" s="450"/>
    </row>
    <row r="328" spans="1:26" x14ac:dyDescent="0.25">
      <c r="A328" s="446"/>
      <c r="B328" s="446"/>
      <c r="C328" s="446" t="s">
        <v>408</v>
      </c>
      <c r="D328" s="446" t="s">
        <v>4350</v>
      </c>
      <c r="E328" s="448"/>
      <c r="F328" s="448">
        <v>28583</v>
      </c>
      <c r="G328" s="446" t="s">
        <v>4344</v>
      </c>
      <c r="H328" s="446" t="s">
        <v>736</v>
      </c>
      <c r="I328" s="446" t="s">
        <v>3166</v>
      </c>
      <c r="J328" s="446"/>
      <c r="K328" s="446"/>
      <c r="L328" s="450"/>
      <c r="M328" s="450"/>
      <c r="N328" s="450"/>
      <c r="O328" s="450"/>
      <c r="P328" s="450"/>
      <c r="Q328" s="450"/>
      <c r="R328" s="450"/>
      <c r="S328" s="451"/>
      <c r="T328" s="450"/>
      <c r="U328" s="451"/>
      <c r="V328" s="450"/>
      <c r="W328" s="450"/>
      <c r="X328" s="450"/>
      <c r="Y328" s="450"/>
      <c r="Z328" s="450"/>
    </row>
    <row r="329" spans="1:26" x14ac:dyDescent="0.25">
      <c r="A329" s="446"/>
      <c r="B329" s="446"/>
      <c r="C329" s="446" t="s">
        <v>408</v>
      </c>
      <c r="D329" s="446" t="s">
        <v>4351</v>
      </c>
      <c r="E329" s="448"/>
      <c r="F329" s="448">
        <v>28583</v>
      </c>
      <c r="G329" s="446" t="s">
        <v>4344</v>
      </c>
      <c r="H329" s="446" t="s">
        <v>739</v>
      </c>
      <c r="I329" s="446" t="s">
        <v>3166</v>
      </c>
      <c r="J329" s="446"/>
      <c r="K329" s="446"/>
      <c r="L329" s="450"/>
      <c r="M329" s="450"/>
      <c r="N329" s="450"/>
      <c r="O329" s="450"/>
      <c r="P329" s="450"/>
      <c r="Q329" s="450"/>
      <c r="R329" s="450"/>
      <c r="S329" s="451"/>
      <c r="T329" s="450"/>
      <c r="U329" s="451"/>
      <c r="V329" s="450"/>
      <c r="W329" s="450"/>
      <c r="X329" s="450"/>
      <c r="Y329" s="450"/>
      <c r="Z329" s="450"/>
    </row>
    <row r="330" spans="1:26" x14ac:dyDescent="0.25">
      <c r="A330" s="446"/>
      <c r="B330" s="446"/>
      <c r="C330" s="446" t="s">
        <v>408</v>
      </c>
      <c r="D330" s="446" t="s">
        <v>4352</v>
      </c>
      <c r="E330" s="448"/>
      <c r="F330" s="448">
        <v>28583</v>
      </c>
      <c r="G330" s="446" t="s">
        <v>4353</v>
      </c>
      <c r="H330" s="446" t="s">
        <v>4354</v>
      </c>
      <c r="I330" s="446" t="s">
        <v>3166</v>
      </c>
      <c r="J330" s="446"/>
      <c r="K330" s="446"/>
      <c r="L330" s="450"/>
      <c r="M330" s="450"/>
      <c r="N330" s="450"/>
      <c r="O330" s="450"/>
      <c r="P330" s="450"/>
      <c r="Q330" s="450"/>
      <c r="R330" s="450"/>
      <c r="S330" s="451"/>
      <c r="T330" s="450"/>
      <c r="U330" s="451"/>
      <c r="V330" s="450"/>
      <c r="W330" s="450"/>
      <c r="X330" s="450"/>
      <c r="Y330" s="450"/>
      <c r="Z330" s="450"/>
    </row>
    <row r="331" spans="1:26" x14ac:dyDescent="0.25">
      <c r="A331" s="446"/>
      <c r="B331" s="446"/>
      <c r="C331" s="446" t="s">
        <v>619</v>
      </c>
      <c r="D331" s="446" t="s">
        <v>4355</v>
      </c>
      <c r="E331" s="448"/>
      <c r="F331" s="448">
        <v>28584</v>
      </c>
      <c r="G331" s="446" t="s">
        <v>4344</v>
      </c>
      <c r="H331" s="446" t="s">
        <v>353</v>
      </c>
      <c r="I331" s="446" t="s">
        <v>3166</v>
      </c>
      <c r="J331" s="446"/>
      <c r="K331" s="446"/>
      <c r="L331" s="450"/>
      <c r="M331" s="450"/>
      <c r="N331" s="450"/>
      <c r="O331" s="450"/>
      <c r="P331" s="450"/>
      <c r="Q331" s="450"/>
      <c r="R331" s="450"/>
      <c r="S331" s="451"/>
      <c r="T331" s="450"/>
      <c r="U331" s="451"/>
      <c r="V331" s="450"/>
      <c r="W331" s="450"/>
      <c r="X331" s="450"/>
      <c r="Y331" s="450"/>
      <c r="Z331" s="450"/>
    </row>
    <row r="332" spans="1:26" x14ac:dyDescent="0.25">
      <c r="A332" s="446"/>
      <c r="B332" s="446"/>
      <c r="C332" s="446" t="s">
        <v>408</v>
      </c>
      <c r="D332" s="446" t="s">
        <v>4356</v>
      </c>
      <c r="E332" s="448"/>
      <c r="F332" s="448">
        <v>28923</v>
      </c>
      <c r="G332" s="446" t="s">
        <v>4357</v>
      </c>
      <c r="H332" s="446" t="s">
        <v>4358</v>
      </c>
      <c r="I332" s="446" t="s">
        <v>238</v>
      </c>
      <c r="J332" s="446"/>
      <c r="K332" s="446"/>
      <c r="L332" s="450"/>
      <c r="M332" s="450"/>
      <c r="N332" s="450"/>
      <c r="O332" s="450"/>
      <c r="P332" s="450"/>
      <c r="Q332" s="450"/>
      <c r="R332" s="450"/>
      <c r="S332" s="451"/>
      <c r="T332" s="450"/>
      <c r="U332" s="451"/>
      <c r="V332" s="450"/>
      <c r="W332" s="450"/>
      <c r="X332" s="450"/>
      <c r="Y332" s="450"/>
      <c r="Z332" s="450"/>
    </row>
    <row r="333" spans="1:26" x14ac:dyDescent="0.25">
      <c r="A333" s="446"/>
      <c r="B333" s="446"/>
      <c r="C333" s="446" t="s">
        <v>585</v>
      </c>
      <c r="D333" s="446" t="s">
        <v>4359</v>
      </c>
      <c r="E333" s="448"/>
      <c r="F333" s="448">
        <v>28961</v>
      </c>
      <c r="G333" s="446" t="s">
        <v>4360</v>
      </c>
      <c r="H333" s="446" t="s">
        <v>4361</v>
      </c>
      <c r="I333" s="446" t="s">
        <v>3166</v>
      </c>
      <c r="J333" s="446"/>
      <c r="K333" s="446"/>
      <c r="L333" s="450"/>
      <c r="M333" s="450"/>
      <c r="N333" s="450"/>
      <c r="O333" s="450"/>
      <c r="P333" s="450"/>
      <c r="Q333" s="450"/>
      <c r="R333" s="450"/>
      <c r="S333" s="451"/>
      <c r="T333" s="450"/>
      <c r="U333" s="451"/>
      <c r="V333" s="450"/>
      <c r="W333" s="450"/>
      <c r="X333" s="450"/>
      <c r="Y333" s="450"/>
      <c r="Z333" s="450"/>
    </row>
    <row r="334" spans="1:26" x14ac:dyDescent="0.25">
      <c r="A334" s="446"/>
      <c r="B334" s="446"/>
      <c r="C334" s="446" t="s">
        <v>585</v>
      </c>
      <c r="D334" s="446" t="s">
        <v>4362</v>
      </c>
      <c r="E334" s="448"/>
      <c r="F334" s="448">
        <v>29049</v>
      </c>
      <c r="G334" s="446" t="s">
        <v>4363</v>
      </c>
      <c r="H334" s="446" t="s">
        <v>4364</v>
      </c>
      <c r="I334" s="446" t="s">
        <v>238</v>
      </c>
      <c r="J334" s="446"/>
      <c r="K334" s="446"/>
      <c r="L334" s="450"/>
      <c r="M334" s="450"/>
      <c r="N334" s="450"/>
      <c r="O334" s="450"/>
      <c r="P334" s="450"/>
      <c r="Q334" s="450"/>
      <c r="R334" s="450"/>
      <c r="S334" s="451"/>
      <c r="T334" s="450"/>
      <c r="U334" s="451"/>
      <c r="V334" s="450"/>
      <c r="W334" s="450"/>
      <c r="X334" s="450"/>
      <c r="Y334" s="450"/>
      <c r="Z334" s="450"/>
    </row>
    <row r="335" spans="1:26" x14ac:dyDescent="0.25">
      <c r="A335" s="446"/>
      <c r="B335" s="446"/>
      <c r="C335" s="446" t="s">
        <v>408</v>
      </c>
      <c r="D335" s="446" t="s">
        <v>4365</v>
      </c>
      <c r="E335" s="448"/>
      <c r="F335" s="448">
        <v>29049</v>
      </c>
      <c r="G335" s="446" t="s">
        <v>4358</v>
      </c>
      <c r="H335" s="446" t="s">
        <v>4366</v>
      </c>
      <c r="I335" s="446" t="s">
        <v>238</v>
      </c>
      <c r="J335" s="446"/>
      <c r="K335" s="446"/>
      <c r="L335" s="450"/>
      <c r="M335" s="450"/>
      <c r="N335" s="450"/>
      <c r="O335" s="450"/>
      <c r="P335" s="450"/>
      <c r="Q335" s="450"/>
      <c r="R335" s="450"/>
      <c r="S335" s="451"/>
      <c r="T335" s="450"/>
      <c r="U335" s="451"/>
      <c r="V335" s="450"/>
      <c r="W335" s="450"/>
      <c r="X335" s="450"/>
      <c r="Y335" s="450"/>
      <c r="Z335" s="450"/>
    </row>
    <row r="336" spans="1:26" x14ac:dyDescent="0.25">
      <c r="A336" s="446"/>
      <c r="B336" s="446"/>
      <c r="C336" s="446" t="s">
        <v>408</v>
      </c>
      <c r="D336" s="446" t="s">
        <v>4367</v>
      </c>
      <c r="E336" s="448"/>
      <c r="F336" s="448">
        <v>29063</v>
      </c>
      <c r="G336" s="446" t="s">
        <v>4358</v>
      </c>
      <c r="H336" s="446" t="s">
        <v>918</v>
      </c>
      <c r="I336" s="446" t="s">
        <v>238</v>
      </c>
      <c r="J336" s="446"/>
      <c r="K336" s="446"/>
      <c r="L336" s="450"/>
      <c r="M336" s="450"/>
      <c r="N336" s="450"/>
      <c r="O336" s="450"/>
      <c r="P336" s="450"/>
      <c r="Q336" s="450"/>
      <c r="R336" s="450"/>
      <c r="S336" s="451"/>
      <c r="T336" s="450"/>
      <c r="U336" s="451"/>
      <c r="V336" s="450"/>
      <c r="W336" s="450"/>
      <c r="X336" s="450"/>
      <c r="Y336" s="450"/>
      <c r="Z336" s="450"/>
    </row>
    <row r="337" spans="1:26" x14ac:dyDescent="0.25">
      <c r="A337" s="446"/>
      <c r="B337" s="446"/>
      <c r="C337" s="446" t="s">
        <v>619</v>
      </c>
      <c r="D337" s="446" t="s">
        <v>4368</v>
      </c>
      <c r="E337" s="448"/>
      <c r="F337" s="448">
        <v>29094</v>
      </c>
      <c r="G337" s="446" t="s">
        <v>353</v>
      </c>
      <c r="H337" s="446" t="s">
        <v>763</v>
      </c>
      <c r="I337" s="446" t="s">
        <v>3166</v>
      </c>
      <c r="J337" s="446"/>
      <c r="K337" s="446"/>
      <c r="L337" s="450"/>
      <c r="M337" s="450"/>
      <c r="N337" s="450"/>
      <c r="O337" s="450"/>
      <c r="P337" s="450"/>
      <c r="Q337" s="450"/>
      <c r="R337" s="450"/>
      <c r="S337" s="451"/>
      <c r="T337" s="450"/>
      <c r="U337" s="451"/>
      <c r="V337" s="450"/>
      <c r="W337" s="450"/>
      <c r="X337" s="450"/>
      <c r="Y337" s="450"/>
      <c r="Z337" s="450"/>
    </row>
    <row r="338" spans="1:26" x14ac:dyDescent="0.25">
      <c r="A338" s="446"/>
      <c r="B338" s="446"/>
      <c r="C338" s="446" t="s">
        <v>619</v>
      </c>
      <c r="D338" s="446" t="s">
        <v>4369</v>
      </c>
      <c r="E338" s="448">
        <v>29126</v>
      </c>
      <c r="F338" s="448">
        <v>29132</v>
      </c>
      <c r="G338" s="446" t="s">
        <v>774</v>
      </c>
      <c r="H338" s="446" t="s">
        <v>4370</v>
      </c>
      <c r="I338" s="446" t="s">
        <v>3166</v>
      </c>
      <c r="J338" s="446"/>
      <c r="K338" s="446"/>
      <c r="L338" s="450"/>
      <c r="M338" s="450"/>
      <c r="N338" s="450"/>
      <c r="O338" s="450"/>
      <c r="P338" s="450"/>
      <c r="Q338" s="450"/>
      <c r="R338" s="450"/>
      <c r="S338" s="451"/>
      <c r="T338" s="450"/>
      <c r="U338" s="451"/>
      <c r="V338" s="450"/>
      <c r="W338" s="450"/>
      <c r="X338" s="450"/>
      <c r="Y338" s="450"/>
      <c r="Z338" s="450"/>
    </row>
    <row r="339" spans="1:26" x14ac:dyDescent="0.25">
      <c r="A339" s="446"/>
      <c r="B339" s="446"/>
      <c r="C339" s="446" t="s">
        <v>408</v>
      </c>
      <c r="D339" s="446" t="s">
        <v>4371</v>
      </c>
      <c r="E339" s="448"/>
      <c r="F339" s="448">
        <v>29438</v>
      </c>
      <c r="G339" s="446" t="s">
        <v>4372</v>
      </c>
      <c r="H339" s="446" t="s">
        <v>4357</v>
      </c>
      <c r="I339" s="446" t="s">
        <v>238</v>
      </c>
      <c r="J339" s="446"/>
      <c r="K339" s="446"/>
      <c r="L339" s="450"/>
      <c r="M339" s="450"/>
      <c r="N339" s="450"/>
      <c r="O339" s="450"/>
      <c r="P339" s="450"/>
      <c r="Q339" s="450"/>
      <c r="R339" s="450"/>
      <c r="S339" s="451"/>
      <c r="T339" s="450"/>
      <c r="U339" s="451"/>
      <c r="V339" s="450"/>
      <c r="W339" s="450"/>
      <c r="X339" s="450"/>
      <c r="Y339" s="450"/>
      <c r="Z339" s="450"/>
    </row>
    <row r="340" spans="1:26" x14ac:dyDescent="0.25">
      <c r="A340" s="446"/>
      <c r="B340" s="446"/>
      <c r="C340" s="446" t="s">
        <v>408</v>
      </c>
      <c r="D340" s="446" t="s">
        <v>4373</v>
      </c>
      <c r="E340" s="448"/>
      <c r="F340" s="448">
        <v>29438</v>
      </c>
      <c r="G340" s="446" t="s">
        <v>4357</v>
      </c>
      <c r="H340" s="446" t="s">
        <v>710</v>
      </c>
      <c r="I340" s="446" t="s">
        <v>238</v>
      </c>
      <c r="J340" s="446"/>
      <c r="K340" s="446"/>
      <c r="L340" s="450"/>
      <c r="M340" s="450"/>
      <c r="N340" s="450"/>
      <c r="O340" s="450"/>
      <c r="P340" s="450"/>
      <c r="Q340" s="450"/>
      <c r="R340" s="450"/>
      <c r="S340" s="451"/>
      <c r="T340" s="450"/>
      <c r="U340" s="451"/>
      <c r="V340" s="450"/>
      <c r="W340" s="450"/>
      <c r="X340" s="450"/>
      <c r="Y340" s="450"/>
      <c r="Z340" s="450"/>
    </row>
    <row r="341" spans="1:26" x14ac:dyDescent="0.25">
      <c r="A341" s="446"/>
      <c r="B341" s="446"/>
      <c r="C341" s="446" t="s">
        <v>408</v>
      </c>
      <c r="D341" s="446" t="s">
        <v>4374</v>
      </c>
      <c r="E341" s="448"/>
      <c r="F341" s="448">
        <v>29675</v>
      </c>
      <c r="G341" s="446" t="s">
        <v>221</v>
      </c>
      <c r="H341" s="446" t="s">
        <v>4375</v>
      </c>
      <c r="I341" s="446" t="s">
        <v>238</v>
      </c>
      <c r="J341" s="446"/>
      <c r="K341" s="446"/>
      <c r="L341" s="450"/>
      <c r="M341" s="450"/>
      <c r="N341" s="450"/>
      <c r="O341" s="450"/>
      <c r="P341" s="450"/>
      <c r="Q341" s="450"/>
      <c r="R341" s="450"/>
      <c r="S341" s="451"/>
      <c r="T341" s="450"/>
      <c r="U341" s="451"/>
      <c r="V341" s="450"/>
      <c r="W341" s="450"/>
      <c r="X341" s="450"/>
      <c r="Y341" s="450"/>
      <c r="Z341" s="450"/>
    </row>
    <row r="342" spans="1:26" x14ac:dyDescent="0.25">
      <c r="A342" s="446"/>
      <c r="B342" s="446"/>
      <c r="C342" s="446" t="s">
        <v>408</v>
      </c>
      <c r="D342" s="446" t="s">
        <v>4376</v>
      </c>
      <c r="E342" s="448"/>
      <c r="F342" s="448">
        <v>29714</v>
      </c>
      <c r="G342" s="446" t="s">
        <v>4377</v>
      </c>
      <c r="H342" s="446" t="s">
        <v>4378</v>
      </c>
      <c r="I342" s="446" t="s">
        <v>3166</v>
      </c>
      <c r="J342" s="446"/>
      <c r="K342" s="446"/>
      <c r="L342" s="450"/>
      <c r="M342" s="450"/>
      <c r="N342" s="450"/>
      <c r="O342" s="450"/>
      <c r="P342" s="450"/>
      <c r="Q342" s="450"/>
      <c r="R342" s="450"/>
      <c r="S342" s="451"/>
      <c r="T342" s="450"/>
      <c r="U342" s="451"/>
      <c r="V342" s="450"/>
      <c r="W342" s="450"/>
      <c r="X342" s="450"/>
      <c r="Y342" s="450"/>
      <c r="Z342" s="450"/>
    </row>
    <row r="343" spans="1:26" x14ac:dyDescent="0.25">
      <c r="A343" s="446"/>
      <c r="B343" s="446"/>
      <c r="C343" s="446" t="s">
        <v>408</v>
      </c>
      <c r="D343" s="446" t="s">
        <v>4379</v>
      </c>
      <c r="E343" s="448"/>
      <c r="F343" s="448">
        <v>29714</v>
      </c>
      <c r="G343" s="446" t="s">
        <v>4378</v>
      </c>
      <c r="H343" s="446" t="s">
        <v>4380</v>
      </c>
      <c r="I343" s="446" t="s">
        <v>3166</v>
      </c>
      <c r="J343" s="446"/>
      <c r="K343" s="446"/>
      <c r="L343" s="450"/>
      <c r="M343" s="450"/>
      <c r="N343" s="450"/>
      <c r="O343" s="450"/>
      <c r="P343" s="450"/>
      <c r="Q343" s="450"/>
      <c r="R343" s="450"/>
      <c r="S343" s="451"/>
      <c r="T343" s="450"/>
      <c r="U343" s="451"/>
      <c r="V343" s="450"/>
      <c r="W343" s="450"/>
      <c r="X343" s="450"/>
      <c r="Y343" s="450"/>
      <c r="Z343" s="450"/>
    </row>
    <row r="344" spans="1:26" x14ac:dyDescent="0.25">
      <c r="A344" s="446"/>
      <c r="B344" s="446"/>
      <c r="C344" s="446" t="s">
        <v>408</v>
      </c>
      <c r="D344" s="446" t="s">
        <v>4381</v>
      </c>
      <c r="E344" s="448"/>
      <c r="F344" s="448">
        <v>29767</v>
      </c>
      <c r="G344" s="446" t="s">
        <v>4375</v>
      </c>
      <c r="H344" s="446" t="s">
        <v>799</v>
      </c>
      <c r="I344" s="446" t="s">
        <v>238</v>
      </c>
      <c r="J344" s="446"/>
      <c r="K344" s="446"/>
      <c r="L344" s="450"/>
      <c r="M344" s="450"/>
      <c r="N344" s="450"/>
      <c r="O344" s="450"/>
      <c r="P344" s="450"/>
      <c r="Q344" s="450"/>
      <c r="R344" s="450"/>
      <c r="S344" s="451"/>
      <c r="T344" s="450"/>
      <c r="U344" s="451"/>
      <c r="V344" s="450"/>
      <c r="W344" s="450"/>
      <c r="X344" s="450"/>
      <c r="Y344" s="450"/>
      <c r="Z344" s="450"/>
    </row>
    <row r="345" spans="1:26" x14ac:dyDescent="0.25">
      <c r="A345" s="446"/>
      <c r="B345" s="446"/>
      <c r="C345" s="446" t="s">
        <v>408</v>
      </c>
      <c r="D345" s="446" t="s">
        <v>4382</v>
      </c>
      <c r="E345" s="448"/>
      <c r="F345" s="448">
        <v>29812</v>
      </c>
      <c r="G345" s="446" t="s">
        <v>4375</v>
      </c>
      <c r="H345" s="446" t="s">
        <v>804</v>
      </c>
      <c r="I345" s="446" t="s">
        <v>238</v>
      </c>
      <c r="J345" s="446"/>
      <c r="K345" s="446"/>
      <c r="L345" s="450"/>
      <c r="M345" s="450"/>
      <c r="N345" s="450"/>
      <c r="O345" s="450"/>
      <c r="P345" s="450"/>
      <c r="Q345" s="450"/>
      <c r="R345" s="450"/>
      <c r="S345" s="451"/>
      <c r="T345" s="450"/>
      <c r="U345" s="451"/>
      <c r="V345" s="450"/>
      <c r="W345" s="450"/>
      <c r="X345" s="450"/>
      <c r="Y345" s="450"/>
      <c r="Z345" s="450"/>
    </row>
    <row r="346" spans="1:26" x14ac:dyDescent="0.25">
      <c r="A346" s="446"/>
      <c r="B346" s="446"/>
      <c r="C346" s="446" t="s">
        <v>408</v>
      </c>
      <c r="D346" s="446" t="s">
        <v>4383</v>
      </c>
      <c r="E346" s="448"/>
      <c r="F346" s="448">
        <v>30015</v>
      </c>
      <c r="G346" s="446" t="s">
        <v>710</v>
      </c>
      <c r="H346" s="446" t="s">
        <v>4342</v>
      </c>
      <c r="I346" s="446" t="s">
        <v>238</v>
      </c>
      <c r="J346" s="446"/>
      <c r="K346" s="446"/>
      <c r="L346" s="450"/>
      <c r="M346" s="450"/>
      <c r="N346" s="450"/>
      <c r="O346" s="450"/>
      <c r="P346" s="450"/>
      <c r="Q346" s="450"/>
      <c r="R346" s="450"/>
      <c r="S346" s="451"/>
      <c r="T346" s="450"/>
      <c r="U346" s="451"/>
      <c r="V346" s="450"/>
      <c r="W346" s="450"/>
      <c r="X346" s="450"/>
      <c r="Y346" s="450"/>
      <c r="Z346" s="450"/>
    </row>
    <row r="347" spans="1:26" x14ac:dyDescent="0.25">
      <c r="A347" s="446"/>
      <c r="B347" s="446"/>
      <c r="C347" s="446" t="s">
        <v>408</v>
      </c>
      <c r="D347" s="446" t="s">
        <v>4384</v>
      </c>
      <c r="E347" s="448"/>
      <c r="F347" s="448">
        <v>30054</v>
      </c>
      <c r="G347" s="446" t="s">
        <v>698</v>
      </c>
      <c r="H347" s="446" t="s">
        <v>4385</v>
      </c>
      <c r="I347" s="446" t="s">
        <v>238</v>
      </c>
      <c r="J347" s="446"/>
      <c r="K347" s="446"/>
      <c r="L347" s="450"/>
      <c r="M347" s="450"/>
      <c r="N347" s="450"/>
      <c r="O347" s="450"/>
      <c r="P347" s="450"/>
      <c r="Q347" s="450"/>
      <c r="R347" s="450"/>
      <c r="S347" s="451"/>
      <c r="T347" s="450"/>
      <c r="U347" s="451"/>
      <c r="V347" s="450"/>
      <c r="W347" s="450"/>
      <c r="X347" s="450"/>
      <c r="Y347" s="450"/>
      <c r="Z347" s="450"/>
    </row>
    <row r="348" spans="1:26" x14ac:dyDescent="0.25">
      <c r="A348" s="446"/>
      <c r="B348" s="446"/>
      <c r="C348" s="446" t="s">
        <v>408</v>
      </c>
      <c r="D348" s="446" t="s">
        <v>4386</v>
      </c>
      <c r="E348" s="448"/>
      <c r="F348" s="448">
        <v>30081</v>
      </c>
      <c r="G348" s="446" t="s">
        <v>4387</v>
      </c>
      <c r="H348" s="446" t="s">
        <v>799</v>
      </c>
      <c r="I348" s="446" t="s">
        <v>238</v>
      </c>
      <c r="J348" s="446"/>
      <c r="K348" s="446"/>
      <c r="L348" s="450"/>
      <c r="M348" s="450"/>
      <c r="N348" s="450"/>
      <c r="O348" s="450"/>
      <c r="P348" s="450"/>
      <c r="Q348" s="450"/>
      <c r="R348" s="450"/>
      <c r="S348" s="451"/>
      <c r="T348" s="450"/>
      <c r="U348" s="451"/>
      <c r="V348" s="450"/>
      <c r="W348" s="450"/>
      <c r="X348" s="450"/>
      <c r="Y348" s="450"/>
      <c r="Z348" s="450"/>
    </row>
    <row r="349" spans="1:26" x14ac:dyDescent="0.25">
      <c r="A349" s="446"/>
      <c r="B349" s="446"/>
      <c r="C349" s="446" t="s">
        <v>408</v>
      </c>
      <c r="D349" s="446" t="s">
        <v>4388</v>
      </c>
      <c r="E349" s="448"/>
      <c r="F349" s="448">
        <v>30088</v>
      </c>
      <c r="G349" s="446" t="s">
        <v>4342</v>
      </c>
      <c r="H349" s="446" t="s">
        <v>2838</v>
      </c>
      <c r="I349" s="446" t="s">
        <v>238</v>
      </c>
      <c r="J349" s="446"/>
      <c r="K349" s="446"/>
      <c r="L349" s="450"/>
      <c r="M349" s="450"/>
      <c r="N349" s="450"/>
      <c r="O349" s="450"/>
      <c r="P349" s="450"/>
      <c r="Q349" s="450"/>
      <c r="R349" s="450"/>
      <c r="S349" s="451"/>
      <c r="T349" s="450"/>
      <c r="U349" s="451"/>
      <c r="V349" s="450"/>
      <c r="W349" s="450"/>
      <c r="X349" s="450"/>
      <c r="Y349" s="450"/>
      <c r="Z349" s="450"/>
    </row>
    <row r="350" spans="1:26" x14ac:dyDescent="0.25">
      <c r="A350" s="446"/>
      <c r="B350" s="446"/>
      <c r="C350" s="446" t="s">
        <v>408</v>
      </c>
      <c r="D350" s="446" t="s">
        <v>4389</v>
      </c>
      <c r="E350" s="448"/>
      <c r="F350" s="448">
        <v>30124</v>
      </c>
      <c r="G350" s="446" t="s">
        <v>824</v>
      </c>
      <c r="H350" s="446" t="s">
        <v>335</v>
      </c>
      <c r="I350" s="446" t="s">
        <v>238</v>
      </c>
      <c r="J350" s="446"/>
      <c r="K350" s="446"/>
      <c r="L350" s="450"/>
      <c r="M350" s="450"/>
      <c r="N350" s="450"/>
      <c r="O350" s="450"/>
      <c r="P350" s="450"/>
      <c r="Q350" s="450"/>
      <c r="R350" s="450"/>
      <c r="S350" s="451"/>
      <c r="T350" s="450"/>
      <c r="U350" s="451"/>
      <c r="V350" s="450"/>
      <c r="W350" s="450"/>
      <c r="X350" s="450"/>
      <c r="Y350" s="450"/>
      <c r="Z350" s="450"/>
    </row>
    <row r="351" spans="1:26" x14ac:dyDescent="0.25">
      <c r="A351" s="446"/>
      <c r="B351" s="446"/>
      <c r="C351" s="446" t="s">
        <v>408</v>
      </c>
      <c r="D351" s="446" t="s">
        <v>4390</v>
      </c>
      <c r="E351" s="448"/>
      <c r="F351" s="448">
        <v>30250</v>
      </c>
      <c r="G351" s="446" t="s">
        <v>830</v>
      </c>
      <c r="H351" s="446" t="s">
        <v>357</v>
      </c>
      <c r="I351" s="446" t="s">
        <v>3166</v>
      </c>
      <c r="J351" s="446"/>
      <c r="K351" s="446"/>
      <c r="L351" s="450"/>
      <c r="M351" s="450"/>
      <c r="N351" s="450"/>
      <c r="O351" s="450"/>
      <c r="P351" s="450"/>
      <c r="Q351" s="450"/>
      <c r="R351" s="450"/>
      <c r="S351" s="451"/>
      <c r="T351" s="450"/>
      <c r="U351" s="451"/>
      <c r="V351" s="450"/>
      <c r="W351" s="450"/>
      <c r="X351" s="450"/>
      <c r="Y351" s="450"/>
      <c r="Z351" s="450"/>
    </row>
    <row r="352" spans="1:26" x14ac:dyDescent="0.25">
      <c r="A352" s="446"/>
      <c r="B352" s="446"/>
      <c r="C352" s="446" t="s">
        <v>408</v>
      </c>
      <c r="D352" s="446" t="s">
        <v>4391</v>
      </c>
      <c r="E352" s="448"/>
      <c r="F352" s="448">
        <v>30250</v>
      </c>
      <c r="G352" s="446" t="s">
        <v>830</v>
      </c>
      <c r="H352" s="446" t="s">
        <v>838</v>
      </c>
      <c r="I352" s="446" t="s">
        <v>3166</v>
      </c>
      <c r="J352" s="446"/>
      <c r="K352" s="446"/>
      <c r="L352" s="450"/>
      <c r="M352" s="450"/>
      <c r="N352" s="450"/>
      <c r="O352" s="450"/>
      <c r="P352" s="450"/>
      <c r="Q352" s="450"/>
      <c r="R352" s="450"/>
      <c r="S352" s="451"/>
      <c r="T352" s="450"/>
      <c r="U352" s="451"/>
      <c r="V352" s="450"/>
      <c r="W352" s="450"/>
      <c r="X352" s="450"/>
      <c r="Y352" s="450"/>
      <c r="Z352" s="450"/>
    </row>
    <row r="353" spans="1:26" x14ac:dyDescent="0.25">
      <c r="A353" s="446"/>
      <c r="B353" s="446"/>
      <c r="C353" s="446" t="s">
        <v>408</v>
      </c>
      <c r="D353" s="446" t="s">
        <v>4392</v>
      </c>
      <c r="E353" s="448"/>
      <c r="F353" s="448">
        <v>30250</v>
      </c>
      <c r="G353" s="446" t="s">
        <v>830</v>
      </c>
      <c r="H353" s="446" t="s">
        <v>329</v>
      </c>
      <c r="I353" s="446" t="s">
        <v>3166</v>
      </c>
      <c r="J353" s="446"/>
      <c r="K353" s="446"/>
      <c r="L353" s="450"/>
      <c r="M353" s="450"/>
      <c r="N353" s="450"/>
      <c r="O353" s="450"/>
      <c r="P353" s="450"/>
      <c r="Q353" s="450"/>
      <c r="R353" s="450"/>
      <c r="S353" s="451"/>
      <c r="T353" s="450"/>
      <c r="U353" s="451"/>
      <c r="V353" s="450"/>
      <c r="W353" s="450"/>
      <c r="X353" s="450"/>
      <c r="Y353" s="450"/>
      <c r="Z353" s="450"/>
    </row>
    <row r="354" spans="1:26" x14ac:dyDescent="0.25">
      <c r="A354" s="446"/>
      <c r="B354" s="446"/>
      <c r="C354" s="446" t="s">
        <v>585</v>
      </c>
      <c r="D354" s="446" t="s">
        <v>4393</v>
      </c>
      <c r="E354" s="448"/>
      <c r="F354" s="448">
        <v>30369</v>
      </c>
      <c r="G354" s="446" t="s">
        <v>4394</v>
      </c>
      <c r="H354" s="446" t="s">
        <v>4395</v>
      </c>
      <c r="I354" s="446" t="s">
        <v>3166</v>
      </c>
      <c r="J354" s="446"/>
      <c r="K354" s="446"/>
      <c r="L354" s="450"/>
      <c r="M354" s="450"/>
      <c r="N354" s="450"/>
      <c r="O354" s="450"/>
      <c r="P354" s="450"/>
      <c r="Q354" s="450"/>
      <c r="R354" s="450"/>
      <c r="S354" s="451"/>
      <c r="T354" s="450"/>
      <c r="U354" s="451"/>
      <c r="V354" s="450"/>
      <c r="W354" s="450"/>
      <c r="X354" s="450"/>
      <c r="Y354" s="450"/>
      <c r="Z354" s="450"/>
    </row>
    <row r="355" spans="1:26" x14ac:dyDescent="0.25">
      <c r="A355" s="446"/>
      <c r="B355" s="446"/>
      <c r="C355" s="446" t="s">
        <v>408</v>
      </c>
      <c r="D355" s="446" t="s">
        <v>4396</v>
      </c>
      <c r="E355" s="448"/>
      <c r="F355" s="448">
        <v>30369</v>
      </c>
      <c r="G355" s="446" t="s">
        <v>4397</v>
      </c>
      <c r="H355" s="446" t="s">
        <v>4398</v>
      </c>
      <c r="I355" s="446" t="s">
        <v>3166</v>
      </c>
      <c r="J355" s="446"/>
      <c r="K355" s="446"/>
      <c r="L355" s="450"/>
      <c r="M355" s="450"/>
      <c r="N355" s="450"/>
      <c r="O355" s="450"/>
      <c r="P355" s="450"/>
      <c r="Q355" s="450"/>
      <c r="R355" s="450"/>
      <c r="S355" s="451"/>
      <c r="T355" s="450"/>
      <c r="U355" s="451"/>
      <c r="V355" s="450"/>
      <c r="W355" s="450"/>
      <c r="X355" s="450"/>
      <c r="Y355" s="450"/>
      <c r="Z355" s="450"/>
    </row>
    <row r="356" spans="1:26" x14ac:dyDescent="0.25">
      <c r="A356" s="446"/>
      <c r="B356" s="446"/>
      <c r="C356" s="446" t="s">
        <v>408</v>
      </c>
      <c r="D356" s="446" t="s">
        <v>4399</v>
      </c>
      <c r="E356" s="448"/>
      <c r="F356" s="448">
        <v>30388</v>
      </c>
      <c r="G356" s="446" t="s">
        <v>4398</v>
      </c>
      <c r="H356" s="446" t="s">
        <v>863</v>
      </c>
      <c r="I356" s="446" t="s">
        <v>3166</v>
      </c>
      <c r="J356" s="446"/>
      <c r="K356" s="446"/>
      <c r="L356" s="450"/>
      <c r="M356" s="450"/>
      <c r="N356" s="450"/>
      <c r="O356" s="450"/>
      <c r="P356" s="450"/>
      <c r="Q356" s="450"/>
      <c r="R356" s="450"/>
      <c r="S356" s="451"/>
      <c r="T356" s="450"/>
      <c r="U356" s="451"/>
      <c r="V356" s="450"/>
      <c r="W356" s="450"/>
      <c r="X356" s="450"/>
      <c r="Y356" s="450"/>
      <c r="Z356" s="450"/>
    </row>
    <row r="357" spans="1:26" x14ac:dyDescent="0.25">
      <c r="A357" s="446"/>
      <c r="B357" s="446"/>
      <c r="C357" s="446" t="s">
        <v>408</v>
      </c>
      <c r="D357" s="446" t="s">
        <v>4400</v>
      </c>
      <c r="E357" s="448"/>
      <c r="F357" s="448">
        <v>30388</v>
      </c>
      <c r="G357" s="446" t="s">
        <v>4398</v>
      </c>
      <c r="H357" s="446" t="s">
        <v>866</v>
      </c>
      <c r="I357" s="446" t="s">
        <v>3166</v>
      </c>
      <c r="J357" s="446"/>
      <c r="K357" s="446"/>
      <c r="L357" s="450"/>
      <c r="M357" s="450"/>
      <c r="N357" s="450"/>
      <c r="O357" s="450"/>
      <c r="P357" s="450"/>
      <c r="Q357" s="450"/>
      <c r="R357" s="450"/>
      <c r="S357" s="451"/>
      <c r="T357" s="450"/>
      <c r="U357" s="451"/>
      <c r="V357" s="450"/>
      <c r="W357" s="450"/>
      <c r="X357" s="450"/>
      <c r="Y357" s="450"/>
      <c r="Z357" s="450"/>
    </row>
    <row r="358" spans="1:26" x14ac:dyDescent="0.25">
      <c r="A358" s="446"/>
      <c r="B358" s="446"/>
      <c r="C358" s="446" t="s">
        <v>408</v>
      </c>
      <c r="D358" s="446" t="s">
        <v>4401</v>
      </c>
      <c r="E358" s="448"/>
      <c r="F358" s="448">
        <v>30388</v>
      </c>
      <c r="G358" s="446" t="s">
        <v>4398</v>
      </c>
      <c r="H358" s="446" t="s">
        <v>869</v>
      </c>
      <c r="I358" s="446" t="s">
        <v>3166</v>
      </c>
      <c r="J358" s="446"/>
      <c r="K358" s="446"/>
      <c r="L358" s="450"/>
      <c r="M358" s="450"/>
      <c r="N358" s="450"/>
      <c r="O358" s="450"/>
      <c r="P358" s="450"/>
      <c r="Q358" s="450"/>
      <c r="R358" s="450"/>
      <c r="S358" s="451"/>
      <c r="T358" s="450"/>
      <c r="U358" s="451"/>
      <c r="V358" s="450"/>
      <c r="W358" s="450"/>
      <c r="X358" s="450"/>
      <c r="Y358" s="450"/>
      <c r="Z358" s="450"/>
    </row>
    <row r="359" spans="1:26" x14ac:dyDescent="0.25">
      <c r="A359" s="446"/>
      <c r="B359" s="446"/>
      <c r="C359" s="446" t="s">
        <v>408</v>
      </c>
      <c r="D359" s="446" t="s">
        <v>4402</v>
      </c>
      <c r="E359" s="448"/>
      <c r="F359" s="448">
        <v>30388</v>
      </c>
      <c r="G359" s="446" t="s">
        <v>4398</v>
      </c>
      <c r="H359" s="446" t="s">
        <v>4403</v>
      </c>
      <c r="I359" s="446" t="s">
        <v>3166</v>
      </c>
      <c r="J359" s="446"/>
      <c r="K359" s="446"/>
      <c r="L359" s="450"/>
      <c r="M359" s="450"/>
      <c r="N359" s="450"/>
      <c r="O359" s="450"/>
      <c r="P359" s="450"/>
      <c r="Q359" s="450"/>
      <c r="R359" s="450"/>
      <c r="S359" s="451"/>
      <c r="T359" s="450"/>
      <c r="U359" s="451"/>
      <c r="V359" s="450"/>
      <c r="W359" s="450"/>
      <c r="X359" s="450"/>
      <c r="Y359" s="450"/>
      <c r="Z359" s="450"/>
    </row>
    <row r="360" spans="1:26" x14ac:dyDescent="0.25">
      <c r="A360" s="446"/>
      <c r="B360" s="446"/>
      <c r="C360" s="446" t="s">
        <v>408</v>
      </c>
      <c r="D360" s="446" t="s">
        <v>4404</v>
      </c>
      <c r="E360" s="448"/>
      <c r="F360" s="448">
        <v>30388</v>
      </c>
      <c r="G360" s="446" t="s">
        <v>4398</v>
      </c>
      <c r="H360" s="446" t="s">
        <v>875</v>
      </c>
      <c r="I360" s="446" t="s">
        <v>3166</v>
      </c>
      <c r="J360" s="446"/>
      <c r="K360" s="446"/>
      <c r="L360" s="450"/>
      <c r="M360" s="450"/>
      <c r="N360" s="450"/>
      <c r="O360" s="450"/>
      <c r="P360" s="450"/>
      <c r="Q360" s="450"/>
      <c r="R360" s="450"/>
      <c r="S360" s="451"/>
      <c r="T360" s="450"/>
      <c r="U360" s="451"/>
      <c r="V360" s="450"/>
      <c r="W360" s="450"/>
      <c r="X360" s="450"/>
      <c r="Y360" s="450"/>
      <c r="Z360" s="450"/>
    </row>
    <row r="361" spans="1:26" x14ac:dyDescent="0.25">
      <c r="A361" s="446"/>
      <c r="B361" s="446"/>
      <c r="C361" s="446" t="s">
        <v>619</v>
      </c>
      <c r="D361" s="446" t="s">
        <v>4405</v>
      </c>
      <c r="E361" s="448">
        <v>30741</v>
      </c>
      <c r="F361" s="448">
        <v>30770</v>
      </c>
      <c r="G361" s="446" t="s">
        <v>799</v>
      </c>
      <c r="H361" s="446" t="s">
        <v>4406</v>
      </c>
      <c r="I361" s="446" t="s">
        <v>3310</v>
      </c>
      <c r="J361" s="446"/>
      <c r="K361" s="446"/>
      <c r="L361" s="450"/>
      <c r="M361" s="450"/>
      <c r="N361" s="450"/>
      <c r="O361" s="450"/>
      <c r="P361" s="450"/>
      <c r="Q361" s="450"/>
      <c r="R361" s="450"/>
      <c r="S361" s="451"/>
      <c r="T361" s="450"/>
      <c r="U361" s="451"/>
      <c r="V361" s="450"/>
      <c r="W361" s="450"/>
      <c r="X361" s="450"/>
      <c r="Y361" s="450"/>
      <c r="Z361" s="450"/>
    </row>
    <row r="362" spans="1:26" x14ac:dyDescent="0.25">
      <c r="A362" s="446"/>
      <c r="B362" s="446"/>
      <c r="C362" s="446" t="s">
        <v>619</v>
      </c>
      <c r="D362" s="446" t="s">
        <v>4407</v>
      </c>
      <c r="E362" s="448"/>
      <c r="F362" s="448">
        <v>30770</v>
      </c>
      <c r="G362" s="446" t="s">
        <v>799</v>
      </c>
      <c r="H362" s="446" t="s">
        <v>4408</v>
      </c>
      <c r="I362" s="446" t="s">
        <v>3310</v>
      </c>
      <c r="J362" s="446"/>
      <c r="K362" s="446"/>
      <c r="L362" s="450"/>
      <c r="M362" s="450"/>
      <c r="N362" s="450"/>
      <c r="O362" s="450"/>
      <c r="P362" s="450"/>
      <c r="Q362" s="450"/>
      <c r="R362" s="450"/>
      <c r="S362" s="451"/>
      <c r="T362" s="450"/>
      <c r="U362" s="451"/>
      <c r="V362" s="450"/>
      <c r="W362" s="450"/>
      <c r="X362" s="450"/>
      <c r="Y362" s="450"/>
      <c r="Z362" s="450"/>
    </row>
    <row r="363" spans="1:26" x14ac:dyDescent="0.25">
      <c r="A363" s="446"/>
      <c r="B363" s="446"/>
      <c r="C363" s="446" t="s">
        <v>619</v>
      </c>
      <c r="D363" s="446" t="s">
        <v>4409</v>
      </c>
      <c r="E363" s="448"/>
      <c r="F363" s="448">
        <v>30791</v>
      </c>
      <c r="G363" s="446" t="s">
        <v>353</v>
      </c>
      <c r="H363" s="446" t="s">
        <v>892</v>
      </c>
      <c r="I363" s="446" t="s">
        <v>3166</v>
      </c>
      <c r="J363" s="446"/>
      <c r="K363" s="446"/>
      <c r="L363" s="450"/>
      <c r="M363" s="450"/>
      <c r="N363" s="450"/>
      <c r="O363" s="450"/>
      <c r="P363" s="450"/>
      <c r="Q363" s="450"/>
      <c r="R363" s="450"/>
      <c r="S363" s="451"/>
      <c r="T363" s="450"/>
      <c r="U363" s="451"/>
      <c r="V363" s="450"/>
      <c r="W363" s="450"/>
      <c r="X363" s="450"/>
      <c r="Y363" s="450"/>
      <c r="Z363" s="450"/>
    </row>
    <row r="364" spans="1:26" x14ac:dyDescent="0.25">
      <c r="A364" s="446"/>
      <c r="B364" s="446"/>
      <c r="C364" s="446" t="s">
        <v>408</v>
      </c>
      <c r="D364" s="446" t="s">
        <v>4410</v>
      </c>
      <c r="E364" s="448"/>
      <c r="F364" s="448">
        <v>31100</v>
      </c>
      <c r="G364" s="446" t="s">
        <v>4411</v>
      </c>
      <c r="H364" s="446" t="s">
        <v>4412</v>
      </c>
      <c r="I364" s="446" t="s">
        <v>238</v>
      </c>
      <c r="J364" s="446"/>
      <c r="K364" s="446"/>
      <c r="L364" s="450"/>
      <c r="M364" s="450"/>
      <c r="N364" s="450"/>
      <c r="O364" s="450"/>
      <c r="P364" s="450"/>
      <c r="Q364" s="450"/>
      <c r="R364" s="450"/>
      <c r="S364" s="451"/>
      <c r="T364" s="450"/>
      <c r="U364" s="451"/>
      <c r="V364" s="450"/>
      <c r="W364" s="450"/>
      <c r="X364" s="450"/>
      <c r="Y364" s="450"/>
      <c r="Z364" s="450"/>
    </row>
    <row r="365" spans="1:26" x14ac:dyDescent="0.25">
      <c r="A365" s="446"/>
      <c r="B365" s="446"/>
      <c r="C365" s="446" t="s">
        <v>408</v>
      </c>
      <c r="D365" s="446" t="s">
        <v>4413</v>
      </c>
      <c r="E365" s="448"/>
      <c r="F365" s="448">
        <v>31158</v>
      </c>
      <c r="G365" s="446" t="s">
        <v>4380</v>
      </c>
      <c r="H365" s="446" t="s">
        <v>4414</v>
      </c>
      <c r="I365" s="446" t="s">
        <v>3166</v>
      </c>
      <c r="J365" s="446"/>
      <c r="K365" s="446"/>
      <c r="L365" s="450"/>
      <c r="M365" s="450"/>
      <c r="N365" s="450"/>
      <c r="O365" s="450"/>
      <c r="P365" s="450"/>
      <c r="Q365" s="450"/>
      <c r="R365" s="450"/>
      <c r="S365" s="451"/>
      <c r="T365" s="450"/>
      <c r="U365" s="451"/>
      <c r="V365" s="450"/>
      <c r="W365" s="450"/>
      <c r="X365" s="450"/>
      <c r="Y365" s="450"/>
      <c r="Z365" s="450"/>
    </row>
    <row r="366" spans="1:26" x14ac:dyDescent="0.25">
      <c r="A366" s="446"/>
      <c r="B366" s="446"/>
      <c r="C366" s="446" t="s">
        <v>408</v>
      </c>
      <c r="D366" s="446" t="s">
        <v>4415</v>
      </c>
      <c r="E366" s="448"/>
      <c r="F366" s="448">
        <v>31279</v>
      </c>
      <c r="G366" s="446" t="s">
        <v>906</v>
      </c>
      <c r="H366" s="446" t="s">
        <v>907</v>
      </c>
      <c r="I366" s="446" t="s">
        <v>238</v>
      </c>
      <c r="J366" s="446"/>
      <c r="K366" s="446"/>
      <c r="L366" s="450"/>
      <c r="M366" s="450"/>
      <c r="N366" s="450"/>
      <c r="O366" s="450"/>
      <c r="P366" s="450"/>
      <c r="Q366" s="450"/>
      <c r="R366" s="450"/>
      <c r="S366" s="451"/>
      <c r="T366" s="450"/>
      <c r="U366" s="451"/>
      <c r="V366" s="450"/>
      <c r="W366" s="450"/>
      <c r="X366" s="450"/>
      <c r="Y366" s="450"/>
      <c r="Z366" s="450"/>
    </row>
    <row r="367" spans="1:26" x14ac:dyDescent="0.25">
      <c r="A367" s="446"/>
      <c r="B367" s="446"/>
      <c r="C367" s="446" t="s">
        <v>408</v>
      </c>
      <c r="D367" s="446" t="s">
        <v>4416</v>
      </c>
      <c r="E367" s="448"/>
      <c r="F367" s="448">
        <v>31308</v>
      </c>
      <c r="G367" s="446" t="s">
        <v>739</v>
      </c>
      <c r="H367" s="446" t="s">
        <v>368</v>
      </c>
      <c r="I367" s="446" t="s">
        <v>3166</v>
      </c>
      <c r="J367" s="446"/>
      <c r="K367" s="446"/>
      <c r="L367" s="450"/>
      <c r="M367" s="450"/>
      <c r="N367" s="450"/>
      <c r="O367" s="450"/>
      <c r="P367" s="450"/>
      <c r="Q367" s="450"/>
      <c r="R367" s="450"/>
      <c r="S367" s="451"/>
      <c r="T367" s="450"/>
      <c r="U367" s="451"/>
      <c r="V367" s="450"/>
      <c r="W367" s="450"/>
      <c r="X367" s="450"/>
      <c r="Y367" s="450"/>
      <c r="Z367" s="450"/>
    </row>
    <row r="368" spans="1:26" x14ac:dyDescent="0.25">
      <c r="A368" s="446"/>
      <c r="B368" s="446"/>
      <c r="C368" s="446" t="s">
        <v>408</v>
      </c>
      <c r="D368" s="446" t="s">
        <v>4417</v>
      </c>
      <c r="E368" s="448"/>
      <c r="F368" s="448">
        <v>31329</v>
      </c>
      <c r="G368" s="446" t="s">
        <v>4418</v>
      </c>
      <c r="H368" s="446" t="s">
        <v>4419</v>
      </c>
      <c r="I368" s="446" t="s">
        <v>3166</v>
      </c>
      <c r="J368" s="446"/>
      <c r="K368" s="446"/>
      <c r="L368" s="450"/>
      <c r="M368" s="450"/>
      <c r="N368" s="450"/>
      <c r="O368" s="450"/>
      <c r="P368" s="450"/>
      <c r="Q368" s="450"/>
      <c r="R368" s="450"/>
      <c r="S368" s="451"/>
      <c r="T368" s="450"/>
      <c r="U368" s="451"/>
      <c r="V368" s="450"/>
      <c r="W368" s="450"/>
      <c r="X368" s="450"/>
      <c r="Y368" s="450"/>
      <c r="Z368" s="450"/>
    </row>
    <row r="369" spans="1:26" x14ac:dyDescent="0.25">
      <c r="A369" s="446"/>
      <c r="B369" s="446"/>
      <c r="C369" s="446" t="s">
        <v>408</v>
      </c>
      <c r="D369" s="446" t="s">
        <v>4420</v>
      </c>
      <c r="E369" s="448"/>
      <c r="F369" s="448">
        <v>31330</v>
      </c>
      <c r="G369" s="446" t="s">
        <v>710</v>
      </c>
      <c r="H369" s="446" t="s">
        <v>918</v>
      </c>
      <c r="I369" s="446" t="s">
        <v>3166</v>
      </c>
      <c r="J369" s="446"/>
      <c r="K369" s="446"/>
      <c r="L369" s="450"/>
      <c r="M369" s="450"/>
      <c r="N369" s="450"/>
      <c r="O369" s="450"/>
      <c r="P369" s="450"/>
      <c r="Q369" s="450"/>
      <c r="R369" s="450"/>
      <c r="S369" s="451"/>
      <c r="T369" s="450"/>
      <c r="U369" s="451"/>
      <c r="V369" s="450"/>
      <c r="W369" s="450"/>
      <c r="X369" s="450"/>
      <c r="Y369" s="450"/>
      <c r="Z369" s="450"/>
    </row>
    <row r="370" spans="1:26" x14ac:dyDescent="0.25">
      <c r="A370" s="446"/>
      <c r="B370" s="446"/>
      <c r="C370" s="446" t="s">
        <v>619</v>
      </c>
      <c r="D370" s="446" t="s">
        <v>4421</v>
      </c>
      <c r="E370" s="448"/>
      <c r="F370" s="448">
        <v>31408</v>
      </c>
      <c r="G370" s="446" t="s">
        <v>353</v>
      </c>
      <c r="H370" s="446" t="s">
        <v>924</v>
      </c>
      <c r="I370" s="446" t="s">
        <v>3166</v>
      </c>
      <c r="J370" s="446"/>
      <c r="K370" s="446"/>
      <c r="L370" s="450"/>
      <c r="M370" s="450"/>
      <c r="N370" s="450"/>
      <c r="O370" s="450"/>
      <c r="P370" s="450"/>
      <c r="Q370" s="450"/>
      <c r="R370" s="450"/>
      <c r="S370" s="451"/>
      <c r="T370" s="450"/>
      <c r="U370" s="451"/>
      <c r="V370" s="450"/>
      <c r="W370" s="450"/>
      <c r="X370" s="450"/>
      <c r="Y370" s="450"/>
      <c r="Z370" s="450"/>
    </row>
    <row r="371" spans="1:26" x14ac:dyDescent="0.25">
      <c r="A371" s="446"/>
      <c r="B371" s="446"/>
      <c r="C371" s="446" t="s">
        <v>619</v>
      </c>
      <c r="D371" s="446" t="s">
        <v>4422</v>
      </c>
      <c r="E371" s="448"/>
      <c r="F371" s="448">
        <v>31408</v>
      </c>
      <c r="G371" s="446" t="s">
        <v>353</v>
      </c>
      <c r="H371" s="446" t="s">
        <v>4423</v>
      </c>
      <c r="I371" s="446" t="s">
        <v>3166</v>
      </c>
      <c r="J371" s="446"/>
      <c r="K371" s="446"/>
      <c r="L371" s="450"/>
      <c r="M371" s="450"/>
      <c r="N371" s="450"/>
      <c r="O371" s="450"/>
      <c r="P371" s="450"/>
      <c r="Q371" s="450"/>
      <c r="R371" s="450"/>
      <c r="S371" s="451"/>
      <c r="T371" s="450"/>
      <c r="U371" s="451"/>
      <c r="V371" s="450"/>
      <c r="W371" s="450"/>
      <c r="X371" s="450"/>
      <c r="Y371" s="450"/>
      <c r="Z371" s="450"/>
    </row>
    <row r="372" spans="1:26" x14ac:dyDescent="0.25">
      <c r="A372" s="446"/>
      <c r="B372" s="446"/>
      <c r="C372" s="446" t="s">
        <v>408</v>
      </c>
      <c r="D372" s="446" t="s">
        <v>4424</v>
      </c>
      <c r="E372" s="448"/>
      <c r="F372" s="448">
        <v>31418</v>
      </c>
      <c r="G372" s="446" t="s">
        <v>4425</v>
      </c>
      <c r="H372" s="446" t="s">
        <v>928</v>
      </c>
      <c r="I372" s="446" t="s">
        <v>3166</v>
      </c>
      <c r="J372" s="446"/>
      <c r="K372" s="446"/>
      <c r="L372" s="450"/>
      <c r="M372" s="450"/>
      <c r="N372" s="450"/>
      <c r="O372" s="450"/>
      <c r="P372" s="450"/>
      <c r="Q372" s="450"/>
      <c r="R372" s="450"/>
      <c r="S372" s="451"/>
      <c r="T372" s="450"/>
      <c r="U372" s="451"/>
      <c r="V372" s="450"/>
      <c r="W372" s="450"/>
      <c r="X372" s="450"/>
      <c r="Y372" s="450"/>
      <c r="Z372" s="450"/>
    </row>
    <row r="373" spans="1:26" x14ac:dyDescent="0.25">
      <c r="A373" s="446"/>
      <c r="B373" s="446"/>
      <c r="C373" s="446" t="s">
        <v>408</v>
      </c>
      <c r="D373" s="446" t="s">
        <v>4426</v>
      </c>
      <c r="E373" s="448"/>
      <c r="F373" s="448">
        <v>31434</v>
      </c>
      <c r="G373" s="446" t="s">
        <v>4406</v>
      </c>
      <c r="H373" s="446" t="s">
        <v>932</v>
      </c>
      <c r="I373" s="446" t="s">
        <v>238</v>
      </c>
      <c r="J373" s="446"/>
      <c r="K373" s="446"/>
      <c r="L373" s="450"/>
      <c r="M373" s="450"/>
      <c r="N373" s="450"/>
      <c r="O373" s="450"/>
      <c r="P373" s="450"/>
      <c r="Q373" s="450"/>
      <c r="R373" s="450"/>
      <c r="S373" s="451"/>
      <c r="T373" s="450"/>
      <c r="U373" s="451"/>
      <c r="V373" s="450"/>
      <c r="W373" s="450"/>
      <c r="X373" s="450"/>
      <c r="Y373" s="450"/>
      <c r="Z373" s="450"/>
    </row>
    <row r="374" spans="1:26" x14ac:dyDescent="0.25">
      <c r="A374" s="446"/>
      <c r="B374" s="446"/>
      <c r="C374" s="446" t="s">
        <v>408</v>
      </c>
      <c r="D374" s="446" t="s">
        <v>4427</v>
      </c>
      <c r="E374" s="448"/>
      <c r="F374" s="448">
        <v>31582</v>
      </c>
      <c r="G374" s="446" t="s">
        <v>739</v>
      </c>
      <c r="H374" s="446" t="s">
        <v>4423</v>
      </c>
      <c r="I374" s="446" t="s">
        <v>3166</v>
      </c>
      <c r="J374" s="446"/>
      <c r="K374" s="446"/>
      <c r="L374" s="450"/>
      <c r="M374" s="450"/>
      <c r="N374" s="450"/>
      <c r="O374" s="450"/>
      <c r="P374" s="450"/>
      <c r="Q374" s="450"/>
      <c r="R374" s="450"/>
      <c r="S374" s="451"/>
      <c r="T374" s="450"/>
      <c r="U374" s="451"/>
      <c r="V374" s="450"/>
      <c r="W374" s="450"/>
      <c r="X374" s="450"/>
      <c r="Y374" s="450"/>
      <c r="Z374" s="450"/>
    </row>
    <row r="375" spans="1:26" x14ac:dyDescent="0.25">
      <c r="A375" s="446"/>
      <c r="B375" s="446"/>
      <c r="C375" s="446" t="s">
        <v>408</v>
      </c>
      <c r="D375" s="446" t="s">
        <v>4428</v>
      </c>
      <c r="E375" s="448"/>
      <c r="F375" s="448">
        <v>31657</v>
      </c>
      <c r="G375" s="446" t="s">
        <v>739</v>
      </c>
      <c r="H375" s="446" t="s">
        <v>234</v>
      </c>
      <c r="I375" s="446" t="s">
        <v>3166</v>
      </c>
      <c r="J375" s="446"/>
      <c r="K375" s="446"/>
      <c r="L375" s="450"/>
      <c r="M375" s="450"/>
      <c r="N375" s="450"/>
      <c r="O375" s="450"/>
      <c r="P375" s="450"/>
      <c r="Q375" s="450"/>
      <c r="R375" s="450"/>
      <c r="S375" s="451"/>
      <c r="T375" s="450"/>
      <c r="U375" s="451"/>
      <c r="V375" s="450"/>
      <c r="W375" s="450"/>
      <c r="X375" s="450"/>
      <c r="Y375" s="450"/>
      <c r="Z375" s="450"/>
    </row>
    <row r="376" spans="1:26" x14ac:dyDescent="0.25">
      <c r="A376" s="446"/>
      <c r="B376" s="446"/>
      <c r="C376" s="446" t="s">
        <v>408</v>
      </c>
      <c r="D376" s="446" t="s">
        <v>4429</v>
      </c>
      <c r="E376" s="448"/>
      <c r="F376" s="448">
        <v>31684</v>
      </c>
      <c r="G376" s="446" t="s">
        <v>940</v>
      </c>
      <c r="H376" s="446" t="s">
        <v>941</v>
      </c>
      <c r="I376" s="446" t="s">
        <v>3166</v>
      </c>
      <c r="J376" s="446"/>
      <c r="K376" s="446"/>
      <c r="L376" s="450"/>
      <c r="M376" s="450"/>
      <c r="N376" s="450"/>
      <c r="O376" s="450"/>
      <c r="P376" s="450"/>
      <c r="Q376" s="450"/>
      <c r="R376" s="450"/>
      <c r="S376" s="451"/>
      <c r="T376" s="450"/>
      <c r="U376" s="451"/>
      <c r="V376" s="450"/>
      <c r="W376" s="450"/>
      <c r="X376" s="450"/>
      <c r="Y376" s="450"/>
      <c r="Z376" s="450"/>
    </row>
    <row r="377" spans="1:26" x14ac:dyDescent="0.25">
      <c r="A377" s="446"/>
      <c r="B377" s="446"/>
      <c r="C377" s="446" t="s">
        <v>408</v>
      </c>
      <c r="D377" s="446" t="s">
        <v>4430</v>
      </c>
      <c r="E377" s="448"/>
      <c r="F377" s="448">
        <v>31723</v>
      </c>
      <c r="G377" s="446" t="s">
        <v>932</v>
      </c>
      <c r="H377" s="446" t="s">
        <v>4431</v>
      </c>
      <c r="I377" s="446" t="s">
        <v>238</v>
      </c>
      <c r="J377" s="446"/>
      <c r="K377" s="446"/>
      <c r="L377" s="450"/>
      <c r="M377" s="450"/>
      <c r="N377" s="450"/>
      <c r="O377" s="450"/>
      <c r="P377" s="450"/>
      <c r="Q377" s="450"/>
      <c r="R377" s="450"/>
      <c r="S377" s="451"/>
      <c r="T377" s="450"/>
      <c r="U377" s="451"/>
      <c r="V377" s="450"/>
      <c r="W377" s="450"/>
      <c r="X377" s="450"/>
      <c r="Y377" s="450"/>
      <c r="Z377" s="450"/>
    </row>
    <row r="378" spans="1:26" x14ac:dyDescent="0.25">
      <c r="A378" s="446"/>
      <c r="B378" s="446"/>
      <c r="C378" s="446" t="s">
        <v>408</v>
      </c>
      <c r="D378" s="446" t="s">
        <v>4432</v>
      </c>
      <c r="E378" s="448"/>
      <c r="F378" s="448">
        <v>31917</v>
      </c>
      <c r="G378" s="446" t="s">
        <v>739</v>
      </c>
      <c r="H378" s="446" t="s">
        <v>952</v>
      </c>
      <c r="I378" s="446" t="s">
        <v>3166</v>
      </c>
      <c r="J378" s="446"/>
      <c r="K378" s="446"/>
      <c r="L378" s="450"/>
      <c r="M378" s="450"/>
      <c r="N378" s="450"/>
      <c r="O378" s="450"/>
      <c r="P378" s="450"/>
      <c r="Q378" s="450"/>
      <c r="R378" s="450"/>
      <c r="S378" s="451"/>
      <c r="T378" s="450"/>
      <c r="U378" s="451"/>
      <c r="V378" s="450"/>
      <c r="W378" s="450"/>
      <c r="X378" s="450"/>
      <c r="Y378" s="450"/>
      <c r="Z378" s="450"/>
    </row>
    <row r="379" spans="1:26" x14ac:dyDescent="0.25">
      <c r="A379" s="446"/>
      <c r="B379" s="446"/>
      <c r="C379" s="446" t="s">
        <v>408</v>
      </c>
      <c r="D379" s="446" t="s">
        <v>4433</v>
      </c>
      <c r="E379" s="448"/>
      <c r="F379" s="448">
        <v>32031</v>
      </c>
      <c r="G379" s="446" t="s">
        <v>955</v>
      </c>
      <c r="H379" s="446" t="s">
        <v>956</v>
      </c>
      <c r="I379" s="446" t="s">
        <v>3166</v>
      </c>
      <c r="J379" s="446"/>
      <c r="K379" s="446"/>
      <c r="L379" s="450"/>
      <c r="M379" s="450"/>
      <c r="N379" s="450"/>
      <c r="O379" s="450"/>
      <c r="P379" s="450"/>
      <c r="Q379" s="450"/>
      <c r="R379" s="450"/>
      <c r="S379" s="451"/>
      <c r="T379" s="450"/>
      <c r="U379" s="451"/>
      <c r="V379" s="450"/>
      <c r="W379" s="450"/>
      <c r="X379" s="450"/>
      <c r="Y379" s="450"/>
      <c r="Z379" s="450"/>
    </row>
    <row r="380" spans="1:26" x14ac:dyDescent="0.25">
      <c r="A380" s="446"/>
      <c r="B380" s="446"/>
      <c r="C380" s="446" t="s">
        <v>461</v>
      </c>
      <c r="D380" s="446" t="s">
        <v>4434</v>
      </c>
      <c r="E380" s="448"/>
      <c r="F380" s="448">
        <v>32072</v>
      </c>
      <c r="G380" s="446" t="s">
        <v>965</v>
      </c>
      <c r="H380" s="446" t="s">
        <v>102</v>
      </c>
      <c r="I380" s="446" t="s">
        <v>3166</v>
      </c>
      <c r="J380" s="446"/>
      <c r="K380" s="446"/>
      <c r="L380" s="450"/>
      <c r="M380" s="450"/>
      <c r="N380" s="450"/>
      <c r="O380" s="450"/>
      <c r="P380" s="450"/>
      <c r="Q380" s="450"/>
      <c r="R380" s="450"/>
      <c r="S380" s="451"/>
      <c r="T380" s="450"/>
      <c r="U380" s="451"/>
      <c r="V380" s="450"/>
      <c r="W380" s="450"/>
      <c r="X380" s="450"/>
      <c r="Y380" s="450"/>
      <c r="Z380" s="450"/>
    </row>
    <row r="381" spans="1:26" x14ac:dyDescent="0.25">
      <c r="A381" s="446"/>
      <c r="B381" s="446"/>
      <c r="C381" s="446" t="s">
        <v>408</v>
      </c>
      <c r="D381" s="446" t="s">
        <v>4435</v>
      </c>
      <c r="E381" s="448"/>
      <c r="F381" s="448">
        <v>32072</v>
      </c>
      <c r="G381" s="446" t="s">
        <v>357</v>
      </c>
      <c r="H381" s="446" t="s">
        <v>959</v>
      </c>
      <c r="I381" s="446" t="s">
        <v>3166</v>
      </c>
      <c r="J381" s="446"/>
      <c r="K381" s="446"/>
      <c r="L381" s="450"/>
      <c r="M381" s="450"/>
      <c r="N381" s="450"/>
      <c r="O381" s="450"/>
      <c r="P381" s="450"/>
      <c r="Q381" s="450"/>
      <c r="R381" s="450"/>
      <c r="S381" s="451"/>
      <c r="T381" s="450"/>
      <c r="U381" s="451"/>
      <c r="V381" s="450"/>
      <c r="W381" s="450"/>
      <c r="X381" s="450"/>
      <c r="Y381" s="450"/>
      <c r="Z381" s="450"/>
    </row>
    <row r="382" spans="1:26" x14ac:dyDescent="0.25">
      <c r="A382" s="446"/>
      <c r="B382" s="446"/>
      <c r="C382" s="446" t="s">
        <v>408</v>
      </c>
      <c r="D382" s="446" t="s">
        <v>4436</v>
      </c>
      <c r="E382" s="448"/>
      <c r="F382" s="448">
        <v>32072</v>
      </c>
      <c r="G382" s="446" t="s">
        <v>357</v>
      </c>
      <c r="H382" s="446" t="s">
        <v>959</v>
      </c>
      <c r="I382" s="446" t="s">
        <v>3166</v>
      </c>
      <c r="J382" s="446"/>
      <c r="K382" s="446"/>
      <c r="L382" s="450"/>
      <c r="M382" s="450"/>
      <c r="N382" s="450"/>
      <c r="O382" s="450"/>
      <c r="P382" s="450"/>
      <c r="Q382" s="450"/>
      <c r="R382" s="450"/>
      <c r="S382" s="451"/>
      <c r="T382" s="450"/>
      <c r="U382" s="451"/>
      <c r="V382" s="450"/>
      <c r="W382" s="450"/>
      <c r="X382" s="450"/>
      <c r="Y382" s="450"/>
      <c r="Z382" s="450"/>
    </row>
    <row r="383" spans="1:26" x14ac:dyDescent="0.25">
      <c r="A383" s="446"/>
      <c r="B383" s="446"/>
      <c r="C383" s="446" t="s">
        <v>408</v>
      </c>
      <c r="D383" s="446" t="s">
        <v>4437</v>
      </c>
      <c r="E383" s="448"/>
      <c r="F383" s="448">
        <v>32118</v>
      </c>
      <c r="G383" s="446" t="s">
        <v>234</v>
      </c>
      <c r="H383" s="446" t="s">
        <v>940</v>
      </c>
      <c r="I383" s="446" t="s">
        <v>3166</v>
      </c>
      <c r="J383" s="446"/>
      <c r="K383" s="446"/>
      <c r="L383" s="450"/>
      <c r="M383" s="450"/>
      <c r="N383" s="450"/>
      <c r="O383" s="450"/>
      <c r="P383" s="450"/>
      <c r="Q383" s="450"/>
      <c r="R383" s="450"/>
      <c r="S383" s="451"/>
      <c r="T383" s="450"/>
      <c r="U383" s="451"/>
      <c r="V383" s="450"/>
      <c r="W383" s="450"/>
      <c r="X383" s="450"/>
      <c r="Y383" s="450"/>
      <c r="Z383" s="450"/>
    </row>
    <row r="384" spans="1:26" x14ac:dyDescent="0.25">
      <c r="A384" s="446"/>
      <c r="B384" s="446"/>
      <c r="C384" s="446" t="s">
        <v>408</v>
      </c>
      <c r="D384" s="446" t="s">
        <v>4438</v>
      </c>
      <c r="E384" s="448"/>
      <c r="F384" s="448">
        <v>32177</v>
      </c>
      <c r="G384" s="446" t="s">
        <v>804</v>
      </c>
      <c r="H384" s="446" t="s">
        <v>971</v>
      </c>
      <c r="I384" s="446" t="s">
        <v>3166</v>
      </c>
      <c r="J384" s="446"/>
      <c r="K384" s="446"/>
      <c r="L384" s="450"/>
      <c r="M384" s="450"/>
      <c r="N384" s="450"/>
      <c r="O384" s="450"/>
      <c r="P384" s="450"/>
      <c r="Q384" s="450"/>
      <c r="R384" s="450"/>
      <c r="S384" s="451"/>
      <c r="T384" s="450"/>
      <c r="U384" s="451"/>
      <c r="V384" s="450"/>
      <c r="W384" s="450"/>
      <c r="X384" s="450"/>
      <c r="Y384" s="450"/>
      <c r="Z384" s="450"/>
    </row>
    <row r="385" spans="1:26" x14ac:dyDescent="0.25">
      <c r="A385" s="446"/>
      <c r="B385" s="446"/>
      <c r="C385" s="446" t="s">
        <v>408</v>
      </c>
      <c r="D385" s="446" t="s">
        <v>4439</v>
      </c>
      <c r="E385" s="448">
        <v>32216</v>
      </c>
      <c r="F385" s="448">
        <v>32329</v>
      </c>
      <c r="G385" s="446" t="s">
        <v>975</v>
      </c>
      <c r="H385" s="446" t="s">
        <v>4440</v>
      </c>
      <c r="I385" s="446" t="s">
        <v>4441</v>
      </c>
      <c r="J385" s="446"/>
      <c r="K385" s="446"/>
      <c r="L385" s="450"/>
      <c r="M385" s="450"/>
      <c r="N385" s="450"/>
      <c r="O385" s="450"/>
      <c r="P385" s="450"/>
      <c r="Q385" s="450"/>
      <c r="R385" s="450"/>
      <c r="S385" s="451"/>
      <c r="T385" s="450"/>
      <c r="U385" s="451"/>
      <c r="V385" s="450"/>
      <c r="W385" s="450"/>
      <c r="X385" s="450"/>
      <c r="Y385" s="450"/>
      <c r="Z385" s="450"/>
    </row>
    <row r="386" spans="1:26" x14ac:dyDescent="0.25">
      <c r="A386" s="446"/>
      <c r="B386" s="446"/>
      <c r="C386" s="446" t="s">
        <v>408</v>
      </c>
      <c r="D386" s="446" t="s">
        <v>4442</v>
      </c>
      <c r="E386" s="448"/>
      <c r="F386" s="448">
        <v>32255</v>
      </c>
      <c r="G386" s="446" t="s">
        <v>646</v>
      </c>
      <c r="H386" s="446" t="s">
        <v>2838</v>
      </c>
      <c r="I386" s="446" t="s">
        <v>3166</v>
      </c>
      <c r="J386" s="446"/>
      <c r="K386" s="446"/>
      <c r="L386" s="450"/>
      <c r="M386" s="450"/>
      <c r="N386" s="450"/>
      <c r="O386" s="450"/>
      <c r="P386" s="450"/>
      <c r="Q386" s="450"/>
      <c r="R386" s="450"/>
      <c r="S386" s="451"/>
      <c r="T386" s="450"/>
      <c r="U386" s="451"/>
      <c r="V386" s="450"/>
      <c r="W386" s="450"/>
      <c r="X386" s="450"/>
      <c r="Y386" s="450"/>
      <c r="Z386" s="450"/>
    </row>
    <row r="387" spans="1:26" x14ac:dyDescent="0.25">
      <c r="A387" s="446"/>
      <c r="B387" s="446"/>
      <c r="C387" s="446" t="s">
        <v>408</v>
      </c>
      <c r="D387" s="446" t="s">
        <v>4443</v>
      </c>
      <c r="E387" s="448"/>
      <c r="F387" s="448">
        <v>32344</v>
      </c>
      <c r="G387" s="446" t="s">
        <v>234</v>
      </c>
      <c r="H387" s="446" t="s">
        <v>986</v>
      </c>
      <c r="I387" s="446" t="s">
        <v>3166</v>
      </c>
      <c r="J387" s="446"/>
      <c r="K387" s="446"/>
      <c r="L387" s="450"/>
      <c r="M387" s="450"/>
      <c r="N387" s="450"/>
      <c r="O387" s="450"/>
      <c r="P387" s="450"/>
      <c r="Q387" s="450"/>
      <c r="R387" s="450"/>
      <c r="S387" s="451"/>
      <c r="T387" s="450"/>
      <c r="U387" s="451"/>
      <c r="V387" s="450"/>
      <c r="W387" s="450"/>
      <c r="X387" s="450"/>
      <c r="Y387" s="450"/>
      <c r="Z387" s="450"/>
    </row>
    <row r="388" spans="1:26" x14ac:dyDescent="0.25">
      <c r="A388" s="446"/>
      <c r="B388" s="446"/>
      <c r="C388" s="446" t="s">
        <v>408</v>
      </c>
      <c r="D388" s="446" t="s">
        <v>4444</v>
      </c>
      <c r="E388" s="448"/>
      <c r="F388" s="448">
        <v>32344</v>
      </c>
      <c r="G388" s="446" t="s">
        <v>234</v>
      </c>
      <c r="H388" s="446" t="s">
        <v>989</v>
      </c>
      <c r="I388" s="446" t="s">
        <v>3166</v>
      </c>
      <c r="J388" s="446"/>
      <c r="K388" s="446"/>
      <c r="L388" s="450"/>
      <c r="M388" s="450"/>
      <c r="N388" s="450"/>
      <c r="O388" s="450"/>
      <c r="P388" s="450"/>
      <c r="Q388" s="450"/>
      <c r="R388" s="450"/>
      <c r="S388" s="451"/>
      <c r="T388" s="450"/>
      <c r="U388" s="451"/>
      <c r="V388" s="450"/>
      <c r="W388" s="450"/>
      <c r="X388" s="450"/>
      <c r="Y388" s="450"/>
      <c r="Z388" s="450"/>
    </row>
    <row r="389" spans="1:26" x14ac:dyDescent="0.25">
      <c r="A389" s="446"/>
      <c r="B389" s="446"/>
      <c r="C389" s="446" t="s">
        <v>408</v>
      </c>
      <c r="D389" s="446" t="s">
        <v>4445</v>
      </c>
      <c r="E389" s="448"/>
      <c r="F389" s="448">
        <v>32344</v>
      </c>
      <c r="G389" s="446" t="s">
        <v>234</v>
      </c>
      <c r="H389" s="446" t="s">
        <v>980</v>
      </c>
      <c r="I389" s="446" t="s">
        <v>3166</v>
      </c>
      <c r="J389" s="446"/>
      <c r="K389" s="446"/>
      <c r="L389" s="450"/>
      <c r="M389" s="450"/>
      <c r="N389" s="450"/>
      <c r="O389" s="450"/>
      <c r="P389" s="450"/>
      <c r="Q389" s="450"/>
      <c r="R389" s="450"/>
      <c r="S389" s="451"/>
      <c r="T389" s="450"/>
      <c r="U389" s="451"/>
      <c r="V389" s="450"/>
      <c r="W389" s="450"/>
      <c r="X389" s="450"/>
      <c r="Y389" s="450"/>
      <c r="Z389" s="450"/>
    </row>
    <row r="390" spans="1:26" x14ac:dyDescent="0.25">
      <c r="A390" s="446"/>
      <c r="B390" s="446"/>
      <c r="C390" s="446" t="s">
        <v>408</v>
      </c>
      <c r="D390" s="446" t="s">
        <v>4446</v>
      </c>
      <c r="E390" s="448"/>
      <c r="F390" s="448">
        <v>32344</v>
      </c>
      <c r="G390" s="446" t="s">
        <v>234</v>
      </c>
      <c r="H390" s="446" t="s">
        <v>983</v>
      </c>
      <c r="I390" s="446" t="s">
        <v>3166</v>
      </c>
      <c r="J390" s="446"/>
      <c r="K390" s="446"/>
      <c r="L390" s="450"/>
      <c r="M390" s="450"/>
      <c r="N390" s="450"/>
      <c r="O390" s="450"/>
      <c r="P390" s="450"/>
      <c r="Q390" s="450"/>
      <c r="R390" s="450"/>
      <c r="S390" s="451"/>
      <c r="T390" s="450"/>
      <c r="U390" s="451"/>
      <c r="V390" s="450"/>
      <c r="W390" s="450"/>
      <c r="X390" s="450"/>
      <c r="Y390" s="450"/>
      <c r="Z390" s="450"/>
    </row>
    <row r="391" spans="1:26" x14ac:dyDescent="0.25">
      <c r="A391" s="446"/>
      <c r="B391" s="446"/>
      <c r="C391" s="446" t="s">
        <v>585</v>
      </c>
      <c r="D391" s="446" t="s">
        <v>4447</v>
      </c>
      <c r="E391" s="448"/>
      <c r="F391" s="448">
        <v>32350</v>
      </c>
      <c r="G391" s="446" t="s">
        <v>4448</v>
      </c>
      <c r="H391" s="446" t="s">
        <v>4449</v>
      </c>
      <c r="I391" s="446" t="s">
        <v>3166</v>
      </c>
      <c r="J391" s="446"/>
      <c r="K391" s="446"/>
      <c r="L391" s="450"/>
      <c r="M391" s="450"/>
      <c r="N391" s="450"/>
      <c r="O391" s="450"/>
      <c r="P391" s="450"/>
      <c r="Q391" s="450"/>
      <c r="R391" s="450"/>
      <c r="S391" s="451"/>
      <c r="T391" s="450"/>
      <c r="U391" s="451"/>
      <c r="V391" s="450"/>
      <c r="W391" s="450"/>
      <c r="X391" s="450"/>
      <c r="Y391" s="450"/>
      <c r="Z391" s="450"/>
    </row>
    <row r="392" spans="1:26" x14ac:dyDescent="0.25">
      <c r="A392" s="446"/>
      <c r="B392" s="446"/>
      <c r="C392" s="446" t="s">
        <v>408</v>
      </c>
      <c r="D392" s="446" t="s">
        <v>4450</v>
      </c>
      <c r="E392" s="448"/>
      <c r="F392" s="448">
        <v>32405</v>
      </c>
      <c r="G392" s="446" t="s">
        <v>997</v>
      </c>
      <c r="H392" s="446" t="s">
        <v>998</v>
      </c>
      <c r="I392" s="446" t="s">
        <v>3166</v>
      </c>
      <c r="J392" s="446"/>
      <c r="K392" s="446"/>
      <c r="L392" s="450"/>
      <c r="M392" s="450"/>
      <c r="N392" s="450"/>
      <c r="O392" s="450"/>
      <c r="P392" s="450"/>
      <c r="Q392" s="450"/>
      <c r="R392" s="450"/>
      <c r="S392" s="451"/>
      <c r="T392" s="450"/>
      <c r="U392" s="451"/>
      <c r="V392" s="450"/>
      <c r="W392" s="450"/>
      <c r="X392" s="450"/>
      <c r="Y392" s="450"/>
      <c r="Z392" s="450"/>
    </row>
    <row r="393" spans="1:26" x14ac:dyDescent="0.25">
      <c r="A393" s="457"/>
      <c r="B393" s="446">
        <v>1</v>
      </c>
      <c r="C393" s="446" t="s">
        <v>202</v>
      </c>
      <c r="D393" s="446">
        <v>36564</v>
      </c>
      <c r="E393" s="448">
        <v>36564</v>
      </c>
      <c r="F393" s="448" t="s">
        <v>4451</v>
      </c>
      <c r="G393" s="446" t="s">
        <v>4077</v>
      </c>
      <c r="H393" s="446" t="s">
        <v>4078</v>
      </c>
      <c r="I393" s="446" t="s">
        <v>4079</v>
      </c>
      <c r="J393" s="446" t="s">
        <v>4452</v>
      </c>
      <c r="K393" s="446" t="s">
        <v>4453</v>
      </c>
      <c r="L393" s="450"/>
      <c r="M393" s="450"/>
      <c r="N393" s="450"/>
      <c r="O393" s="450"/>
      <c r="P393" s="450"/>
      <c r="Q393" s="450"/>
      <c r="R393" s="450"/>
      <c r="S393" s="451"/>
      <c r="T393" s="450"/>
      <c r="U393" s="451"/>
      <c r="V393" s="450"/>
      <c r="W393" s="450"/>
      <c r="X393" s="450"/>
      <c r="Y393" s="450"/>
      <c r="Z393" s="450"/>
    </row>
    <row r="394" spans="1:26" x14ac:dyDescent="0.25">
      <c r="A394" s="457"/>
      <c r="B394" s="446">
        <v>4</v>
      </c>
      <c r="C394" s="446" t="s">
        <v>202</v>
      </c>
      <c r="D394" s="446">
        <v>36565</v>
      </c>
      <c r="E394" s="448">
        <v>36565</v>
      </c>
      <c r="F394" s="448" t="s">
        <v>4454</v>
      </c>
      <c r="G394" s="446" t="s">
        <v>268</v>
      </c>
      <c r="H394" s="446" t="s">
        <v>205</v>
      </c>
      <c r="I394" s="446" t="s">
        <v>4455</v>
      </c>
      <c r="J394" s="446" t="s">
        <v>4452</v>
      </c>
      <c r="K394" s="446" t="s">
        <v>4456</v>
      </c>
      <c r="L394" s="450"/>
      <c r="M394" s="450"/>
      <c r="N394" s="450"/>
      <c r="O394" s="450"/>
      <c r="P394" s="450"/>
      <c r="Q394" s="450"/>
      <c r="R394" s="450"/>
      <c r="S394" s="451"/>
      <c r="T394" s="450"/>
      <c r="U394" s="451"/>
      <c r="V394" s="450"/>
      <c r="W394" s="450"/>
      <c r="X394" s="450"/>
      <c r="Y394" s="450"/>
      <c r="Z394" s="450"/>
    </row>
    <row r="395" spans="1:26" x14ac:dyDescent="0.25">
      <c r="A395" s="457"/>
      <c r="B395" s="446">
        <v>11</v>
      </c>
      <c r="C395" s="446" t="s">
        <v>202</v>
      </c>
      <c r="D395" s="446">
        <v>36566</v>
      </c>
      <c r="E395" s="448">
        <v>36566</v>
      </c>
      <c r="F395" s="448" t="s">
        <v>4457</v>
      </c>
      <c r="G395" s="446" t="s">
        <v>236</v>
      </c>
      <c r="H395" s="446" t="s">
        <v>4458</v>
      </c>
      <c r="I395" s="446" t="s">
        <v>2505</v>
      </c>
      <c r="J395" s="446" t="s">
        <v>4452</v>
      </c>
      <c r="K395" s="446" t="s">
        <v>4459</v>
      </c>
      <c r="L395" s="450"/>
      <c r="M395" s="450"/>
      <c r="N395" s="450"/>
      <c r="O395" s="450"/>
      <c r="P395" s="450"/>
      <c r="Q395" s="450"/>
      <c r="R395" s="450"/>
      <c r="S395" s="451"/>
      <c r="T395" s="450"/>
      <c r="U395" s="451"/>
      <c r="V395" s="450"/>
      <c r="W395" s="450"/>
      <c r="X395" s="450"/>
      <c r="Y395" s="450"/>
      <c r="Z395" s="450"/>
    </row>
    <row r="396" spans="1:26" x14ac:dyDescent="0.25">
      <c r="A396" s="457"/>
      <c r="B396" s="446">
        <v>12</v>
      </c>
      <c r="C396" s="446" t="s">
        <v>202</v>
      </c>
      <c r="D396" s="446">
        <v>36572</v>
      </c>
      <c r="E396" s="448">
        <v>36572</v>
      </c>
      <c r="F396" s="448" t="s">
        <v>4460</v>
      </c>
      <c r="G396" s="446" t="s">
        <v>1370</v>
      </c>
      <c r="H396" s="446" t="s">
        <v>4078</v>
      </c>
      <c r="I396" s="446" t="s">
        <v>332</v>
      </c>
      <c r="J396" s="446" t="s">
        <v>4452</v>
      </c>
      <c r="K396" s="446" t="s">
        <v>4461</v>
      </c>
      <c r="L396" s="450"/>
      <c r="M396" s="450"/>
      <c r="N396" s="450"/>
      <c r="O396" s="450"/>
      <c r="P396" s="450"/>
      <c r="Q396" s="450"/>
      <c r="R396" s="450"/>
      <c r="S396" s="451"/>
      <c r="T396" s="450"/>
      <c r="U396" s="451"/>
      <c r="V396" s="450"/>
      <c r="W396" s="450"/>
      <c r="X396" s="450"/>
      <c r="Y396" s="450"/>
      <c r="Z396" s="450"/>
    </row>
    <row r="397" spans="1:26" x14ac:dyDescent="0.25">
      <c r="A397" s="457"/>
      <c r="B397" s="446">
        <v>13</v>
      </c>
      <c r="C397" s="446" t="s">
        <v>202</v>
      </c>
      <c r="D397" s="446">
        <v>37372</v>
      </c>
      <c r="E397" s="448">
        <v>37348</v>
      </c>
      <c r="F397" s="448" t="s">
        <v>4462</v>
      </c>
      <c r="G397" s="446" t="s">
        <v>4463</v>
      </c>
      <c r="H397" s="446" t="s">
        <v>4464</v>
      </c>
      <c r="I397" s="446" t="s">
        <v>238</v>
      </c>
      <c r="J397" s="446" t="s">
        <v>4452</v>
      </c>
      <c r="K397" s="446" t="s">
        <v>4465</v>
      </c>
      <c r="L397" s="450"/>
      <c r="M397" s="450"/>
      <c r="N397" s="450"/>
      <c r="O397" s="450"/>
      <c r="P397" s="450"/>
      <c r="Q397" s="450"/>
      <c r="R397" s="450"/>
      <c r="S397" s="451"/>
      <c r="T397" s="450"/>
      <c r="U397" s="451"/>
      <c r="V397" s="450"/>
      <c r="W397" s="450"/>
      <c r="X397" s="450"/>
      <c r="Y397" s="450"/>
      <c r="Z397" s="450"/>
    </row>
    <row r="398" spans="1:26" x14ac:dyDescent="0.25">
      <c r="A398" s="457"/>
      <c r="B398" s="446">
        <v>15</v>
      </c>
      <c r="C398" s="446" t="s">
        <v>202</v>
      </c>
      <c r="D398" s="446">
        <v>37503</v>
      </c>
      <c r="E398" s="448">
        <v>37354</v>
      </c>
      <c r="F398" s="448" t="s">
        <v>4466</v>
      </c>
      <c r="G398" s="446" t="s">
        <v>872</v>
      </c>
      <c r="H398" s="446" t="s">
        <v>4464</v>
      </c>
      <c r="I398" s="446" t="s">
        <v>238</v>
      </c>
      <c r="J398" s="446" t="s">
        <v>4452</v>
      </c>
      <c r="K398" s="446" t="s">
        <v>4465</v>
      </c>
      <c r="L398" s="450"/>
      <c r="M398" s="450"/>
      <c r="N398" s="450"/>
      <c r="O398" s="450"/>
      <c r="P398" s="450"/>
      <c r="Q398" s="450"/>
      <c r="R398" s="450"/>
      <c r="S398" s="451"/>
      <c r="T398" s="450"/>
      <c r="U398" s="451"/>
      <c r="V398" s="450"/>
      <c r="W398" s="450"/>
      <c r="X398" s="450"/>
      <c r="Y398" s="450"/>
      <c r="Z398" s="450"/>
    </row>
    <row r="399" spans="1:26" x14ac:dyDescent="0.25">
      <c r="A399" s="457"/>
      <c r="B399" s="446">
        <v>16</v>
      </c>
      <c r="C399" s="446" t="s">
        <v>202</v>
      </c>
      <c r="D399" s="446">
        <v>37389</v>
      </c>
      <c r="E399" s="448">
        <v>37361</v>
      </c>
      <c r="F399" s="448" t="s">
        <v>4467</v>
      </c>
      <c r="G399" s="446" t="s">
        <v>4468</v>
      </c>
      <c r="H399" s="446" t="s">
        <v>4469</v>
      </c>
      <c r="I399" s="446" t="s">
        <v>238</v>
      </c>
      <c r="J399" s="446" t="s">
        <v>4452</v>
      </c>
      <c r="K399" s="446" t="s">
        <v>4465</v>
      </c>
      <c r="L399" s="450"/>
      <c r="M399" s="450"/>
      <c r="N399" s="450"/>
      <c r="O399" s="450"/>
      <c r="P399" s="450"/>
      <c r="Q399" s="450"/>
      <c r="R399" s="450"/>
      <c r="S399" s="451"/>
      <c r="T399" s="450"/>
      <c r="U399" s="451"/>
      <c r="V399" s="450"/>
      <c r="W399" s="450"/>
      <c r="X399" s="450"/>
      <c r="Y399" s="450"/>
      <c r="Z399" s="450"/>
    </row>
    <row r="400" spans="1:26" x14ac:dyDescent="0.25">
      <c r="A400" s="457"/>
      <c r="B400" s="446">
        <v>18</v>
      </c>
      <c r="C400" s="446" t="s">
        <v>202</v>
      </c>
      <c r="D400" s="446">
        <v>37433</v>
      </c>
      <c r="E400" s="448">
        <v>37381</v>
      </c>
      <c r="F400" s="448" t="s">
        <v>4470</v>
      </c>
      <c r="G400" s="446" t="s">
        <v>4471</v>
      </c>
      <c r="H400" s="446" t="s">
        <v>4472</v>
      </c>
      <c r="I400" s="446" t="s">
        <v>238</v>
      </c>
      <c r="J400" s="446" t="s">
        <v>4452</v>
      </c>
      <c r="K400" s="446" t="s">
        <v>4465</v>
      </c>
      <c r="L400" s="450"/>
      <c r="M400" s="450"/>
      <c r="N400" s="450"/>
      <c r="O400" s="450"/>
      <c r="P400" s="450"/>
      <c r="Q400" s="450"/>
      <c r="R400" s="450"/>
      <c r="S400" s="451"/>
      <c r="T400" s="450"/>
      <c r="U400" s="451"/>
      <c r="V400" s="450"/>
      <c r="W400" s="450"/>
      <c r="X400" s="450"/>
      <c r="Y400" s="450"/>
      <c r="Z400" s="450"/>
    </row>
    <row r="401" spans="1:26" x14ac:dyDescent="0.25">
      <c r="A401" s="457"/>
      <c r="B401" s="446">
        <v>20</v>
      </c>
      <c r="C401" s="446" t="s">
        <v>202</v>
      </c>
      <c r="D401" s="446">
        <v>37484</v>
      </c>
      <c r="E401" s="448">
        <v>37425</v>
      </c>
      <c r="F401" s="448" t="s">
        <v>4473</v>
      </c>
      <c r="G401" s="446" t="s">
        <v>4474</v>
      </c>
      <c r="H401" s="446" t="s">
        <v>4472</v>
      </c>
      <c r="I401" s="446" t="s">
        <v>238</v>
      </c>
      <c r="J401" s="446" t="s">
        <v>4452</v>
      </c>
      <c r="K401" s="446" t="s">
        <v>4465</v>
      </c>
      <c r="L401" s="450"/>
      <c r="M401" s="450"/>
      <c r="N401" s="450"/>
      <c r="O401" s="450"/>
      <c r="P401" s="450"/>
      <c r="Q401" s="450"/>
      <c r="R401" s="450"/>
      <c r="S401" s="451"/>
      <c r="T401" s="450"/>
      <c r="U401" s="451"/>
      <c r="V401" s="450"/>
      <c r="W401" s="450"/>
      <c r="X401" s="450"/>
      <c r="Y401" s="450"/>
      <c r="Z401" s="450"/>
    </row>
    <row r="402" spans="1:26" x14ac:dyDescent="0.25">
      <c r="A402" s="457"/>
      <c r="B402" s="446">
        <v>21</v>
      </c>
      <c r="C402" s="446" t="s">
        <v>202</v>
      </c>
      <c r="D402" s="446">
        <v>37525</v>
      </c>
      <c r="E402" s="448">
        <v>37496</v>
      </c>
      <c r="F402" s="448" t="s">
        <v>4475</v>
      </c>
      <c r="G402" s="446" t="s">
        <v>4476</v>
      </c>
      <c r="H402" s="446" t="s">
        <v>4472</v>
      </c>
      <c r="I402" s="446" t="s">
        <v>238</v>
      </c>
      <c r="J402" s="446" t="s">
        <v>4452</v>
      </c>
      <c r="K402" s="446" t="s">
        <v>4465</v>
      </c>
      <c r="L402" s="450"/>
      <c r="M402" s="450"/>
      <c r="N402" s="450"/>
      <c r="O402" s="450"/>
      <c r="P402" s="450"/>
      <c r="Q402" s="450"/>
      <c r="R402" s="450"/>
      <c r="S402" s="451"/>
      <c r="T402" s="450"/>
      <c r="U402" s="451"/>
      <c r="V402" s="450"/>
      <c r="W402" s="450"/>
      <c r="X402" s="450"/>
      <c r="Y402" s="450"/>
      <c r="Z402" s="450"/>
    </row>
    <row r="403" spans="1:26" x14ac:dyDescent="0.25">
      <c r="A403" s="457"/>
      <c r="B403" s="446">
        <v>22</v>
      </c>
      <c r="C403" s="446" t="s">
        <v>202</v>
      </c>
      <c r="D403" s="446">
        <v>38029</v>
      </c>
      <c r="E403" s="448">
        <v>38000</v>
      </c>
      <c r="F403" s="448" t="s">
        <v>4477</v>
      </c>
      <c r="G403" s="446" t="s">
        <v>4478</v>
      </c>
      <c r="H403" s="446" t="s">
        <v>205</v>
      </c>
      <c r="I403" s="446" t="s">
        <v>238</v>
      </c>
      <c r="J403" s="446" t="s">
        <v>4452</v>
      </c>
      <c r="K403" s="446" t="s">
        <v>4465</v>
      </c>
      <c r="L403" s="450"/>
      <c r="M403" s="450"/>
      <c r="N403" s="450"/>
      <c r="O403" s="450"/>
      <c r="P403" s="450"/>
      <c r="Q403" s="450"/>
      <c r="R403" s="450"/>
      <c r="S403" s="451"/>
      <c r="T403" s="450"/>
      <c r="U403" s="451"/>
      <c r="V403" s="450"/>
      <c r="W403" s="450"/>
      <c r="X403" s="450"/>
      <c r="Y403" s="450"/>
      <c r="Z403" s="450"/>
    </row>
    <row r="404" spans="1:26" x14ac:dyDescent="0.25">
      <c r="A404" s="457"/>
      <c r="B404" s="446">
        <v>24</v>
      </c>
      <c r="C404" s="446" t="s">
        <v>202</v>
      </c>
      <c r="D404" s="446">
        <v>38049</v>
      </c>
      <c r="E404" s="448">
        <v>38023</v>
      </c>
      <c r="F404" s="448" t="s">
        <v>4479</v>
      </c>
      <c r="G404" s="446" t="s">
        <v>4480</v>
      </c>
      <c r="H404" s="446" t="s">
        <v>205</v>
      </c>
      <c r="I404" s="446" t="s">
        <v>238</v>
      </c>
      <c r="J404" s="446" t="s">
        <v>4452</v>
      </c>
      <c r="K404" s="446" t="s">
        <v>4465</v>
      </c>
      <c r="L404" s="450"/>
      <c r="M404" s="450"/>
      <c r="N404" s="450"/>
      <c r="O404" s="450"/>
      <c r="P404" s="450"/>
      <c r="Q404" s="450"/>
      <c r="R404" s="450"/>
      <c r="S404" s="451"/>
      <c r="T404" s="450"/>
      <c r="U404" s="451"/>
      <c r="V404" s="450"/>
      <c r="W404" s="450"/>
      <c r="X404" s="450"/>
      <c r="Y404" s="450"/>
      <c r="Z404" s="450"/>
    </row>
    <row r="405" spans="1:26" x14ac:dyDescent="0.25">
      <c r="A405" s="457"/>
      <c r="B405" s="446">
        <v>25</v>
      </c>
      <c r="C405" s="446" t="s">
        <v>202</v>
      </c>
      <c r="D405" s="446">
        <v>38027</v>
      </c>
      <c r="E405" s="448">
        <v>38026</v>
      </c>
      <c r="F405" s="448" t="s">
        <v>4481</v>
      </c>
      <c r="G405" s="446" t="s">
        <v>4482</v>
      </c>
      <c r="H405" s="446" t="s">
        <v>205</v>
      </c>
      <c r="I405" s="446" t="s">
        <v>238</v>
      </c>
      <c r="J405" s="446" t="s">
        <v>4452</v>
      </c>
      <c r="K405" s="446" t="s">
        <v>4465</v>
      </c>
      <c r="L405" s="450"/>
      <c r="M405" s="450"/>
      <c r="N405" s="450"/>
      <c r="O405" s="450"/>
      <c r="P405" s="450"/>
      <c r="Q405" s="450"/>
      <c r="R405" s="450"/>
      <c r="S405" s="451"/>
      <c r="T405" s="450"/>
      <c r="U405" s="451"/>
      <c r="V405" s="450"/>
      <c r="W405" s="450"/>
      <c r="X405" s="450"/>
      <c r="Y405" s="450"/>
      <c r="Z405" s="450"/>
    </row>
    <row r="406" spans="1:26" x14ac:dyDescent="0.25">
      <c r="A406" s="457"/>
      <c r="B406" s="446">
        <v>26</v>
      </c>
      <c r="C406" s="446" t="s">
        <v>202</v>
      </c>
      <c r="D406" s="446">
        <v>38504</v>
      </c>
      <c r="E406" s="448">
        <v>38441</v>
      </c>
      <c r="F406" s="448" t="s">
        <v>4483</v>
      </c>
      <c r="G406" s="446" t="s">
        <v>4484</v>
      </c>
      <c r="H406" s="446" t="s">
        <v>4469</v>
      </c>
      <c r="I406" s="446" t="s">
        <v>238</v>
      </c>
      <c r="J406" s="446" t="s">
        <v>4452</v>
      </c>
      <c r="K406" s="446" t="s">
        <v>4465</v>
      </c>
      <c r="L406" s="450"/>
      <c r="M406" s="450"/>
      <c r="N406" s="450"/>
      <c r="O406" s="450"/>
      <c r="P406" s="450"/>
      <c r="Q406" s="450"/>
      <c r="R406" s="450"/>
      <c r="S406" s="451"/>
      <c r="T406" s="450"/>
      <c r="U406" s="451"/>
      <c r="V406" s="450"/>
      <c r="W406" s="450"/>
      <c r="X406" s="450"/>
      <c r="Y406" s="450"/>
      <c r="Z406" s="450"/>
    </row>
    <row r="407" spans="1:26" x14ac:dyDescent="0.25">
      <c r="A407" s="457"/>
      <c r="B407" s="446">
        <v>27</v>
      </c>
      <c r="C407" s="446" t="s">
        <v>202</v>
      </c>
      <c r="D407" s="446">
        <v>38551</v>
      </c>
      <c r="E407" s="448">
        <v>38468</v>
      </c>
      <c r="F407" s="448" t="s">
        <v>4485</v>
      </c>
      <c r="G407" s="446" t="s">
        <v>4486</v>
      </c>
      <c r="H407" s="446" t="s">
        <v>4464</v>
      </c>
      <c r="I407" s="446" t="s">
        <v>238</v>
      </c>
      <c r="J407" s="446" t="s">
        <v>4452</v>
      </c>
      <c r="K407" s="446" t="s">
        <v>4465</v>
      </c>
      <c r="L407" s="450"/>
      <c r="M407" s="450"/>
      <c r="N407" s="450"/>
      <c r="O407" s="450"/>
      <c r="P407" s="450"/>
      <c r="Q407" s="450"/>
      <c r="R407" s="450"/>
      <c r="S407" s="451"/>
      <c r="T407" s="450"/>
      <c r="U407" s="451"/>
      <c r="V407" s="450"/>
      <c r="W407" s="450"/>
      <c r="X407" s="450"/>
      <c r="Y407" s="450"/>
      <c r="Z407" s="450"/>
    </row>
    <row r="408" spans="1:26" x14ac:dyDescent="0.25">
      <c r="A408" s="457"/>
      <c r="B408" s="446">
        <v>28</v>
      </c>
      <c r="C408" s="446" t="s">
        <v>202</v>
      </c>
      <c r="D408" s="446">
        <v>38541</v>
      </c>
      <c r="E408" s="448">
        <v>38482</v>
      </c>
      <c r="F408" s="448" t="s">
        <v>4487</v>
      </c>
      <c r="G408" s="446" t="s">
        <v>4488</v>
      </c>
      <c r="H408" s="446" t="s">
        <v>4469</v>
      </c>
      <c r="I408" s="446" t="s">
        <v>238</v>
      </c>
      <c r="J408" s="446" t="s">
        <v>4452</v>
      </c>
      <c r="K408" s="446" t="s">
        <v>4465</v>
      </c>
      <c r="L408" s="450"/>
      <c r="M408" s="450"/>
      <c r="N408" s="450"/>
      <c r="O408" s="450"/>
      <c r="P408" s="450"/>
      <c r="Q408" s="450"/>
      <c r="R408" s="450"/>
      <c r="S408" s="451"/>
      <c r="T408" s="450"/>
      <c r="U408" s="451"/>
      <c r="V408" s="450"/>
      <c r="W408" s="450"/>
      <c r="X408" s="450"/>
      <c r="Y408" s="450"/>
      <c r="Z408" s="450"/>
    </row>
    <row r="409" spans="1:26" x14ac:dyDescent="0.25">
      <c r="A409" s="457"/>
      <c r="B409" s="446">
        <v>29</v>
      </c>
      <c r="C409" s="446" t="s">
        <v>202</v>
      </c>
      <c r="D409" s="446">
        <v>38709</v>
      </c>
      <c r="E409" s="448">
        <v>38621</v>
      </c>
      <c r="F409" s="448" t="s">
        <v>4489</v>
      </c>
      <c r="G409" s="446" t="s">
        <v>4490</v>
      </c>
      <c r="H409" s="446" t="s">
        <v>343</v>
      </c>
      <c r="I409" s="446" t="s">
        <v>238</v>
      </c>
      <c r="J409" s="446" t="s">
        <v>4452</v>
      </c>
      <c r="K409" s="446" t="s">
        <v>4465</v>
      </c>
      <c r="L409" s="450"/>
      <c r="M409" s="450"/>
      <c r="N409" s="450"/>
      <c r="O409" s="450"/>
      <c r="P409" s="450"/>
      <c r="Q409" s="450"/>
      <c r="R409" s="450"/>
      <c r="S409" s="451"/>
      <c r="T409" s="450"/>
      <c r="U409" s="451"/>
      <c r="V409" s="450"/>
      <c r="W409" s="450"/>
      <c r="X409" s="450"/>
      <c r="Y409" s="450"/>
      <c r="Z409" s="450"/>
    </row>
    <row r="410" spans="1:26" x14ac:dyDescent="0.25">
      <c r="A410" s="457"/>
      <c r="B410" s="446">
        <v>30</v>
      </c>
      <c r="C410" s="446" t="s">
        <v>202</v>
      </c>
      <c r="D410" s="446">
        <v>38701</v>
      </c>
      <c r="E410" s="448">
        <v>38636</v>
      </c>
      <c r="F410" s="448" t="s">
        <v>4491</v>
      </c>
      <c r="G410" s="446" t="s">
        <v>4492</v>
      </c>
      <c r="H410" s="446" t="s">
        <v>4493</v>
      </c>
      <c r="I410" s="446" t="s">
        <v>238</v>
      </c>
      <c r="J410" s="446" t="s">
        <v>4452</v>
      </c>
      <c r="K410" s="446" t="s">
        <v>4465</v>
      </c>
      <c r="L410" s="450"/>
      <c r="M410" s="450"/>
      <c r="N410" s="450"/>
      <c r="O410" s="450"/>
      <c r="P410" s="450"/>
      <c r="Q410" s="450"/>
      <c r="R410" s="450"/>
      <c r="S410" s="451"/>
      <c r="T410" s="450"/>
      <c r="U410" s="451"/>
      <c r="V410" s="450"/>
      <c r="W410" s="450"/>
      <c r="X410" s="450"/>
      <c r="Y410" s="450"/>
      <c r="Z410" s="450"/>
    </row>
    <row r="411" spans="1:26" x14ac:dyDescent="0.25">
      <c r="A411" s="457"/>
      <c r="B411" s="446">
        <v>33</v>
      </c>
      <c r="C411" s="446" t="s">
        <v>202</v>
      </c>
      <c r="D411" s="446">
        <v>38754</v>
      </c>
      <c r="E411" s="448">
        <v>38658</v>
      </c>
      <c r="F411" s="448" t="s">
        <v>4494</v>
      </c>
      <c r="G411" s="446" t="s">
        <v>4468</v>
      </c>
      <c r="H411" s="446" t="s">
        <v>4495</v>
      </c>
      <c r="I411" s="446" t="s">
        <v>238</v>
      </c>
      <c r="J411" s="446" t="s">
        <v>4452</v>
      </c>
      <c r="K411" s="446" t="s">
        <v>4465</v>
      </c>
      <c r="L411" s="450"/>
      <c r="M411" s="450"/>
      <c r="N411" s="450"/>
      <c r="O411" s="450"/>
      <c r="P411" s="450"/>
      <c r="Q411" s="450"/>
      <c r="R411" s="450"/>
      <c r="S411" s="451"/>
      <c r="T411" s="450"/>
      <c r="U411" s="451"/>
      <c r="V411" s="450"/>
      <c r="W411" s="450"/>
      <c r="X411" s="450"/>
      <c r="Y411" s="450"/>
      <c r="Z411" s="450"/>
    </row>
    <row r="412" spans="1:26" x14ac:dyDescent="0.25">
      <c r="A412" s="457"/>
      <c r="B412" s="446">
        <v>36</v>
      </c>
      <c r="C412" s="446" t="s">
        <v>202</v>
      </c>
      <c r="D412" s="446">
        <v>38733</v>
      </c>
      <c r="E412" s="448">
        <v>38709</v>
      </c>
      <c r="F412" s="448" t="s">
        <v>4496</v>
      </c>
      <c r="G412" s="446" t="s">
        <v>4463</v>
      </c>
      <c r="H412" s="446" t="s">
        <v>3140</v>
      </c>
      <c r="I412" s="446" t="s">
        <v>238</v>
      </c>
      <c r="J412" s="446" t="s">
        <v>4452</v>
      </c>
      <c r="K412" s="446" t="s">
        <v>4465</v>
      </c>
      <c r="L412" s="450"/>
      <c r="M412" s="450"/>
      <c r="N412" s="450"/>
      <c r="O412" s="450"/>
      <c r="P412" s="450"/>
      <c r="Q412" s="450"/>
      <c r="R412" s="450"/>
      <c r="S412" s="451"/>
      <c r="T412" s="450"/>
      <c r="U412" s="451"/>
      <c r="V412" s="450"/>
      <c r="W412" s="450"/>
      <c r="X412" s="450"/>
      <c r="Y412" s="450"/>
      <c r="Z412" s="450"/>
    </row>
    <row r="413" spans="1:26" x14ac:dyDescent="0.25">
      <c r="A413" s="457"/>
      <c r="B413" s="446">
        <v>37</v>
      </c>
      <c r="C413" s="446" t="s">
        <v>202</v>
      </c>
      <c r="D413" s="446">
        <v>38742</v>
      </c>
      <c r="E413" s="448">
        <v>38726</v>
      </c>
      <c r="F413" s="448" t="s">
        <v>4497</v>
      </c>
      <c r="G413" s="446" t="s">
        <v>4498</v>
      </c>
      <c r="H413" s="446" t="s">
        <v>361</v>
      </c>
      <c r="I413" s="446" t="s">
        <v>238</v>
      </c>
      <c r="J413" s="446" t="s">
        <v>4452</v>
      </c>
      <c r="K413" s="446" t="s">
        <v>4465</v>
      </c>
      <c r="L413" s="450"/>
      <c r="M413" s="450"/>
      <c r="N413" s="450"/>
      <c r="O413" s="450"/>
      <c r="P413" s="450"/>
      <c r="Q413" s="450"/>
      <c r="R413" s="450"/>
      <c r="S413" s="451"/>
      <c r="T413" s="450"/>
      <c r="U413" s="451"/>
      <c r="V413" s="450"/>
      <c r="W413" s="450"/>
      <c r="X413" s="450"/>
      <c r="Y413" s="450"/>
      <c r="Z413" s="450"/>
    </row>
    <row r="414" spans="1:26" x14ac:dyDescent="0.25">
      <c r="A414" s="457"/>
      <c r="B414" s="446">
        <v>38</v>
      </c>
      <c r="C414" s="446" t="s">
        <v>202</v>
      </c>
      <c r="D414" s="446">
        <v>38747</v>
      </c>
      <c r="E414" s="448">
        <v>38733</v>
      </c>
      <c r="F414" s="448" t="s">
        <v>4499</v>
      </c>
      <c r="G414" s="446" t="s">
        <v>4500</v>
      </c>
      <c r="H414" s="446" t="s">
        <v>366</v>
      </c>
      <c r="I414" s="446" t="s">
        <v>238</v>
      </c>
      <c r="J414" s="446" t="s">
        <v>4452</v>
      </c>
      <c r="K414" s="446" t="s">
        <v>4465</v>
      </c>
      <c r="L414" s="450"/>
      <c r="M414" s="450"/>
      <c r="N414" s="450"/>
      <c r="O414" s="450"/>
      <c r="P414" s="450"/>
      <c r="Q414" s="450"/>
      <c r="R414" s="450"/>
      <c r="S414" s="451"/>
      <c r="T414" s="450"/>
      <c r="U414" s="451"/>
      <c r="V414" s="450"/>
      <c r="W414" s="450"/>
      <c r="X414" s="450"/>
      <c r="Y414" s="450"/>
      <c r="Z414" s="450"/>
    </row>
    <row r="415" spans="1:26" x14ac:dyDescent="0.25">
      <c r="A415" s="457"/>
      <c r="B415" s="446">
        <v>39</v>
      </c>
      <c r="C415" s="446" t="s">
        <v>202</v>
      </c>
      <c r="D415" s="446">
        <v>38792</v>
      </c>
      <c r="E415" s="448">
        <v>38761</v>
      </c>
      <c r="F415" s="448" t="s">
        <v>4501</v>
      </c>
      <c r="G415" s="446" t="s">
        <v>372</v>
      </c>
      <c r="H415" s="446" t="s">
        <v>361</v>
      </c>
      <c r="I415" s="446" t="s">
        <v>238</v>
      </c>
      <c r="J415" s="446" t="s">
        <v>4452</v>
      </c>
      <c r="K415" s="446" t="s">
        <v>4465</v>
      </c>
      <c r="L415" s="450"/>
      <c r="M415" s="450"/>
      <c r="N415" s="450"/>
      <c r="O415" s="450"/>
      <c r="P415" s="450"/>
      <c r="Q415" s="450"/>
      <c r="R415" s="450"/>
      <c r="S415" s="451"/>
      <c r="T415" s="450"/>
      <c r="U415" s="451"/>
      <c r="V415" s="450"/>
      <c r="W415" s="450"/>
      <c r="X415" s="450"/>
      <c r="Y415" s="450"/>
      <c r="Z415" s="450"/>
    </row>
    <row r="416" spans="1:26" x14ac:dyDescent="0.25">
      <c r="A416" s="457"/>
      <c r="B416" s="446">
        <v>40</v>
      </c>
      <c r="C416" s="446" t="s">
        <v>1456</v>
      </c>
      <c r="D416" s="446">
        <v>39336</v>
      </c>
      <c r="E416" s="448">
        <v>39336</v>
      </c>
      <c r="F416" s="448" t="s">
        <v>3037</v>
      </c>
      <c r="G416" s="446" t="s">
        <v>4502</v>
      </c>
      <c r="H416" s="446" t="s">
        <v>4503</v>
      </c>
      <c r="I416" s="446" t="s">
        <v>332</v>
      </c>
      <c r="J416" s="446" t="s">
        <v>2489</v>
      </c>
      <c r="K416" s="446" t="s">
        <v>4504</v>
      </c>
      <c r="L416" s="450"/>
      <c r="M416" s="450"/>
      <c r="N416" s="450"/>
      <c r="O416" s="450"/>
      <c r="P416" s="450"/>
      <c r="Q416" s="450"/>
      <c r="R416" s="450"/>
      <c r="S416" s="451"/>
      <c r="T416" s="450"/>
      <c r="U416" s="451"/>
      <c r="V416" s="450"/>
      <c r="W416" s="450"/>
      <c r="X416" s="450"/>
      <c r="Y416" s="450"/>
      <c r="Z416" s="450"/>
    </row>
    <row r="417" spans="1:26" x14ac:dyDescent="0.25">
      <c r="A417" s="457"/>
      <c r="B417" s="446">
        <v>41</v>
      </c>
      <c r="C417" s="446" t="s">
        <v>2189</v>
      </c>
      <c r="D417" s="446">
        <v>41190</v>
      </c>
      <c r="E417" s="448">
        <v>41190</v>
      </c>
      <c r="F417" s="448" t="s">
        <v>4505</v>
      </c>
      <c r="G417" s="446" t="s">
        <v>4125</v>
      </c>
      <c r="H417" s="446" t="s">
        <v>4506</v>
      </c>
      <c r="I417" s="446" t="s">
        <v>4507</v>
      </c>
      <c r="J417" s="446" t="s">
        <v>2194</v>
      </c>
      <c r="K417" s="446" t="s">
        <v>4508</v>
      </c>
      <c r="L417" s="450"/>
      <c r="M417" s="450"/>
      <c r="N417" s="450"/>
      <c r="O417" s="450"/>
      <c r="P417" s="450"/>
      <c r="Q417" s="450"/>
      <c r="R417" s="450"/>
      <c r="S417" s="451"/>
      <c r="T417" s="450"/>
      <c r="U417" s="451"/>
      <c r="V417" s="450"/>
      <c r="W417" s="450"/>
      <c r="X417" s="450"/>
      <c r="Y417" s="450"/>
      <c r="Z417" s="450"/>
    </row>
    <row r="418" spans="1:26" x14ac:dyDescent="0.25">
      <c r="A418" s="457"/>
      <c r="B418" s="446">
        <v>42</v>
      </c>
      <c r="C418" s="446" t="s">
        <v>2189</v>
      </c>
      <c r="D418" s="446">
        <v>41387</v>
      </c>
      <c r="E418" s="448">
        <v>41387</v>
      </c>
      <c r="F418" s="448" t="s">
        <v>4509</v>
      </c>
      <c r="G418" s="446" t="s">
        <v>2191</v>
      </c>
      <c r="H418" s="446" t="s">
        <v>2192</v>
      </c>
      <c r="I418" s="446" t="s">
        <v>2193</v>
      </c>
      <c r="J418" s="446" t="s">
        <v>2194</v>
      </c>
      <c r="K418" s="446" t="s">
        <v>4510</v>
      </c>
      <c r="L418" s="450"/>
      <c r="M418" s="450"/>
      <c r="N418" s="450"/>
      <c r="O418" s="450"/>
      <c r="P418" s="450"/>
      <c r="Q418" s="450"/>
      <c r="R418" s="450"/>
      <c r="S418" s="451"/>
      <c r="T418" s="450"/>
      <c r="U418" s="451"/>
      <c r="V418" s="450"/>
      <c r="W418" s="450"/>
      <c r="X418" s="450"/>
      <c r="Y418" s="450"/>
      <c r="Z418" s="450"/>
    </row>
    <row r="419" spans="1:26" x14ac:dyDescent="0.25">
      <c r="A419" s="457"/>
      <c r="B419" s="446">
        <v>43</v>
      </c>
      <c r="C419" s="446" t="s">
        <v>1160</v>
      </c>
      <c r="D419" s="446">
        <v>42593</v>
      </c>
      <c r="E419" s="448">
        <v>42593</v>
      </c>
      <c r="F419" s="448" t="s">
        <v>4511</v>
      </c>
      <c r="G419" s="446" t="s">
        <v>361</v>
      </c>
      <c r="H419" s="446" t="s">
        <v>4131</v>
      </c>
      <c r="I419" s="446" t="s">
        <v>4512</v>
      </c>
      <c r="J419" s="446" t="s">
        <v>4513</v>
      </c>
      <c r="K419" s="446" t="s">
        <v>4514</v>
      </c>
      <c r="L419" s="450"/>
      <c r="M419" s="450"/>
      <c r="N419" s="450"/>
      <c r="O419" s="450"/>
      <c r="P419" s="450"/>
      <c r="Q419" s="450"/>
      <c r="R419" s="450"/>
      <c r="S419" s="451"/>
      <c r="T419" s="450"/>
      <c r="U419" s="451"/>
      <c r="V419" s="450"/>
      <c r="W419" s="450"/>
      <c r="X419" s="450"/>
      <c r="Y419" s="450"/>
      <c r="Z419" s="450"/>
    </row>
    <row r="420" spans="1:26" x14ac:dyDescent="0.25">
      <c r="A420" s="457"/>
      <c r="B420" s="446">
        <v>46</v>
      </c>
      <c r="C420" s="446" t="s">
        <v>1456</v>
      </c>
      <c r="D420" s="446">
        <v>42719</v>
      </c>
      <c r="E420" s="448">
        <v>42719</v>
      </c>
      <c r="F420" s="448" t="s">
        <v>3039</v>
      </c>
      <c r="G420" s="446" t="s">
        <v>4515</v>
      </c>
      <c r="H420" s="446" t="s">
        <v>2076</v>
      </c>
      <c r="I420" s="446" t="s">
        <v>2505</v>
      </c>
      <c r="J420" s="446" t="s">
        <v>2489</v>
      </c>
      <c r="K420" s="446" t="s">
        <v>4516</v>
      </c>
      <c r="L420" s="450"/>
      <c r="M420" s="450"/>
      <c r="N420" s="450"/>
      <c r="O420" s="450"/>
      <c r="P420" s="450"/>
      <c r="Q420" s="450"/>
      <c r="R420" s="450"/>
      <c r="S420" s="451"/>
      <c r="T420" s="450"/>
      <c r="U420" s="451"/>
      <c r="V420" s="450"/>
      <c r="W420" s="450"/>
      <c r="X420" s="450"/>
      <c r="Y420" s="450"/>
      <c r="Z420" s="450"/>
    </row>
    <row r="421" spans="1:26" x14ac:dyDescent="0.25">
      <c r="A421" s="457"/>
      <c r="B421" s="446">
        <v>47</v>
      </c>
      <c r="C421" s="446" t="s">
        <v>1456</v>
      </c>
      <c r="D421" s="446">
        <v>42723</v>
      </c>
      <c r="E421" s="448">
        <v>42723</v>
      </c>
      <c r="F421" s="448" t="s">
        <v>4517</v>
      </c>
      <c r="G421" s="446" t="s">
        <v>4518</v>
      </c>
      <c r="H421" s="446" t="s">
        <v>1909</v>
      </c>
      <c r="I421" s="446" t="s">
        <v>4519</v>
      </c>
      <c r="J421" s="446" t="s">
        <v>2489</v>
      </c>
      <c r="K421" s="446" t="s">
        <v>4520</v>
      </c>
      <c r="L421" s="450"/>
      <c r="M421" s="450"/>
      <c r="N421" s="450"/>
      <c r="O421" s="450"/>
      <c r="P421" s="450"/>
      <c r="Q421" s="450"/>
      <c r="R421" s="450"/>
      <c r="S421" s="451"/>
      <c r="T421" s="450"/>
      <c r="U421" s="451"/>
      <c r="V421" s="450"/>
      <c r="W421" s="450"/>
      <c r="X421" s="450"/>
      <c r="Y421" s="450"/>
      <c r="Z421" s="450"/>
    </row>
    <row r="422" spans="1:26" x14ac:dyDescent="0.25">
      <c r="A422" s="457"/>
      <c r="B422" s="446">
        <v>48</v>
      </c>
      <c r="C422" s="446" t="s">
        <v>1456</v>
      </c>
      <c r="D422" s="446">
        <v>42752</v>
      </c>
      <c r="E422" s="448">
        <v>42752</v>
      </c>
      <c r="F422" s="448" t="s">
        <v>3040</v>
      </c>
      <c r="G422" s="446" t="s">
        <v>4521</v>
      </c>
      <c r="H422" s="446" t="s">
        <v>2382</v>
      </c>
      <c r="I422" s="446" t="s">
        <v>4522</v>
      </c>
      <c r="J422" s="446" t="s">
        <v>2489</v>
      </c>
      <c r="K422" s="446" t="s">
        <v>4523</v>
      </c>
      <c r="L422" s="450"/>
      <c r="M422" s="450"/>
      <c r="N422" s="450"/>
      <c r="O422" s="450"/>
      <c r="P422" s="450"/>
      <c r="Q422" s="450"/>
      <c r="R422" s="450"/>
      <c r="S422" s="451"/>
      <c r="T422" s="450"/>
      <c r="U422" s="451"/>
      <c r="V422" s="450"/>
      <c r="W422" s="450"/>
      <c r="X422" s="450"/>
      <c r="Y422" s="450"/>
      <c r="Z422" s="450"/>
    </row>
    <row r="423" spans="1:26" x14ac:dyDescent="0.25">
      <c r="A423" s="457"/>
      <c r="B423" s="446">
        <v>49</v>
      </c>
      <c r="C423" s="446" t="s">
        <v>619</v>
      </c>
      <c r="D423" s="446">
        <v>42858</v>
      </c>
      <c r="E423" s="448">
        <v>42858</v>
      </c>
      <c r="F423" s="448" t="s">
        <v>3320</v>
      </c>
      <c r="G423" s="446" t="s">
        <v>4524</v>
      </c>
      <c r="H423" s="446" t="s">
        <v>4525</v>
      </c>
      <c r="I423" s="446" t="s">
        <v>4526</v>
      </c>
      <c r="J423" s="446" t="s">
        <v>4527</v>
      </c>
      <c r="K423" s="446" t="s">
        <v>4528</v>
      </c>
      <c r="L423" s="450"/>
      <c r="M423" s="450"/>
      <c r="N423" s="450"/>
      <c r="O423" s="450"/>
      <c r="P423" s="450"/>
      <c r="Q423" s="450"/>
      <c r="R423" s="450"/>
      <c r="S423" s="451"/>
      <c r="T423" s="450"/>
      <c r="U423" s="451"/>
      <c r="V423" s="450"/>
      <c r="W423" s="450"/>
      <c r="X423" s="450"/>
      <c r="Y423" s="450"/>
      <c r="Z423" s="450"/>
    </row>
    <row r="424" spans="1:26" x14ac:dyDescent="0.25">
      <c r="A424" s="457"/>
      <c r="B424" s="446">
        <v>50</v>
      </c>
      <c r="C424" s="446" t="s">
        <v>1181</v>
      </c>
      <c r="D424" s="446">
        <v>43088</v>
      </c>
      <c r="E424" s="448">
        <v>43088</v>
      </c>
      <c r="F424" s="448" t="s">
        <v>4529</v>
      </c>
      <c r="G424" s="446" t="s">
        <v>2371</v>
      </c>
      <c r="H424" s="446" t="s">
        <v>4530</v>
      </c>
      <c r="I424" s="446" t="s">
        <v>2505</v>
      </c>
      <c r="J424" s="446" t="s">
        <v>4531</v>
      </c>
      <c r="K424" s="446" t="s">
        <v>4532</v>
      </c>
      <c r="L424" s="450"/>
      <c r="M424" s="450"/>
      <c r="N424" s="450"/>
      <c r="O424" s="450"/>
      <c r="P424" s="450"/>
      <c r="Q424" s="450"/>
      <c r="R424" s="450"/>
      <c r="S424" s="451"/>
      <c r="T424" s="450"/>
      <c r="U424" s="451"/>
      <c r="V424" s="450"/>
      <c r="W424" s="450"/>
      <c r="X424" s="450"/>
      <c r="Y424" s="450"/>
      <c r="Z424" s="450"/>
    </row>
    <row r="425" spans="1:26" x14ac:dyDescent="0.25">
      <c r="A425" s="457"/>
      <c r="B425" s="446">
        <v>51</v>
      </c>
      <c r="C425" s="446" t="s">
        <v>1456</v>
      </c>
      <c r="D425" s="446">
        <v>43119</v>
      </c>
      <c r="E425" s="448">
        <v>43119</v>
      </c>
      <c r="F425" s="448" t="s">
        <v>3041</v>
      </c>
      <c r="G425" s="446" t="s">
        <v>2401</v>
      </c>
      <c r="H425" s="446" t="s">
        <v>2287</v>
      </c>
      <c r="I425" s="446" t="s">
        <v>3313</v>
      </c>
      <c r="J425" s="446" t="s">
        <v>2489</v>
      </c>
      <c r="K425" s="446" t="s">
        <v>4528</v>
      </c>
      <c r="L425" s="450"/>
      <c r="M425" s="450"/>
      <c r="N425" s="450"/>
      <c r="O425" s="450"/>
      <c r="P425" s="450"/>
      <c r="Q425" s="450"/>
      <c r="R425" s="450"/>
      <c r="S425" s="451"/>
      <c r="T425" s="450"/>
      <c r="U425" s="451"/>
      <c r="V425" s="450"/>
      <c r="W425" s="450"/>
      <c r="X425" s="450"/>
      <c r="Y425" s="450"/>
      <c r="Z425" s="450"/>
    </row>
    <row r="426" spans="1:26" x14ac:dyDescent="0.25">
      <c r="A426" s="457"/>
      <c r="B426" s="446">
        <v>52</v>
      </c>
      <c r="C426" s="446" t="s">
        <v>2189</v>
      </c>
      <c r="D426" s="446">
        <v>43327</v>
      </c>
      <c r="E426" s="448">
        <v>43327</v>
      </c>
      <c r="F426" s="448" t="s">
        <v>4533</v>
      </c>
      <c r="G426" s="446" t="s">
        <v>4534</v>
      </c>
      <c r="H426" s="446" t="s">
        <v>4535</v>
      </c>
      <c r="I426" s="446" t="s">
        <v>4536</v>
      </c>
      <c r="J426" s="446" t="s">
        <v>2194</v>
      </c>
      <c r="K426" s="446" t="s">
        <v>4537</v>
      </c>
      <c r="L426" s="450"/>
      <c r="M426" s="450"/>
      <c r="N426" s="450"/>
      <c r="O426" s="450"/>
      <c r="P426" s="450"/>
      <c r="Q426" s="450"/>
      <c r="R426" s="450"/>
      <c r="S426" s="451"/>
      <c r="T426" s="450"/>
      <c r="U426" s="451"/>
      <c r="V426" s="450"/>
      <c r="W426" s="450"/>
      <c r="X426" s="450"/>
      <c r="Y426" s="450"/>
      <c r="Z426" s="450"/>
    </row>
    <row r="427" spans="1:26" x14ac:dyDescent="0.25">
      <c r="A427" s="457"/>
      <c r="B427" s="446">
        <v>53</v>
      </c>
      <c r="C427" s="446" t="s">
        <v>1160</v>
      </c>
      <c r="D427" s="446">
        <v>43382</v>
      </c>
      <c r="E427" s="448">
        <v>43382</v>
      </c>
      <c r="F427" s="448" t="s">
        <v>3306</v>
      </c>
      <c r="G427" s="446" t="s">
        <v>4538</v>
      </c>
      <c r="H427" s="446" t="s">
        <v>4539</v>
      </c>
      <c r="I427" s="446" t="s">
        <v>883</v>
      </c>
      <c r="J427" s="446" t="s">
        <v>4513</v>
      </c>
      <c r="K427" s="446" t="s">
        <v>4528</v>
      </c>
      <c r="L427" s="450"/>
      <c r="M427" s="450"/>
      <c r="N427" s="450"/>
      <c r="O427" s="450"/>
      <c r="P427" s="450"/>
      <c r="Q427" s="450"/>
      <c r="R427" s="450"/>
      <c r="S427" s="451"/>
      <c r="T427" s="450"/>
      <c r="U427" s="451"/>
      <c r="V427" s="450"/>
      <c r="W427" s="450"/>
      <c r="X427" s="450"/>
      <c r="Y427" s="450"/>
      <c r="Z427" s="450"/>
    </row>
    <row r="428" spans="1:26" x14ac:dyDescent="0.25">
      <c r="A428" s="457"/>
      <c r="B428" s="446">
        <v>54</v>
      </c>
      <c r="C428" s="446" t="s">
        <v>1456</v>
      </c>
      <c r="D428" s="446">
        <v>43698</v>
      </c>
      <c r="E428" s="448">
        <v>43698</v>
      </c>
      <c r="F428" s="448" t="s">
        <v>3042</v>
      </c>
      <c r="G428" s="446" t="s">
        <v>2434</v>
      </c>
      <c r="H428" s="446" t="s">
        <v>2435</v>
      </c>
      <c r="I428" s="446" t="s">
        <v>238</v>
      </c>
      <c r="J428" s="446" t="s">
        <v>2489</v>
      </c>
      <c r="K428" s="446" t="s">
        <v>4540</v>
      </c>
      <c r="L428" s="450"/>
      <c r="M428" s="450"/>
      <c r="N428" s="450"/>
      <c r="O428" s="450"/>
      <c r="P428" s="450"/>
      <c r="Q428" s="450"/>
      <c r="R428" s="450"/>
      <c r="S428" s="451"/>
      <c r="T428" s="450"/>
      <c r="U428" s="451"/>
      <c r="V428" s="450"/>
      <c r="W428" s="450"/>
      <c r="X428" s="450"/>
      <c r="Y428" s="450"/>
      <c r="Z428" s="450"/>
    </row>
    <row r="429" spans="1:26" x14ac:dyDescent="0.25">
      <c r="A429" s="457"/>
      <c r="B429" s="446">
        <v>55</v>
      </c>
      <c r="C429" s="446" t="s">
        <v>619</v>
      </c>
      <c r="D429" s="446">
        <v>43711</v>
      </c>
      <c r="E429" s="448">
        <v>43711</v>
      </c>
      <c r="F429" s="448" t="s">
        <v>3295</v>
      </c>
      <c r="G429" s="446" t="s">
        <v>4541</v>
      </c>
      <c r="H429" s="446" t="s">
        <v>104</v>
      </c>
      <c r="I429" s="446" t="s">
        <v>332</v>
      </c>
      <c r="J429" s="446" t="s">
        <v>4527</v>
      </c>
      <c r="K429" s="446" t="s">
        <v>4528</v>
      </c>
      <c r="L429" s="450"/>
      <c r="M429" s="450"/>
      <c r="N429" s="450"/>
      <c r="O429" s="450"/>
      <c r="P429" s="450"/>
      <c r="Q429" s="450"/>
      <c r="R429" s="450"/>
      <c r="S429" s="451"/>
      <c r="T429" s="450"/>
      <c r="U429" s="451"/>
      <c r="V429" s="450"/>
      <c r="W429" s="450"/>
      <c r="X429" s="450"/>
      <c r="Y429" s="450"/>
      <c r="Z429" s="450"/>
    </row>
    <row r="430" spans="1:26" x14ac:dyDescent="0.25">
      <c r="A430" s="457"/>
      <c r="B430" s="446">
        <v>56</v>
      </c>
      <c r="C430" s="446" t="s">
        <v>1456</v>
      </c>
      <c r="D430" s="446">
        <v>44060</v>
      </c>
      <c r="E430" s="448">
        <v>44060</v>
      </c>
      <c r="F430" s="448" t="s">
        <v>3043</v>
      </c>
      <c r="G430" s="446" t="s">
        <v>4542</v>
      </c>
      <c r="H430" s="446" t="s">
        <v>2443</v>
      </c>
      <c r="I430" s="446" t="s">
        <v>2505</v>
      </c>
      <c r="J430" s="446" t="s">
        <v>2489</v>
      </c>
      <c r="K430" s="446" t="s">
        <v>4543</v>
      </c>
      <c r="L430" s="450"/>
      <c r="M430" s="450"/>
      <c r="N430" s="450"/>
      <c r="O430" s="450"/>
      <c r="P430" s="450"/>
      <c r="Q430" s="450"/>
      <c r="R430" s="450"/>
      <c r="S430" s="451"/>
      <c r="T430" s="450"/>
      <c r="U430" s="451"/>
      <c r="V430" s="450"/>
      <c r="W430" s="450"/>
      <c r="X430" s="450"/>
      <c r="Y430" s="450"/>
      <c r="Z430" s="450"/>
    </row>
    <row r="431" spans="1:26" x14ac:dyDescent="0.25">
      <c r="A431" s="457"/>
      <c r="B431" s="446">
        <v>57</v>
      </c>
      <c r="C431" s="446" t="s">
        <v>1456</v>
      </c>
      <c r="D431" s="446">
        <v>44118</v>
      </c>
      <c r="E431" s="448">
        <v>44118</v>
      </c>
      <c r="F431" s="448" t="s">
        <v>3044</v>
      </c>
      <c r="G431" s="446" t="s">
        <v>4544</v>
      </c>
      <c r="H431" s="446" t="s">
        <v>2448</v>
      </c>
      <c r="I431" s="446" t="s">
        <v>2505</v>
      </c>
      <c r="J431" s="446" t="s">
        <v>2489</v>
      </c>
      <c r="K431" s="446" t="s">
        <v>4545</v>
      </c>
      <c r="L431" s="450"/>
      <c r="M431" s="450"/>
      <c r="N431" s="450"/>
      <c r="O431" s="450"/>
      <c r="P431" s="450"/>
      <c r="Q431" s="450"/>
      <c r="R431" s="450"/>
      <c r="S431" s="451"/>
      <c r="T431" s="450"/>
      <c r="U431" s="451"/>
      <c r="V431" s="450"/>
      <c r="W431" s="450"/>
      <c r="X431" s="450"/>
      <c r="Y431" s="450"/>
      <c r="Z431" s="450"/>
    </row>
    <row r="432" spans="1:26" x14ac:dyDescent="0.25">
      <c r="A432" s="457"/>
      <c r="B432" s="446">
        <v>58</v>
      </c>
      <c r="C432" s="446" t="s">
        <v>619</v>
      </c>
      <c r="D432" s="446">
        <v>44144</v>
      </c>
      <c r="E432" s="448">
        <v>44144</v>
      </c>
      <c r="F432" s="448" t="s">
        <v>4546</v>
      </c>
      <c r="G432" s="446" t="s">
        <v>2471</v>
      </c>
      <c r="H432" s="446" t="s">
        <v>2472</v>
      </c>
      <c r="I432" s="446" t="s">
        <v>2505</v>
      </c>
      <c r="J432" s="446" t="s">
        <v>4527</v>
      </c>
      <c r="K432" s="446" t="s">
        <v>4547</v>
      </c>
      <c r="L432" s="450"/>
      <c r="M432" s="450"/>
      <c r="N432" s="450"/>
      <c r="O432" s="450"/>
      <c r="P432" s="450"/>
      <c r="Q432" s="450"/>
      <c r="R432" s="450"/>
      <c r="S432" s="451"/>
      <c r="T432" s="450"/>
      <c r="U432" s="451"/>
      <c r="V432" s="450"/>
      <c r="W432" s="450"/>
      <c r="X432" s="450"/>
      <c r="Y432" s="450"/>
      <c r="Z432" s="450"/>
    </row>
    <row r="433" spans="1:26" x14ac:dyDescent="0.25">
      <c r="A433" s="457"/>
      <c r="B433" s="446">
        <v>59</v>
      </c>
      <c r="C433" s="446" t="s">
        <v>1456</v>
      </c>
      <c r="D433" s="446">
        <v>44175</v>
      </c>
      <c r="E433" s="448">
        <v>44175</v>
      </c>
      <c r="F433" s="448" t="s">
        <v>3045</v>
      </c>
      <c r="G433" s="446" t="s">
        <v>2476</v>
      </c>
      <c r="H433" s="446" t="s">
        <v>2477</v>
      </c>
      <c r="I433" s="446" t="s">
        <v>3293</v>
      </c>
      <c r="J433" s="446" t="s">
        <v>2489</v>
      </c>
      <c r="K433" s="446" t="s">
        <v>4528</v>
      </c>
      <c r="L433" s="450"/>
      <c r="M433" s="450"/>
      <c r="N433" s="450"/>
      <c r="O433" s="450"/>
      <c r="P433" s="450"/>
      <c r="Q433" s="450"/>
      <c r="R433" s="450"/>
      <c r="S433" s="451"/>
      <c r="T433" s="450"/>
      <c r="U433" s="451"/>
      <c r="V433" s="450"/>
      <c r="W433" s="450"/>
      <c r="X433" s="450"/>
      <c r="Y433" s="450"/>
      <c r="Z433" s="450"/>
    </row>
    <row r="434" spans="1:26" x14ac:dyDescent="0.25">
      <c r="A434" s="457"/>
      <c r="B434" s="446">
        <v>60</v>
      </c>
      <c r="C434" s="446" t="s">
        <v>2481</v>
      </c>
      <c r="D434" s="446">
        <v>44314</v>
      </c>
      <c r="E434" s="448">
        <v>44314</v>
      </c>
      <c r="F434" s="448" t="s">
        <v>4548</v>
      </c>
      <c r="G434" s="446" t="s">
        <v>2283</v>
      </c>
      <c r="H434" s="446" t="s">
        <v>2483</v>
      </c>
      <c r="I434" s="446" t="s">
        <v>2505</v>
      </c>
      <c r="J434" s="446" t="s">
        <v>2484</v>
      </c>
      <c r="K434" s="446" t="s">
        <v>4549</v>
      </c>
      <c r="L434" s="450"/>
      <c r="M434" s="450"/>
      <c r="N434" s="450"/>
      <c r="O434" s="450"/>
      <c r="P434" s="450"/>
      <c r="Q434" s="450"/>
      <c r="R434" s="450"/>
      <c r="S434" s="451"/>
      <c r="T434" s="450"/>
      <c r="U434" s="451"/>
      <c r="V434" s="450"/>
      <c r="W434" s="450"/>
      <c r="X434" s="450"/>
      <c r="Y434" s="450"/>
      <c r="Z434" s="450"/>
    </row>
    <row r="435" spans="1:26" x14ac:dyDescent="0.25">
      <c r="A435" s="457"/>
      <c r="B435" s="446">
        <v>61</v>
      </c>
      <c r="C435" s="446" t="s">
        <v>461</v>
      </c>
      <c r="D435" s="446">
        <v>44462</v>
      </c>
      <c r="E435" s="448">
        <v>44462</v>
      </c>
      <c r="F435" s="448" t="s">
        <v>4550</v>
      </c>
      <c r="G435" s="446" t="s">
        <v>2499</v>
      </c>
      <c r="H435" s="446" t="s">
        <v>4535</v>
      </c>
      <c r="I435" s="446" t="s">
        <v>2505</v>
      </c>
      <c r="J435" s="446" t="s">
        <v>4551</v>
      </c>
      <c r="K435" s="446" t="s">
        <v>4552</v>
      </c>
      <c r="L435" s="450"/>
      <c r="M435" s="450"/>
      <c r="N435" s="450"/>
      <c r="O435" s="450"/>
      <c r="P435" s="450"/>
      <c r="Q435" s="450"/>
      <c r="R435" s="450"/>
      <c r="S435" s="451"/>
      <c r="T435" s="450"/>
      <c r="U435" s="451"/>
      <c r="V435" s="450"/>
      <c r="W435" s="450"/>
      <c r="X435" s="450"/>
      <c r="Y435" s="450"/>
      <c r="Z435" s="450"/>
    </row>
    <row r="436" spans="1:26" x14ac:dyDescent="0.25">
      <c r="A436" s="457"/>
      <c r="B436" s="446">
        <v>63</v>
      </c>
      <c r="C436" s="446" t="s">
        <v>1456</v>
      </c>
      <c r="D436" s="446">
        <v>44463</v>
      </c>
      <c r="E436" s="448">
        <v>44463</v>
      </c>
      <c r="F436" s="448" t="s">
        <v>3046</v>
      </c>
      <c r="G436" s="446" t="s">
        <v>4553</v>
      </c>
      <c r="H436" s="446" t="s">
        <v>2448</v>
      </c>
      <c r="I436" s="446" t="s">
        <v>332</v>
      </c>
      <c r="J436" s="446" t="s">
        <v>2489</v>
      </c>
      <c r="K436" s="446" t="s">
        <v>4554</v>
      </c>
      <c r="L436" s="450"/>
      <c r="M436" s="450"/>
      <c r="N436" s="450"/>
      <c r="O436" s="450"/>
      <c r="P436" s="450"/>
      <c r="Q436" s="450"/>
      <c r="R436" s="450"/>
      <c r="S436" s="451"/>
      <c r="T436" s="450"/>
      <c r="U436" s="451"/>
      <c r="V436" s="450"/>
      <c r="W436" s="450"/>
      <c r="X436" s="450"/>
      <c r="Y436" s="450"/>
      <c r="Z436" s="450"/>
    </row>
    <row r="437" spans="1:26" x14ac:dyDescent="0.25">
      <c r="A437" s="457"/>
      <c r="B437" s="446">
        <v>64</v>
      </c>
      <c r="C437" s="446" t="s">
        <v>1456</v>
      </c>
      <c r="D437" s="446">
        <v>44476</v>
      </c>
      <c r="E437" s="448">
        <v>44476</v>
      </c>
      <c r="F437" s="448" t="s">
        <v>3047</v>
      </c>
      <c r="G437" s="446" t="s">
        <v>2503</v>
      </c>
      <c r="H437" s="446" t="s">
        <v>3027</v>
      </c>
      <c r="I437" s="446" t="s">
        <v>2505</v>
      </c>
      <c r="J437" s="446" t="s">
        <v>2489</v>
      </c>
      <c r="K437" s="446" t="s">
        <v>4555</v>
      </c>
      <c r="L437" s="450"/>
      <c r="M437" s="450"/>
      <c r="N437" s="450"/>
      <c r="O437" s="450"/>
      <c r="P437" s="450"/>
      <c r="Q437" s="450"/>
      <c r="R437" s="450"/>
      <c r="S437" s="451"/>
      <c r="T437" s="450"/>
      <c r="U437" s="451"/>
      <c r="V437" s="450"/>
      <c r="W437" s="450"/>
      <c r="X437" s="450"/>
      <c r="Y437" s="450"/>
      <c r="Z437" s="450"/>
    </row>
    <row r="438" spans="1:26" x14ac:dyDescent="0.25">
      <c r="A438" s="457"/>
      <c r="B438" s="446">
        <v>65</v>
      </c>
      <c r="C438" s="446" t="s">
        <v>619</v>
      </c>
      <c r="D438" s="446">
        <v>44491</v>
      </c>
      <c r="E438" s="448">
        <v>44491</v>
      </c>
      <c r="F438" s="448" t="s">
        <v>3284</v>
      </c>
      <c r="G438" s="446" t="s">
        <v>4556</v>
      </c>
      <c r="H438" s="446" t="s">
        <v>4557</v>
      </c>
      <c r="I438" s="446" t="s">
        <v>4558</v>
      </c>
      <c r="J438" s="446" t="s">
        <v>4527</v>
      </c>
      <c r="K438" s="446" t="s">
        <v>4528</v>
      </c>
      <c r="L438" s="450"/>
      <c r="M438" s="450"/>
      <c r="N438" s="450"/>
      <c r="O438" s="450"/>
      <c r="P438" s="450"/>
      <c r="Q438" s="450"/>
      <c r="R438" s="450"/>
      <c r="S438" s="451"/>
      <c r="T438" s="450"/>
      <c r="U438" s="451"/>
      <c r="V438" s="450"/>
      <c r="W438" s="450"/>
      <c r="X438" s="450"/>
      <c r="Y438" s="450"/>
      <c r="Z438" s="450"/>
    </row>
    <row r="439" spans="1:26" x14ac:dyDescent="0.25">
      <c r="A439" s="457"/>
      <c r="B439" s="446">
        <v>66</v>
      </c>
      <c r="C439" s="446" t="s">
        <v>2531</v>
      </c>
      <c r="D439" s="446">
        <v>45247</v>
      </c>
      <c r="E439" s="448">
        <v>45247</v>
      </c>
      <c r="F439" s="448" t="s">
        <v>3048</v>
      </c>
      <c r="G439" s="446" t="s">
        <v>2483</v>
      </c>
      <c r="H439" s="446" t="s">
        <v>2533</v>
      </c>
      <c r="I439" s="446" t="s">
        <v>4536</v>
      </c>
      <c r="J439" s="446" t="s">
        <v>2534</v>
      </c>
      <c r="K439" s="446" t="s">
        <v>4559</v>
      </c>
      <c r="L439" s="450"/>
      <c r="M439" s="450"/>
      <c r="N439" s="450"/>
      <c r="O439" s="450"/>
      <c r="P439" s="450"/>
      <c r="Q439" s="450"/>
      <c r="R439" s="450"/>
      <c r="S439" s="451"/>
      <c r="T439" s="450"/>
      <c r="U439" s="451"/>
      <c r="V439" s="450"/>
      <c r="W439" s="450"/>
      <c r="X439" s="450"/>
      <c r="Y439" s="450"/>
      <c r="Z439" s="450"/>
    </row>
    <row r="440" spans="1:26" x14ac:dyDescent="0.25">
      <c r="A440" s="457"/>
      <c r="B440" s="446">
        <v>67</v>
      </c>
      <c r="C440" s="446" t="s">
        <v>1456</v>
      </c>
      <c r="D440" s="446">
        <v>45401</v>
      </c>
      <c r="E440" s="448">
        <v>45401</v>
      </c>
      <c r="F440" s="448" t="s">
        <v>3049</v>
      </c>
      <c r="G440" s="446" t="s">
        <v>4560</v>
      </c>
      <c r="H440" s="446" t="s">
        <v>4178</v>
      </c>
      <c r="I440" s="446" t="s">
        <v>238</v>
      </c>
      <c r="J440" s="446" t="s">
        <v>2489</v>
      </c>
      <c r="K440" s="446" t="s">
        <v>4561</v>
      </c>
      <c r="L440" s="450"/>
      <c r="M440" s="450"/>
      <c r="N440" s="450"/>
      <c r="O440" s="450"/>
      <c r="P440" s="450"/>
      <c r="Q440" s="450"/>
      <c r="R440" s="450"/>
      <c r="S440" s="451"/>
      <c r="T440" s="450"/>
      <c r="U440" s="451"/>
      <c r="V440" s="450"/>
      <c r="W440" s="450"/>
      <c r="X440" s="450"/>
      <c r="Y440" s="450"/>
      <c r="Z440" s="450"/>
    </row>
    <row r="441" spans="1:26" x14ac:dyDescent="0.25">
      <c r="A441" s="457"/>
      <c r="B441" s="446">
        <v>68</v>
      </c>
      <c r="C441" s="446" t="s">
        <v>1456</v>
      </c>
      <c r="D441" s="446">
        <v>45432</v>
      </c>
      <c r="E441" s="448">
        <v>45432</v>
      </c>
      <c r="F441" s="448" t="s">
        <v>3050</v>
      </c>
      <c r="G441" s="446" t="s">
        <v>4560</v>
      </c>
      <c r="H441" s="446" t="s">
        <v>4562</v>
      </c>
      <c r="I441" s="446" t="s">
        <v>4536</v>
      </c>
      <c r="J441" s="446" t="s">
        <v>2489</v>
      </c>
      <c r="K441" s="446" t="s">
        <v>4563</v>
      </c>
      <c r="L441" s="450"/>
      <c r="M441" s="450"/>
      <c r="N441" s="450"/>
      <c r="O441" s="450"/>
      <c r="P441" s="450"/>
      <c r="Q441" s="450"/>
      <c r="R441" s="450"/>
      <c r="S441" s="451"/>
      <c r="T441" s="450"/>
      <c r="U441" s="451"/>
      <c r="V441" s="450"/>
      <c r="W441" s="450"/>
      <c r="X441" s="450"/>
      <c r="Y441" s="450"/>
      <c r="Z441" s="450"/>
    </row>
    <row r="442" spans="1:26" x14ac:dyDescent="0.25">
      <c r="A442" s="457"/>
      <c r="B442" s="446">
        <v>69</v>
      </c>
      <c r="C442" s="446" t="s">
        <v>1456</v>
      </c>
      <c r="D442" s="446">
        <v>45509</v>
      </c>
      <c r="E442" s="448">
        <v>45509</v>
      </c>
      <c r="F442" s="448" t="s">
        <v>3051</v>
      </c>
      <c r="G442" s="446" t="s">
        <v>2514</v>
      </c>
      <c r="H442" s="446" t="s">
        <v>4564</v>
      </c>
      <c r="I442" s="446" t="s">
        <v>238</v>
      </c>
      <c r="J442" s="446" t="s">
        <v>2489</v>
      </c>
      <c r="K442" s="446" t="s">
        <v>4565</v>
      </c>
      <c r="L442" s="450"/>
      <c r="M442" s="450"/>
      <c r="N442" s="450"/>
      <c r="O442" s="450"/>
      <c r="P442" s="450"/>
      <c r="Q442" s="450"/>
      <c r="R442" s="450"/>
      <c r="S442" s="451"/>
      <c r="T442" s="450"/>
      <c r="U442" s="451"/>
      <c r="V442" s="450"/>
      <c r="W442" s="450"/>
      <c r="X442" s="450"/>
      <c r="Y442" s="450"/>
      <c r="Z442" s="450"/>
    </row>
    <row r="443" spans="1:26" x14ac:dyDescent="0.25">
      <c r="A443" s="457"/>
      <c r="B443" s="446">
        <v>70</v>
      </c>
      <c r="C443" s="446" t="s">
        <v>1181</v>
      </c>
      <c r="D443" s="446">
        <v>45614</v>
      </c>
      <c r="E443" s="448">
        <v>45614</v>
      </c>
      <c r="F443" s="448" t="s">
        <v>4566</v>
      </c>
      <c r="G443" s="446" t="s">
        <v>2545</v>
      </c>
      <c r="H443" s="446" t="s">
        <v>4567</v>
      </c>
      <c r="I443" s="446" t="s">
        <v>238</v>
      </c>
      <c r="J443" s="446" t="s">
        <v>4531</v>
      </c>
      <c r="K443" s="446" t="s">
        <v>4568</v>
      </c>
      <c r="L443" s="450"/>
      <c r="M443" s="450"/>
      <c r="N443" s="450"/>
      <c r="O443" s="450"/>
      <c r="P443" s="450"/>
      <c r="Q443" s="450"/>
      <c r="R443" s="450"/>
      <c r="S443" s="451"/>
      <c r="T443" s="450"/>
      <c r="U443" s="451"/>
      <c r="V443" s="450"/>
      <c r="W443" s="450"/>
      <c r="X443" s="450"/>
      <c r="Y443" s="450"/>
      <c r="Z443" s="450"/>
    </row>
    <row r="444" spans="1:26" x14ac:dyDescent="0.25">
      <c r="A444" s="457"/>
      <c r="B444" s="446">
        <v>72</v>
      </c>
      <c r="C444" s="446" t="s">
        <v>619</v>
      </c>
      <c r="D444" s="446">
        <v>45621</v>
      </c>
      <c r="E444" s="448">
        <v>45621</v>
      </c>
      <c r="F444" s="448" t="s">
        <v>3244</v>
      </c>
      <c r="G444" s="446" t="s">
        <v>4569</v>
      </c>
      <c r="H444" s="446" t="s">
        <v>4570</v>
      </c>
      <c r="I444" s="446" t="s">
        <v>569</v>
      </c>
      <c r="J444" s="446" t="s">
        <v>4527</v>
      </c>
      <c r="K444" s="446" t="s">
        <v>4528</v>
      </c>
      <c r="L444" s="450"/>
      <c r="M444" s="450"/>
      <c r="N444" s="450"/>
      <c r="O444" s="450"/>
      <c r="P444" s="450"/>
      <c r="Q444" s="450"/>
      <c r="R444" s="450"/>
      <c r="S444" s="451"/>
      <c r="T444" s="450"/>
      <c r="U444" s="451"/>
      <c r="V444" s="450"/>
      <c r="W444" s="450"/>
      <c r="X444" s="450"/>
      <c r="Y444" s="450"/>
      <c r="Z444" s="450"/>
    </row>
    <row r="445" spans="1:26" x14ac:dyDescent="0.25">
      <c r="A445" s="457"/>
      <c r="B445" s="446">
        <v>73</v>
      </c>
      <c r="C445" s="446" t="s">
        <v>1456</v>
      </c>
      <c r="D445" s="446">
        <v>45642</v>
      </c>
      <c r="E445" s="448">
        <v>45642</v>
      </c>
      <c r="F445" s="448" t="s">
        <v>3052</v>
      </c>
      <c r="G445" s="446" t="s">
        <v>4571</v>
      </c>
      <c r="H445" s="446" t="s">
        <v>2542</v>
      </c>
      <c r="I445" s="446" t="s">
        <v>569</v>
      </c>
      <c r="J445" s="446" t="s">
        <v>2489</v>
      </c>
      <c r="K445" s="446" t="s">
        <v>4528</v>
      </c>
      <c r="L445" s="450"/>
      <c r="M445" s="450"/>
      <c r="N445" s="450"/>
      <c r="O445" s="450"/>
      <c r="P445" s="450"/>
      <c r="Q445" s="450"/>
      <c r="R445" s="450"/>
      <c r="S445" s="451"/>
      <c r="T445" s="450"/>
      <c r="U445" s="451"/>
      <c r="V445" s="450"/>
      <c r="W445" s="450"/>
      <c r="X445" s="450"/>
      <c r="Y445" s="450"/>
      <c r="Z445" s="450"/>
    </row>
    <row r="446" spans="1:26" x14ac:dyDescent="0.25">
      <c r="A446" s="457"/>
      <c r="B446" s="446">
        <v>74</v>
      </c>
      <c r="C446" s="446" t="s">
        <v>619</v>
      </c>
      <c r="D446" s="446">
        <v>45771</v>
      </c>
      <c r="E446" s="448">
        <v>45771</v>
      </c>
      <c r="F446" s="448" t="s">
        <v>3238</v>
      </c>
      <c r="G446" s="446" t="s">
        <v>4572</v>
      </c>
      <c r="H446" s="446" t="s">
        <v>2747</v>
      </c>
      <c r="I446" s="446" t="s">
        <v>4558</v>
      </c>
      <c r="J446" s="446" t="s">
        <v>4527</v>
      </c>
      <c r="K446" s="446" t="s">
        <v>4528</v>
      </c>
      <c r="L446" s="450"/>
      <c r="M446" s="450"/>
      <c r="N446" s="450"/>
      <c r="O446" s="450"/>
      <c r="P446" s="450"/>
      <c r="Q446" s="450"/>
      <c r="R446" s="450"/>
      <c r="S446" s="451"/>
      <c r="T446" s="450"/>
      <c r="U446" s="451"/>
      <c r="V446" s="450"/>
      <c r="W446" s="450"/>
      <c r="X446" s="450"/>
      <c r="Y446" s="450"/>
      <c r="Z446" s="450"/>
    </row>
    <row r="447" spans="1:26" x14ac:dyDescent="0.25">
      <c r="A447" s="457"/>
      <c r="B447" s="446">
        <v>76</v>
      </c>
      <c r="C447" s="446" t="s">
        <v>461</v>
      </c>
      <c r="D447" s="446">
        <v>45792</v>
      </c>
      <c r="E447" s="448">
        <v>45792</v>
      </c>
      <c r="F447" s="448" t="s">
        <v>4573</v>
      </c>
      <c r="G447" s="446" t="s">
        <v>2578</v>
      </c>
      <c r="H447" s="446" t="s">
        <v>4574</v>
      </c>
      <c r="I447" s="446" t="s">
        <v>238</v>
      </c>
      <c r="J447" s="446" t="s">
        <v>4551</v>
      </c>
      <c r="K447" s="446" t="s">
        <v>4575</v>
      </c>
      <c r="L447" s="450"/>
      <c r="M447" s="450"/>
      <c r="N447" s="450"/>
      <c r="O447" s="450"/>
      <c r="P447" s="450"/>
      <c r="Q447" s="450"/>
      <c r="R447" s="450"/>
      <c r="S447" s="451"/>
      <c r="T447" s="450"/>
      <c r="U447" s="451"/>
      <c r="V447" s="450"/>
      <c r="W447" s="450"/>
      <c r="X447" s="450"/>
      <c r="Y447" s="450"/>
      <c r="Z447" s="450"/>
    </row>
    <row r="448" spans="1:26" x14ac:dyDescent="0.25">
      <c r="A448" s="457"/>
      <c r="B448" s="446">
        <v>77</v>
      </c>
      <c r="C448" s="446" t="s">
        <v>2189</v>
      </c>
      <c r="D448" s="446">
        <v>45954</v>
      </c>
      <c r="E448" s="448">
        <v>45954</v>
      </c>
      <c r="F448" s="448" t="s">
        <v>4576</v>
      </c>
      <c r="G448" s="446" t="s">
        <v>4577</v>
      </c>
      <c r="H448" s="446" t="s">
        <v>4578</v>
      </c>
      <c r="I448" s="446" t="s">
        <v>238</v>
      </c>
      <c r="J448" s="446" t="s">
        <v>2194</v>
      </c>
      <c r="K448" s="446" t="s">
        <v>4579</v>
      </c>
      <c r="L448" s="450"/>
      <c r="M448" s="450"/>
      <c r="N448" s="450"/>
      <c r="O448" s="450"/>
      <c r="P448" s="450"/>
      <c r="Q448" s="450"/>
      <c r="R448" s="450"/>
      <c r="S448" s="451"/>
      <c r="T448" s="450"/>
      <c r="U448" s="451"/>
      <c r="V448" s="450"/>
      <c r="W448" s="450"/>
      <c r="X448" s="450"/>
      <c r="Y448" s="450"/>
      <c r="Z448" s="450"/>
    </row>
    <row r="449" spans="1:26" x14ac:dyDescent="0.25">
      <c r="A449" s="457"/>
      <c r="B449" s="446">
        <v>78</v>
      </c>
      <c r="C449" s="446" t="s">
        <v>2531</v>
      </c>
      <c r="D449" s="446">
        <v>45975</v>
      </c>
      <c r="E449" s="448">
        <v>45975</v>
      </c>
      <c r="F449" s="448" t="s">
        <v>3053</v>
      </c>
      <c r="G449" s="446" t="s">
        <v>2592</v>
      </c>
      <c r="H449" s="446" t="s">
        <v>2593</v>
      </c>
      <c r="I449" s="446" t="s">
        <v>238</v>
      </c>
      <c r="J449" s="446" t="s">
        <v>2534</v>
      </c>
      <c r="K449" s="446" t="s">
        <v>4580</v>
      </c>
      <c r="L449" s="450"/>
      <c r="M449" s="450"/>
      <c r="N449" s="450"/>
      <c r="O449" s="450"/>
      <c r="P449" s="450"/>
      <c r="Q449" s="450"/>
      <c r="R449" s="450"/>
      <c r="S449" s="451"/>
      <c r="T449" s="450"/>
      <c r="U449" s="451"/>
      <c r="V449" s="450"/>
      <c r="W449" s="450"/>
      <c r="X449" s="450"/>
      <c r="Y449" s="450"/>
      <c r="Z449" s="450"/>
    </row>
    <row r="450" spans="1:26" x14ac:dyDescent="0.25">
      <c r="A450" s="457"/>
      <c r="B450" s="446">
        <v>79</v>
      </c>
      <c r="C450" s="446" t="s">
        <v>461</v>
      </c>
      <c r="D450" s="446">
        <v>46119</v>
      </c>
      <c r="E450" s="448">
        <v>46119</v>
      </c>
      <c r="F450" s="448" t="s">
        <v>4581</v>
      </c>
      <c r="G450" s="446" t="s">
        <v>4582</v>
      </c>
      <c r="H450" s="446" t="s">
        <v>4535</v>
      </c>
      <c r="I450" s="446" t="s">
        <v>238</v>
      </c>
      <c r="J450" s="446" t="s">
        <v>4551</v>
      </c>
      <c r="K450" s="446" t="s">
        <v>4583</v>
      </c>
      <c r="L450" s="450"/>
      <c r="M450" s="450"/>
      <c r="N450" s="450"/>
      <c r="O450" s="450"/>
      <c r="P450" s="450"/>
      <c r="Q450" s="450"/>
      <c r="R450" s="450"/>
      <c r="S450" s="451"/>
      <c r="T450" s="450"/>
      <c r="U450" s="451"/>
      <c r="V450" s="450"/>
      <c r="W450" s="450"/>
      <c r="X450" s="450"/>
      <c r="Y450" s="450"/>
      <c r="Z450" s="450"/>
    </row>
    <row r="451" spans="1:26" x14ac:dyDescent="0.25">
      <c r="A451" s="457"/>
      <c r="B451" s="446">
        <v>81</v>
      </c>
      <c r="C451" s="446" t="s">
        <v>202</v>
      </c>
      <c r="D451" s="446">
        <v>46122</v>
      </c>
      <c r="E451" s="448">
        <v>46122</v>
      </c>
      <c r="F451" s="448" t="s">
        <v>3226</v>
      </c>
      <c r="G451" s="446" t="s">
        <v>4584</v>
      </c>
      <c r="H451" s="446" t="s">
        <v>384</v>
      </c>
      <c r="I451" s="446" t="s">
        <v>4585</v>
      </c>
      <c r="J451" s="446" t="s">
        <v>4452</v>
      </c>
      <c r="K451" s="446" t="s">
        <v>4528</v>
      </c>
      <c r="L451" s="450"/>
      <c r="M451" s="450"/>
      <c r="N451" s="450"/>
      <c r="O451" s="450"/>
      <c r="P451" s="450"/>
      <c r="Q451" s="450"/>
      <c r="R451" s="450"/>
      <c r="S451" s="451"/>
      <c r="T451" s="450"/>
      <c r="U451" s="451"/>
      <c r="V451" s="450"/>
      <c r="W451" s="450"/>
      <c r="X451" s="450"/>
      <c r="Y451" s="450"/>
      <c r="Z451" s="450"/>
    </row>
    <row r="452" spans="1:26" x14ac:dyDescent="0.25">
      <c r="A452" s="457"/>
      <c r="B452" s="446">
        <v>84</v>
      </c>
      <c r="C452" s="446" t="s">
        <v>2010</v>
      </c>
      <c r="D452" s="446">
        <v>46143</v>
      </c>
      <c r="E452" s="448">
        <v>46143</v>
      </c>
      <c r="F452" s="448" t="s">
        <v>3200</v>
      </c>
      <c r="G452" s="446" t="s">
        <v>4569</v>
      </c>
      <c r="H452" s="446" t="s">
        <v>3202</v>
      </c>
      <c r="I452" s="446" t="s">
        <v>569</v>
      </c>
      <c r="J452" s="446" t="s">
        <v>4586</v>
      </c>
      <c r="K452" s="446" t="s">
        <v>4528</v>
      </c>
      <c r="L452" s="450"/>
      <c r="M452" s="450"/>
      <c r="N452" s="450"/>
      <c r="O452" s="450"/>
      <c r="P452" s="450"/>
      <c r="Q452" s="450"/>
      <c r="R452" s="450"/>
      <c r="S452" s="451"/>
      <c r="T452" s="450"/>
      <c r="U452" s="451"/>
      <c r="V452" s="450"/>
      <c r="W452" s="450"/>
      <c r="X452" s="450"/>
      <c r="Y452" s="450"/>
      <c r="Z452" s="450"/>
    </row>
    <row r="453" spans="1:26" x14ac:dyDescent="0.25">
      <c r="A453" s="457"/>
      <c r="B453" s="446">
        <v>87</v>
      </c>
      <c r="C453" s="446" t="s">
        <v>585</v>
      </c>
      <c r="D453" s="446">
        <v>46160</v>
      </c>
      <c r="E453" s="448">
        <v>46160</v>
      </c>
      <c r="F453" s="448" t="s">
        <v>3183</v>
      </c>
      <c r="G453" s="446" t="s">
        <v>3185</v>
      </c>
      <c r="H453" s="446" t="s">
        <v>102</v>
      </c>
      <c r="I453" s="446" t="s">
        <v>4587</v>
      </c>
      <c r="J453" s="446" t="s">
        <v>4588</v>
      </c>
      <c r="K453" s="446" t="s">
        <v>4528</v>
      </c>
      <c r="L453" s="450"/>
      <c r="M453" s="450"/>
      <c r="N453" s="450"/>
      <c r="O453" s="450"/>
      <c r="P453" s="450"/>
      <c r="Q453" s="450"/>
      <c r="R453" s="450"/>
      <c r="S453" s="451"/>
      <c r="T453" s="450"/>
      <c r="U453" s="451"/>
      <c r="V453" s="450"/>
      <c r="W453" s="450"/>
      <c r="X453" s="450"/>
      <c r="Y453" s="450"/>
      <c r="Z453" s="450"/>
    </row>
    <row r="454" spans="1:26" x14ac:dyDescent="0.25">
      <c r="A454" s="457"/>
      <c r="B454" s="446">
        <v>88</v>
      </c>
      <c r="C454" s="446" t="s">
        <v>2010</v>
      </c>
      <c r="D454" s="446">
        <v>46170</v>
      </c>
      <c r="E454" s="448">
        <v>46170</v>
      </c>
      <c r="F454" s="448" t="s">
        <v>3169</v>
      </c>
      <c r="G454" s="446" t="s">
        <v>4569</v>
      </c>
      <c r="H454" s="446" t="s">
        <v>3170</v>
      </c>
      <c r="I454" s="446" t="s">
        <v>569</v>
      </c>
      <c r="J454" s="446" t="s">
        <v>4586</v>
      </c>
      <c r="K454" s="446" t="s">
        <v>4528</v>
      </c>
      <c r="L454" s="450"/>
      <c r="M454" s="450"/>
      <c r="N454" s="450"/>
      <c r="O454" s="450"/>
      <c r="P454" s="450"/>
      <c r="Q454" s="450"/>
      <c r="R454" s="450"/>
      <c r="S454" s="451"/>
      <c r="T454" s="450"/>
      <c r="U454" s="451"/>
      <c r="V454" s="450"/>
      <c r="W454" s="450"/>
      <c r="X454" s="450"/>
      <c r="Y454" s="450"/>
      <c r="Z454" s="450"/>
    </row>
    <row r="455" spans="1:26" x14ac:dyDescent="0.25">
      <c r="A455" s="457"/>
      <c r="B455" s="446">
        <v>92</v>
      </c>
      <c r="C455" s="446" t="s">
        <v>585</v>
      </c>
      <c r="D455" s="446">
        <v>46178</v>
      </c>
      <c r="E455" s="448">
        <v>46178</v>
      </c>
      <c r="F455" s="448" t="s">
        <v>3149</v>
      </c>
      <c r="G455" s="446" t="s">
        <v>3151</v>
      </c>
      <c r="H455" s="446" t="s">
        <v>102</v>
      </c>
      <c r="I455" s="446" t="s">
        <v>4589</v>
      </c>
      <c r="J455" s="446" t="s">
        <v>4588</v>
      </c>
      <c r="K455" s="446" t="s">
        <v>4528</v>
      </c>
      <c r="L455" s="450"/>
      <c r="M455" s="450"/>
      <c r="N455" s="450"/>
      <c r="O455" s="450"/>
      <c r="P455" s="450"/>
      <c r="Q455" s="450"/>
      <c r="R455" s="450"/>
      <c r="S455" s="451"/>
      <c r="T455" s="450"/>
      <c r="U455" s="451"/>
      <c r="V455" s="450"/>
      <c r="W455" s="450"/>
      <c r="X455" s="450"/>
      <c r="Y455" s="450"/>
      <c r="Z455" s="450"/>
    </row>
    <row r="456" spans="1:26" x14ac:dyDescent="0.25">
      <c r="A456" s="457"/>
      <c r="B456" s="446">
        <v>93</v>
      </c>
      <c r="C456" s="446" t="s">
        <v>1456</v>
      </c>
      <c r="D456" s="446">
        <v>36600</v>
      </c>
      <c r="E456" s="448" t="s">
        <v>4590</v>
      </c>
      <c r="F456" s="448" t="s">
        <v>3036</v>
      </c>
      <c r="G456" s="446" t="s">
        <v>205</v>
      </c>
      <c r="H456" s="446" t="s">
        <v>4591</v>
      </c>
      <c r="I456" s="446" t="s">
        <v>2505</v>
      </c>
      <c r="J456" s="446" t="s">
        <v>2489</v>
      </c>
      <c r="K456" s="446" t="s">
        <v>4592</v>
      </c>
      <c r="L456" s="450"/>
      <c r="M456" s="450"/>
      <c r="N456" s="450"/>
      <c r="O456" s="450"/>
      <c r="P456" s="450"/>
      <c r="Q456" s="450"/>
      <c r="R456" s="450"/>
      <c r="S456" s="451"/>
      <c r="T456" s="450"/>
      <c r="U456" s="451"/>
      <c r="V456" s="450"/>
      <c r="W456" s="450"/>
      <c r="X456" s="450"/>
      <c r="Y456" s="450"/>
      <c r="Z456" s="450"/>
    </row>
    <row r="457" spans="1:26" x14ac:dyDescent="0.25">
      <c r="A457" s="457"/>
      <c r="B457" s="446">
        <v>94</v>
      </c>
      <c r="C457" s="446" t="s">
        <v>202</v>
      </c>
      <c r="D457" s="446">
        <v>36612</v>
      </c>
      <c r="E457" s="448" t="s">
        <v>4590</v>
      </c>
      <c r="F457" s="448" t="s">
        <v>4593</v>
      </c>
      <c r="G457" s="446" t="s">
        <v>4114</v>
      </c>
      <c r="H457" s="446" t="s">
        <v>205</v>
      </c>
      <c r="I457" s="446" t="s">
        <v>4594</v>
      </c>
      <c r="J457" s="446" t="s">
        <v>4452</v>
      </c>
      <c r="K457" s="446" t="s">
        <v>4592</v>
      </c>
      <c r="L457" s="450"/>
      <c r="M457" s="450"/>
      <c r="N457" s="450"/>
      <c r="O457" s="450"/>
      <c r="P457" s="450"/>
      <c r="Q457" s="450"/>
      <c r="R457" s="450"/>
      <c r="S457" s="451"/>
      <c r="T457" s="450"/>
      <c r="U457" s="451"/>
      <c r="V457" s="450"/>
      <c r="W457" s="450"/>
      <c r="X457" s="450"/>
      <c r="Y457" s="450"/>
      <c r="Z457" s="450"/>
    </row>
    <row r="458" spans="1:26" x14ac:dyDescent="0.25">
      <c r="A458" s="457"/>
      <c r="B458" s="446">
        <v>95</v>
      </c>
      <c r="C458" s="446" t="s">
        <v>202</v>
      </c>
      <c r="D458" s="446">
        <v>36613</v>
      </c>
      <c r="E458" s="448" t="s">
        <v>4590</v>
      </c>
      <c r="F458" s="448" t="s">
        <v>4595</v>
      </c>
      <c r="G458" s="446" t="s">
        <v>4119</v>
      </c>
      <c r="H458" s="446" t="s">
        <v>4458</v>
      </c>
      <c r="I458" s="446" t="s">
        <v>4596</v>
      </c>
      <c r="J458" s="446" t="s">
        <v>4452</v>
      </c>
      <c r="K458" s="446" t="s">
        <v>4592</v>
      </c>
      <c r="L458" s="450"/>
      <c r="M458" s="450"/>
      <c r="N458" s="450"/>
      <c r="O458" s="450"/>
      <c r="P458" s="450"/>
      <c r="Q458" s="450"/>
      <c r="R458" s="450"/>
      <c r="S458" s="451"/>
      <c r="T458" s="450"/>
      <c r="U458" s="451"/>
      <c r="V458" s="450"/>
      <c r="W458" s="450"/>
      <c r="X458" s="450"/>
      <c r="Y458" s="450"/>
      <c r="Z458" s="450"/>
    </row>
    <row r="459" spans="1:26" x14ac:dyDescent="0.25">
      <c r="A459" s="457"/>
      <c r="B459" s="446">
        <v>98</v>
      </c>
      <c r="C459" s="446" t="s">
        <v>2531</v>
      </c>
      <c r="D459" s="446">
        <v>46146</v>
      </c>
      <c r="E459" s="448" t="s">
        <v>4590</v>
      </c>
      <c r="F459" s="448" t="s">
        <v>3191</v>
      </c>
      <c r="G459" s="446" t="s">
        <v>4597</v>
      </c>
      <c r="H459" s="446" t="s">
        <v>2604</v>
      </c>
      <c r="I459" s="446" t="s">
        <v>4209</v>
      </c>
      <c r="J459" s="446" t="s">
        <v>2534</v>
      </c>
      <c r="K459" s="446" t="s">
        <v>4598</v>
      </c>
      <c r="L459" s="450"/>
      <c r="M459" s="450"/>
      <c r="N459" s="450"/>
      <c r="O459" s="450"/>
      <c r="P459" s="450"/>
      <c r="Q459" s="450"/>
      <c r="R459" s="450"/>
      <c r="S459" s="451"/>
      <c r="T459" s="450"/>
      <c r="U459" s="451"/>
      <c r="V459" s="450"/>
      <c r="W459" s="450"/>
      <c r="X459" s="450"/>
      <c r="Y459" s="450"/>
      <c r="Z459" s="450"/>
    </row>
    <row r="460" spans="1:26" x14ac:dyDescent="0.25">
      <c r="A460" s="457"/>
      <c r="B460" s="446">
        <v>41</v>
      </c>
      <c r="C460" s="446" t="s">
        <v>2189</v>
      </c>
      <c r="D460" s="446" t="s">
        <v>4505</v>
      </c>
      <c r="E460" s="448"/>
      <c r="F460" s="448">
        <v>41190</v>
      </c>
      <c r="G460" s="446" t="s">
        <v>4125</v>
      </c>
      <c r="H460" s="446" t="s">
        <v>4506</v>
      </c>
      <c r="I460" s="446" t="s">
        <v>4507</v>
      </c>
      <c r="J460" s="446" t="s">
        <v>4599</v>
      </c>
      <c r="K460" s="446" t="s">
        <v>3432</v>
      </c>
      <c r="L460" s="450"/>
      <c r="M460" s="450"/>
      <c r="N460" s="450"/>
      <c r="O460" s="450"/>
      <c r="P460" s="450"/>
      <c r="Q460" s="450"/>
      <c r="R460" s="450"/>
      <c r="S460" s="451"/>
      <c r="T460" s="450"/>
      <c r="U460" s="451"/>
      <c r="V460" s="450"/>
      <c r="W460" s="450"/>
      <c r="X460" s="450"/>
      <c r="Y460" s="450"/>
      <c r="Z460" s="450"/>
    </row>
    <row r="461" spans="1:26" x14ac:dyDescent="0.25">
      <c r="A461" s="457"/>
      <c r="B461" s="446">
        <v>42</v>
      </c>
      <c r="C461" s="446" t="s">
        <v>2189</v>
      </c>
      <c r="D461" s="446" t="s">
        <v>4509</v>
      </c>
      <c r="E461" s="448"/>
      <c r="F461" s="448">
        <v>41387</v>
      </c>
      <c r="G461" s="446" t="s">
        <v>2191</v>
      </c>
      <c r="H461" s="446" t="s">
        <v>2192</v>
      </c>
      <c r="I461" s="446" t="s">
        <v>2193</v>
      </c>
      <c r="J461" s="446" t="s">
        <v>4600</v>
      </c>
      <c r="K461" s="446" t="s">
        <v>3432</v>
      </c>
      <c r="L461" s="450"/>
      <c r="M461" s="450"/>
      <c r="N461" s="450"/>
      <c r="O461" s="450"/>
      <c r="P461" s="450"/>
      <c r="Q461" s="450"/>
      <c r="R461" s="450"/>
      <c r="S461" s="451"/>
      <c r="T461" s="450"/>
      <c r="U461" s="451"/>
      <c r="V461" s="450"/>
      <c r="W461" s="450"/>
      <c r="X461" s="450"/>
      <c r="Y461" s="450"/>
      <c r="Z461" s="450"/>
    </row>
    <row r="462" spans="1:26" x14ac:dyDescent="0.25">
      <c r="A462" s="457"/>
      <c r="B462" s="446">
        <v>45</v>
      </c>
      <c r="C462" s="446" t="s">
        <v>1456</v>
      </c>
      <c r="D462" s="446" t="s">
        <v>4517</v>
      </c>
      <c r="E462" s="448"/>
      <c r="F462" s="448">
        <v>42723</v>
      </c>
      <c r="G462" s="446" t="s">
        <v>4518</v>
      </c>
      <c r="H462" s="446" t="s">
        <v>1909</v>
      </c>
      <c r="I462" s="446" t="s">
        <v>4519</v>
      </c>
      <c r="J462" s="446" t="s">
        <v>4601</v>
      </c>
      <c r="K462" s="446" t="s">
        <v>3432</v>
      </c>
      <c r="L462" s="450"/>
      <c r="M462" s="450"/>
      <c r="N462" s="450"/>
      <c r="O462" s="450"/>
      <c r="P462" s="450"/>
      <c r="Q462" s="450"/>
      <c r="R462" s="450"/>
      <c r="S462" s="451"/>
      <c r="T462" s="450"/>
      <c r="U462" s="451"/>
      <c r="V462" s="450"/>
      <c r="W462" s="450"/>
      <c r="X462" s="450"/>
      <c r="Y462" s="450"/>
      <c r="Z462" s="450"/>
    </row>
    <row r="463" spans="1:26" x14ac:dyDescent="0.25">
      <c r="A463" s="446" t="s">
        <v>407</v>
      </c>
      <c r="B463" s="446"/>
      <c r="C463" s="446" t="s">
        <v>408</v>
      </c>
      <c r="D463" s="446" t="s">
        <v>4602</v>
      </c>
      <c r="E463" s="448" t="s">
        <v>4603</v>
      </c>
      <c r="F463" s="448">
        <v>2063</v>
      </c>
      <c r="G463" s="446" t="s">
        <v>410</v>
      </c>
      <c r="H463" s="446" t="s">
        <v>411</v>
      </c>
      <c r="I463" s="446" t="s">
        <v>231</v>
      </c>
      <c r="J463" s="446" t="s">
        <v>4604</v>
      </c>
      <c r="K463" s="446" t="s">
        <v>4605</v>
      </c>
      <c r="L463" s="450"/>
      <c r="M463" s="450"/>
      <c r="N463" s="450"/>
      <c r="O463" s="450"/>
      <c r="P463" s="450"/>
      <c r="Q463" s="450"/>
      <c r="R463" s="450"/>
      <c r="S463" s="451"/>
      <c r="T463" s="450"/>
      <c r="U463" s="451"/>
      <c r="V463" s="450"/>
      <c r="W463" s="450"/>
      <c r="X463" s="450"/>
      <c r="Y463" s="450"/>
      <c r="Z463" s="450"/>
    </row>
    <row r="464" spans="1:26" x14ac:dyDescent="0.25">
      <c r="A464" s="446" t="s">
        <v>423</v>
      </c>
      <c r="B464" s="446"/>
      <c r="C464" s="446" t="s">
        <v>408</v>
      </c>
      <c r="D464" s="446" t="s">
        <v>4606</v>
      </c>
      <c r="E464" s="448" t="s">
        <v>4607</v>
      </c>
      <c r="F464" s="448">
        <v>2601</v>
      </c>
      <c r="G464" s="446" t="s">
        <v>4608</v>
      </c>
      <c r="H464" s="446" t="s">
        <v>426</v>
      </c>
      <c r="I464" s="446" t="s">
        <v>231</v>
      </c>
      <c r="J464" s="446" t="s">
        <v>4604</v>
      </c>
      <c r="K464" s="446" t="s">
        <v>4609</v>
      </c>
      <c r="L464" s="450"/>
      <c r="M464" s="450"/>
      <c r="N464" s="450"/>
      <c r="O464" s="450"/>
      <c r="P464" s="450"/>
      <c r="Q464" s="450"/>
      <c r="R464" s="450"/>
      <c r="S464" s="451"/>
      <c r="T464" s="450"/>
      <c r="U464" s="451"/>
      <c r="V464" s="450"/>
      <c r="W464" s="450"/>
      <c r="X464" s="450"/>
      <c r="Y464" s="450"/>
      <c r="Z464" s="450"/>
    </row>
    <row r="465" spans="1:26" x14ac:dyDescent="0.25">
      <c r="A465" s="446" t="s">
        <v>414</v>
      </c>
      <c r="B465" s="446"/>
      <c r="C465" s="446" t="s">
        <v>415</v>
      </c>
      <c r="D465" s="446" t="s">
        <v>4610</v>
      </c>
      <c r="E465" s="448" t="s">
        <v>4611</v>
      </c>
      <c r="F465" s="448">
        <v>2752</v>
      </c>
      <c r="G465" s="446" t="s">
        <v>106</v>
      </c>
      <c r="H465" s="446" t="s">
        <v>410</v>
      </c>
      <c r="I465" s="446" t="s">
        <v>231</v>
      </c>
      <c r="J465" s="446" t="s">
        <v>4604</v>
      </c>
      <c r="K465" s="446" t="s">
        <v>4612</v>
      </c>
      <c r="L465" s="450"/>
      <c r="M465" s="450"/>
      <c r="N465" s="450"/>
      <c r="O465" s="450"/>
      <c r="P465" s="450"/>
      <c r="Q465" s="450"/>
      <c r="R465" s="450"/>
      <c r="S465" s="451"/>
      <c r="T465" s="450"/>
      <c r="U465" s="451"/>
      <c r="V465" s="450"/>
      <c r="W465" s="450"/>
      <c r="X465" s="450"/>
      <c r="Y465" s="450"/>
      <c r="Z465" s="450"/>
    </row>
    <row r="466" spans="1:26" x14ac:dyDescent="0.25">
      <c r="A466" s="446" t="s">
        <v>439</v>
      </c>
      <c r="B466" s="446"/>
      <c r="C466" s="446" t="s">
        <v>408</v>
      </c>
      <c r="D466" s="446" t="s">
        <v>4613</v>
      </c>
      <c r="E466" s="448" t="s">
        <v>4614</v>
      </c>
      <c r="F466" s="448">
        <v>2755</v>
      </c>
      <c r="G466" s="446" t="s">
        <v>4615</v>
      </c>
      <c r="H466" s="446" t="s">
        <v>442</v>
      </c>
      <c r="I466" s="446" t="s">
        <v>231</v>
      </c>
      <c r="J466" s="446" t="s">
        <v>4604</v>
      </c>
      <c r="K466" s="446" t="s">
        <v>4616</v>
      </c>
      <c r="L466" s="450"/>
      <c r="M466" s="450"/>
      <c r="N466" s="450"/>
      <c r="O466" s="450"/>
      <c r="P466" s="450"/>
      <c r="Q466" s="450"/>
      <c r="R466" s="450"/>
      <c r="S466" s="451"/>
      <c r="T466" s="450"/>
      <c r="U466" s="451"/>
      <c r="V466" s="450"/>
      <c r="W466" s="450"/>
      <c r="X466" s="450"/>
      <c r="Y466" s="450"/>
      <c r="Z466" s="450"/>
    </row>
    <row r="467" spans="1:26" x14ac:dyDescent="0.25">
      <c r="A467" s="446" t="s">
        <v>4617</v>
      </c>
      <c r="B467" s="446"/>
      <c r="C467" s="446" t="s">
        <v>4618</v>
      </c>
      <c r="D467" s="446" t="s">
        <v>4619</v>
      </c>
      <c r="E467" s="448" t="s">
        <v>4620</v>
      </c>
      <c r="F467" s="448">
        <v>2761</v>
      </c>
      <c r="G467" s="446" t="s">
        <v>4621</v>
      </c>
      <c r="H467" s="446" t="s">
        <v>442</v>
      </c>
      <c r="I467" s="446" t="s">
        <v>231</v>
      </c>
      <c r="J467" s="446" t="s">
        <v>746</v>
      </c>
      <c r="K467" s="446" t="s">
        <v>4622</v>
      </c>
      <c r="L467" s="450"/>
      <c r="M467" s="450"/>
      <c r="N467" s="450"/>
      <c r="O467" s="450"/>
      <c r="P467" s="450"/>
      <c r="Q467" s="450"/>
      <c r="R467" s="450"/>
      <c r="S467" s="451"/>
      <c r="T467" s="450"/>
      <c r="U467" s="451"/>
      <c r="V467" s="450"/>
      <c r="W467" s="450"/>
      <c r="X467" s="450"/>
      <c r="Y467" s="450"/>
      <c r="Z467" s="450"/>
    </row>
    <row r="468" spans="1:26" x14ac:dyDescent="0.25">
      <c r="A468" s="446" t="s">
        <v>4623</v>
      </c>
      <c r="B468" s="446"/>
      <c r="C468" s="446" t="s">
        <v>1456</v>
      </c>
      <c r="D468" s="446" t="s">
        <v>4624</v>
      </c>
      <c r="E468" s="448" t="s">
        <v>4625</v>
      </c>
      <c r="F468" s="448">
        <v>2893</v>
      </c>
      <c r="G468" s="446" t="s">
        <v>4626</v>
      </c>
      <c r="H468" s="446" t="s">
        <v>4627</v>
      </c>
      <c r="I468" s="446" t="s">
        <v>231</v>
      </c>
      <c r="J468" s="446" t="s">
        <v>746</v>
      </c>
      <c r="K468" s="446" t="s">
        <v>4628</v>
      </c>
      <c r="L468" s="450"/>
      <c r="M468" s="450"/>
      <c r="N468" s="450"/>
      <c r="O468" s="450"/>
      <c r="P468" s="450"/>
      <c r="Q468" s="450"/>
      <c r="R468" s="450"/>
      <c r="S468" s="451"/>
      <c r="T468" s="450"/>
      <c r="U468" s="451"/>
      <c r="V468" s="450"/>
      <c r="W468" s="450"/>
      <c r="X468" s="450"/>
      <c r="Y468" s="450"/>
      <c r="Z468" s="450"/>
    </row>
    <row r="469" spans="1:26" x14ac:dyDescent="0.25">
      <c r="A469" s="446" t="s">
        <v>448</v>
      </c>
      <c r="B469" s="446"/>
      <c r="C469" s="446" t="s">
        <v>408</v>
      </c>
      <c r="D469" s="446" t="s">
        <v>4629</v>
      </c>
      <c r="E469" s="448" t="s">
        <v>4630</v>
      </c>
      <c r="F469" s="448">
        <v>3189</v>
      </c>
      <c r="G469" s="446" t="s">
        <v>4631</v>
      </c>
      <c r="H469" s="446" t="s">
        <v>451</v>
      </c>
      <c r="I469" s="446" t="s">
        <v>4632</v>
      </c>
      <c r="J469" s="446" t="s">
        <v>4604</v>
      </c>
      <c r="K469" s="446" t="s">
        <v>4633</v>
      </c>
      <c r="L469" s="450"/>
      <c r="M469" s="450"/>
      <c r="N469" s="450"/>
      <c r="O469" s="450"/>
      <c r="P469" s="450"/>
      <c r="Q469" s="450"/>
      <c r="R469" s="450"/>
      <c r="S469" s="451"/>
      <c r="T469" s="450"/>
      <c r="U469" s="451"/>
      <c r="V469" s="450"/>
      <c r="W469" s="450"/>
      <c r="X469" s="450"/>
      <c r="Y469" s="450"/>
      <c r="Z469" s="450"/>
    </row>
    <row r="470" spans="1:26" x14ac:dyDescent="0.25">
      <c r="A470" s="446" t="s">
        <v>4634</v>
      </c>
      <c r="B470" s="446"/>
      <c r="C470" s="446" t="s">
        <v>4618</v>
      </c>
      <c r="D470" s="446" t="s">
        <v>4635</v>
      </c>
      <c r="E470" s="448" t="s">
        <v>4636</v>
      </c>
      <c r="F470" s="448">
        <v>3191</v>
      </c>
      <c r="G470" s="446" t="s">
        <v>4637</v>
      </c>
      <c r="H470" s="446" t="s">
        <v>4638</v>
      </c>
      <c r="I470" s="446" t="s">
        <v>4632</v>
      </c>
      <c r="J470" s="446" t="s">
        <v>746</v>
      </c>
      <c r="K470" s="446" t="s">
        <v>4639</v>
      </c>
      <c r="L470" s="450"/>
      <c r="M470" s="450"/>
      <c r="N470" s="450"/>
      <c r="O470" s="450"/>
      <c r="P470" s="450"/>
      <c r="Q470" s="450"/>
      <c r="R470" s="450"/>
      <c r="S470" s="451"/>
      <c r="T470" s="450"/>
      <c r="U470" s="451"/>
      <c r="V470" s="450"/>
      <c r="W470" s="450"/>
      <c r="X470" s="450"/>
      <c r="Y470" s="450"/>
      <c r="Z470" s="450"/>
    </row>
    <row r="471" spans="1:26" x14ac:dyDescent="0.25">
      <c r="A471" s="446" t="s">
        <v>4640</v>
      </c>
      <c r="B471" s="446"/>
      <c r="C471" s="446" t="s">
        <v>4618</v>
      </c>
      <c r="D471" s="446" t="s">
        <v>4641</v>
      </c>
      <c r="E471" s="448" t="s">
        <v>4636</v>
      </c>
      <c r="F471" s="448">
        <v>3191</v>
      </c>
      <c r="G471" s="446" t="s">
        <v>4637</v>
      </c>
      <c r="H471" s="446" t="s">
        <v>4638</v>
      </c>
      <c r="I471" s="446" t="s">
        <v>4632</v>
      </c>
      <c r="J471" s="446" t="s">
        <v>746</v>
      </c>
      <c r="K471" s="446" t="s">
        <v>4642</v>
      </c>
      <c r="L471" s="450"/>
      <c r="M471" s="450"/>
      <c r="N471" s="450"/>
      <c r="O471" s="450"/>
      <c r="P471" s="450"/>
      <c r="Q471" s="450"/>
      <c r="R471" s="450"/>
      <c r="S471" s="451"/>
      <c r="T471" s="450"/>
      <c r="U471" s="451"/>
      <c r="V471" s="450"/>
      <c r="W471" s="450"/>
      <c r="X471" s="450"/>
      <c r="Y471" s="450"/>
      <c r="Z471" s="450"/>
    </row>
    <row r="472" spans="1:26" x14ac:dyDescent="0.25">
      <c r="A472" s="446" t="s">
        <v>4643</v>
      </c>
      <c r="B472" s="446"/>
      <c r="C472" s="446" t="s">
        <v>1456</v>
      </c>
      <c r="D472" s="446" t="s">
        <v>4644</v>
      </c>
      <c r="E472" s="448" t="s">
        <v>4645</v>
      </c>
      <c r="F472" s="448">
        <v>3313</v>
      </c>
      <c r="G472" s="446" t="s">
        <v>4626</v>
      </c>
      <c r="H472" s="446" t="s">
        <v>4646</v>
      </c>
      <c r="I472" s="446" t="s">
        <v>4632</v>
      </c>
      <c r="J472" s="446" t="s">
        <v>746</v>
      </c>
      <c r="K472" s="446" t="s">
        <v>4647</v>
      </c>
      <c r="L472" s="450"/>
      <c r="M472" s="450"/>
      <c r="N472" s="450"/>
      <c r="O472" s="450"/>
      <c r="P472" s="450"/>
      <c r="Q472" s="450"/>
      <c r="R472" s="450"/>
      <c r="S472" s="451"/>
      <c r="T472" s="450"/>
      <c r="U472" s="451"/>
      <c r="V472" s="450"/>
      <c r="W472" s="450"/>
      <c r="X472" s="450"/>
      <c r="Y472" s="450"/>
      <c r="Z472" s="450"/>
    </row>
    <row r="473" spans="1:26" x14ac:dyDescent="0.25">
      <c r="A473" s="446" t="s">
        <v>458</v>
      </c>
      <c r="B473" s="446"/>
      <c r="C473" s="446" t="s">
        <v>415</v>
      </c>
      <c r="D473" s="446" t="s">
        <v>4648</v>
      </c>
      <c r="E473" s="448" t="s">
        <v>4649</v>
      </c>
      <c r="F473" s="448">
        <v>3652</v>
      </c>
      <c r="G473" s="446" t="s">
        <v>106</v>
      </c>
      <c r="H473" s="446" t="s">
        <v>431</v>
      </c>
      <c r="I473" s="446" t="s">
        <v>231</v>
      </c>
      <c r="J473" s="446" t="s">
        <v>4604</v>
      </c>
      <c r="K473" s="446" t="s">
        <v>4650</v>
      </c>
      <c r="L473" s="450"/>
      <c r="M473" s="450"/>
      <c r="N473" s="450"/>
      <c r="O473" s="450"/>
      <c r="P473" s="450"/>
      <c r="Q473" s="450"/>
      <c r="R473" s="450"/>
      <c r="S473" s="451"/>
      <c r="T473" s="450"/>
      <c r="U473" s="451"/>
      <c r="V473" s="450"/>
      <c r="W473" s="450"/>
      <c r="X473" s="450"/>
      <c r="Y473" s="450"/>
      <c r="Z473" s="450"/>
    </row>
    <row r="474" spans="1:26" x14ac:dyDescent="0.25">
      <c r="A474" s="446" t="s">
        <v>4651</v>
      </c>
      <c r="B474" s="446"/>
      <c r="C474" s="446" t="s">
        <v>1456</v>
      </c>
      <c r="D474" s="446" t="s">
        <v>4652</v>
      </c>
      <c r="E474" s="448" t="s">
        <v>4653</v>
      </c>
      <c r="F474" s="448">
        <v>3737</v>
      </c>
      <c r="G474" s="446" t="s">
        <v>4654</v>
      </c>
      <c r="H474" s="446" t="s">
        <v>4655</v>
      </c>
      <c r="I474" s="446" t="s">
        <v>4632</v>
      </c>
      <c r="J474" s="446" t="s">
        <v>746</v>
      </c>
      <c r="K474" s="446" t="s">
        <v>4656</v>
      </c>
      <c r="L474" s="450"/>
      <c r="M474" s="450"/>
      <c r="N474" s="450"/>
      <c r="O474" s="450"/>
      <c r="P474" s="450"/>
      <c r="Q474" s="450"/>
      <c r="R474" s="450"/>
      <c r="S474" s="451"/>
      <c r="T474" s="450"/>
      <c r="U474" s="451"/>
      <c r="V474" s="450"/>
      <c r="W474" s="450"/>
      <c r="X474" s="450"/>
      <c r="Y474" s="450"/>
      <c r="Z474" s="450"/>
    </row>
    <row r="475" spans="1:26" x14ac:dyDescent="0.25">
      <c r="A475" s="446" t="s">
        <v>4657</v>
      </c>
      <c r="B475" s="446"/>
      <c r="C475" s="446" t="s">
        <v>1456</v>
      </c>
      <c r="D475" s="446" t="s">
        <v>4658</v>
      </c>
      <c r="E475" s="448" t="s">
        <v>4659</v>
      </c>
      <c r="F475" s="448">
        <v>4163</v>
      </c>
      <c r="G475" s="446" t="s">
        <v>4660</v>
      </c>
      <c r="H475" s="446" t="s">
        <v>4661</v>
      </c>
      <c r="I475" s="446" t="s">
        <v>4632</v>
      </c>
      <c r="J475" s="446" t="s">
        <v>746</v>
      </c>
      <c r="K475" s="446" t="s">
        <v>4662</v>
      </c>
      <c r="L475" s="450"/>
      <c r="M475" s="450"/>
      <c r="N475" s="450"/>
      <c r="O475" s="450"/>
      <c r="P475" s="450"/>
      <c r="Q475" s="450"/>
      <c r="R475" s="450"/>
      <c r="S475" s="451"/>
      <c r="T475" s="450"/>
      <c r="U475" s="451"/>
      <c r="V475" s="450"/>
      <c r="W475" s="450"/>
      <c r="X475" s="450"/>
      <c r="Y475" s="450"/>
      <c r="Z475" s="450"/>
    </row>
    <row r="476" spans="1:26" x14ac:dyDescent="0.25">
      <c r="A476" s="446" t="s">
        <v>469</v>
      </c>
      <c r="B476" s="446"/>
      <c r="C476" s="446" t="s">
        <v>408</v>
      </c>
      <c r="D476" s="446" t="s">
        <v>4663</v>
      </c>
      <c r="E476" s="448" t="s">
        <v>4664</v>
      </c>
      <c r="F476" s="448">
        <v>4759</v>
      </c>
      <c r="G476" s="446" t="s">
        <v>4665</v>
      </c>
      <c r="H476" s="446" t="s">
        <v>472</v>
      </c>
      <c r="I476" s="446" t="s">
        <v>231</v>
      </c>
      <c r="J476" s="446" t="s">
        <v>4604</v>
      </c>
      <c r="K476" s="446" t="s">
        <v>4666</v>
      </c>
      <c r="L476" s="450"/>
      <c r="M476" s="450"/>
      <c r="N476" s="450"/>
      <c r="O476" s="450"/>
      <c r="P476" s="450"/>
      <c r="Q476" s="450"/>
      <c r="R476" s="450"/>
      <c r="S476" s="451"/>
      <c r="T476" s="450"/>
      <c r="U476" s="451"/>
      <c r="V476" s="450"/>
      <c r="W476" s="450"/>
      <c r="X476" s="450"/>
      <c r="Y476" s="450"/>
      <c r="Z476" s="450"/>
    </row>
    <row r="477" spans="1:26" x14ac:dyDescent="0.25">
      <c r="A477" s="446" t="s">
        <v>4667</v>
      </c>
      <c r="B477" s="446"/>
      <c r="C477" s="446" t="s">
        <v>1456</v>
      </c>
      <c r="D477" s="446" t="s">
        <v>4668</v>
      </c>
      <c r="E477" s="448" t="s">
        <v>4669</v>
      </c>
      <c r="F477" s="448">
        <v>4820</v>
      </c>
      <c r="G477" s="446" t="s">
        <v>4654</v>
      </c>
      <c r="H477" s="446" t="s">
        <v>4670</v>
      </c>
      <c r="I477" s="446" t="s">
        <v>231</v>
      </c>
      <c r="J477" s="446" t="s">
        <v>746</v>
      </c>
      <c r="K477" s="446" t="s">
        <v>4671</v>
      </c>
      <c r="L477" s="450"/>
      <c r="M477" s="450"/>
      <c r="N477" s="450"/>
      <c r="O477" s="450"/>
      <c r="P477" s="450"/>
      <c r="Q477" s="450"/>
      <c r="R477" s="450"/>
      <c r="S477" s="451"/>
      <c r="T477" s="450"/>
      <c r="U477" s="451"/>
      <c r="V477" s="450"/>
      <c r="W477" s="450"/>
      <c r="X477" s="450"/>
      <c r="Y477" s="450"/>
      <c r="Z477" s="450"/>
    </row>
    <row r="478" spans="1:26" x14ac:dyDescent="0.25">
      <c r="A478" s="446" t="s">
        <v>4672</v>
      </c>
      <c r="B478" s="446"/>
      <c r="C478" s="446" t="s">
        <v>1456</v>
      </c>
      <c r="D478" s="446" t="s">
        <v>4673</v>
      </c>
      <c r="E478" s="448" t="s">
        <v>4674</v>
      </c>
      <c r="F478" s="448">
        <v>4839</v>
      </c>
      <c r="G478" s="446" t="s">
        <v>4675</v>
      </c>
      <c r="H478" s="446" t="s">
        <v>2704</v>
      </c>
      <c r="I478" s="446" t="s">
        <v>4632</v>
      </c>
      <c r="J478" s="446" t="s">
        <v>746</v>
      </c>
      <c r="K478" s="446" t="s">
        <v>4676</v>
      </c>
      <c r="L478" s="450"/>
      <c r="M478" s="450"/>
      <c r="N478" s="450"/>
      <c r="O478" s="450"/>
      <c r="P478" s="450"/>
      <c r="Q478" s="450"/>
      <c r="R478" s="450"/>
      <c r="S478" s="451"/>
      <c r="T478" s="450"/>
      <c r="U478" s="451"/>
      <c r="V478" s="450"/>
      <c r="W478" s="450"/>
      <c r="X478" s="450"/>
      <c r="Y478" s="450"/>
      <c r="Z478" s="450"/>
    </row>
    <row r="479" spans="1:26" x14ac:dyDescent="0.25">
      <c r="A479" s="446" t="s">
        <v>4677</v>
      </c>
      <c r="B479" s="446"/>
      <c r="C479" s="446" t="s">
        <v>1456</v>
      </c>
      <c r="D479" s="446" t="s">
        <v>4678</v>
      </c>
      <c r="E479" s="448" t="s">
        <v>4679</v>
      </c>
      <c r="F479" s="448">
        <v>4852</v>
      </c>
      <c r="G479" s="446" t="s">
        <v>4654</v>
      </c>
      <c r="H479" s="446" t="s">
        <v>4680</v>
      </c>
      <c r="I479" s="446" t="s">
        <v>231</v>
      </c>
      <c r="J479" s="446" t="s">
        <v>746</v>
      </c>
      <c r="K479" s="446" t="s">
        <v>4681</v>
      </c>
      <c r="L479" s="450"/>
      <c r="M479" s="450"/>
      <c r="N479" s="450"/>
      <c r="O479" s="450"/>
      <c r="P479" s="450"/>
      <c r="Q479" s="450"/>
      <c r="R479" s="450"/>
      <c r="S479" s="451"/>
      <c r="T479" s="450"/>
      <c r="U479" s="451"/>
      <c r="V479" s="450"/>
      <c r="W479" s="450"/>
      <c r="X479" s="450"/>
      <c r="Y479" s="450"/>
      <c r="Z479" s="450"/>
    </row>
    <row r="480" spans="1:26" x14ac:dyDescent="0.25">
      <c r="A480" s="446" t="s">
        <v>4682</v>
      </c>
      <c r="B480" s="446"/>
      <c r="C480" s="446" t="s">
        <v>4618</v>
      </c>
      <c r="D480" s="446" t="s">
        <v>4683</v>
      </c>
      <c r="E480" s="448" t="s">
        <v>4684</v>
      </c>
      <c r="F480" s="448">
        <v>5287</v>
      </c>
      <c r="G480" s="446" t="s">
        <v>4685</v>
      </c>
      <c r="H480" s="446" t="s">
        <v>4686</v>
      </c>
      <c r="I480" s="446" t="s">
        <v>4632</v>
      </c>
      <c r="J480" s="446" t="s">
        <v>746</v>
      </c>
      <c r="K480" s="446" t="s">
        <v>4687</v>
      </c>
      <c r="L480" s="450"/>
      <c r="M480" s="450"/>
      <c r="N480" s="450"/>
      <c r="O480" s="450"/>
      <c r="P480" s="450"/>
      <c r="Q480" s="450"/>
      <c r="R480" s="450"/>
      <c r="S480" s="451"/>
      <c r="T480" s="450"/>
      <c r="U480" s="451"/>
      <c r="V480" s="450"/>
      <c r="W480" s="450"/>
      <c r="X480" s="450"/>
      <c r="Y480" s="450"/>
      <c r="Z480" s="450"/>
    </row>
    <row r="481" spans="1:26" x14ac:dyDescent="0.25">
      <c r="A481" s="446" t="s">
        <v>4688</v>
      </c>
      <c r="B481" s="446"/>
      <c r="C481" s="446" t="s">
        <v>4618</v>
      </c>
      <c r="D481" s="446" t="s">
        <v>4689</v>
      </c>
      <c r="E481" s="448" t="s">
        <v>4690</v>
      </c>
      <c r="F481" s="448">
        <v>5328</v>
      </c>
      <c r="G481" s="446" t="s">
        <v>4654</v>
      </c>
      <c r="H481" s="446" t="s">
        <v>4691</v>
      </c>
      <c r="I481" s="446" t="s">
        <v>4632</v>
      </c>
      <c r="J481" s="446" t="s">
        <v>746</v>
      </c>
      <c r="K481" s="446" t="s">
        <v>4692</v>
      </c>
      <c r="L481" s="450"/>
      <c r="M481" s="450"/>
      <c r="N481" s="450"/>
      <c r="O481" s="450"/>
      <c r="P481" s="450"/>
      <c r="Q481" s="450"/>
      <c r="R481" s="450"/>
      <c r="S481" s="451"/>
      <c r="T481" s="450"/>
      <c r="U481" s="451"/>
      <c r="V481" s="450"/>
      <c r="W481" s="450"/>
      <c r="X481" s="450"/>
      <c r="Y481" s="450"/>
      <c r="Z481" s="450"/>
    </row>
    <row r="482" spans="1:26" x14ac:dyDescent="0.25">
      <c r="A482" s="446" t="s">
        <v>4693</v>
      </c>
      <c r="B482" s="446"/>
      <c r="C482" s="446" t="s">
        <v>4618</v>
      </c>
      <c r="D482" s="446" t="s">
        <v>4694</v>
      </c>
      <c r="E482" s="448" t="s">
        <v>4695</v>
      </c>
      <c r="F482" s="448">
        <v>5340</v>
      </c>
      <c r="G482" s="446" t="s">
        <v>4696</v>
      </c>
      <c r="H482" s="446" t="s">
        <v>4615</v>
      </c>
      <c r="I482" s="446" t="s">
        <v>231</v>
      </c>
      <c r="J482" s="446" t="s">
        <v>746</v>
      </c>
      <c r="K482" s="446" t="s">
        <v>4697</v>
      </c>
      <c r="L482" s="450"/>
      <c r="M482" s="450"/>
      <c r="N482" s="450"/>
      <c r="O482" s="450"/>
      <c r="P482" s="450"/>
      <c r="Q482" s="450"/>
      <c r="R482" s="450"/>
      <c r="S482" s="451"/>
      <c r="T482" s="450"/>
      <c r="U482" s="451"/>
      <c r="V482" s="450"/>
      <c r="W482" s="450"/>
      <c r="X482" s="450"/>
      <c r="Y482" s="450"/>
      <c r="Z482" s="450"/>
    </row>
    <row r="483" spans="1:26" x14ac:dyDescent="0.25">
      <c r="A483" s="446" t="s">
        <v>4698</v>
      </c>
      <c r="B483" s="446"/>
      <c r="C483" s="446" t="s">
        <v>1456</v>
      </c>
      <c r="D483" s="446" t="s">
        <v>4699</v>
      </c>
      <c r="E483" s="448" t="s">
        <v>4700</v>
      </c>
      <c r="F483" s="448">
        <v>5439</v>
      </c>
      <c r="G483" s="446" t="s">
        <v>4701</v>
      </c>
      <c r="H483" s="446" t="s">
        <v>4702</v>
      </c>
      <c r="I483" s="446" t="s">
        <v>231</v>
      </c>
      <c r="J483" s="446" t="s">
        <v>746</v>
      </c>
      <c r="K483" s="446" t="s">
        <v>4703</v>
      </c>
      <c r="L483" s="450"/>
      <c r="M483" s="450"/>
      <c r="N483" s="450"/>
      <c r="O483" s="450"/>
      <c r="P483" s="450"/>
      <c r="Q483" s="450"/>
      <c r="R483" s="450"/>
      <c r="S483" s="451"/>
      <c r="T483" s="450"/>
      <c r="U483" s="451"/>
      <c r="V483" s="450"/>
      <c r="W483" s="450"/>
      <c r="X483" s="450"/>
      <c r="Y483" s="450"/>
      <c r="Z483" s="450"/>
    </row>
    <row r="484" spans="1:26" x14ac:dyDescent="0.25">
      <c r="A484" s="446" t="s">
        <v>4704</v>
      </c>
      <c r="B484" s="446"/>
      <c r="C484" s="446" t="s">
        <v>4618</v>
      </c>
      <c r="D484" s="446" t="s">
        <v>4705</v>
      </c>
      <c r="E484" s="448" t="s">
        <v>4700</v>
      </c>
      <c r="F484" s="448">
        <v>5439</v>
      </c>
      <c r="G484" s="446" t="s">
        <v>4627</v>
      </c>
      <c r="H484" s="446" t="s">
        <v>4706</v>
      </c>
      <c r="I484" s="446" t="s">
        <v>231</v>
      </c>
      <c r="J484" s="446" t="s">
        <v>746</v>
      </c>
      <c r="K484" s="446" t="s">
        <v>4707</v>
      </c>
      <c r="L484" s="450"/>
      <c r="M484" s="450"/>
      <c r="N484" s="450"/>
      <c r="O484" s="450"/>
      <c r="P484" s="450"/>
      <c r="Q484" s="450"/>
      <c r="R484" s="450"/>
      <c r="S484" s="451"/>
      <c r="T484" s="450"/>
      <c r="U484" s="451"/>
      <c r="V484" s="450"/>
      <c r="W484" s="450"/>
      <c r="X484" s="450"/>
      <c r="Y484" s="450"/>
      <c r="Z484" s="450"/>
    </row>
    <row r="485" spans="1:26" x14ac:dyDescent="0.25">
      <c r="A485" s="446" t="s">
        <v>4708</v>
      </c>
      <c r="B485" s="446"/>
      <c r="C485" s="446" t="s">
        <v>3063</v>
      </c>
      <c r="D485" s="446" t="s">
        <v>4709</v>
      </c>
      <c r="E485" s="448" t="s">
        <v>4710</v>
      </c>
      <c r="F485" s="448">
        <v>5913</v>
      </c>
      <c r="G485" s="446" t="s">
        <v>2704</v>
      </c>
      <c r="H485" s="446" t="s">
        <v>4711</v>
      </c>
      <c r="I485" s="446" t="s">
        <v>4632</v>
      </c>
      <c r="J485" s="446" t="s">
        <v>746</v>
      </c>
      <c r="K485" s="446" t="s">
        <v>4712</v>
      </c>
      <c r="L485" s="450"/>
      <c r="M485" s="450"/>
      <c r="N485" s="450"/>
      <c r="O485" s="450"/>
      <c r="P485" s="450"/>
      <c r="Q485" s="450"/>
      <c r="R485" s="450"/>
      <c r="S485" s="451"/>
      <c r="T485" s="450"/>
      <c r="U485" s="451"/>
      <c r="V485" s="450"/>
      <c r="W485" s="450"/>
      <c r="X485" s="450"/>
      <c r="Y485" s="450"/>
      <c r="Z485" s="450"/>
    </row>
    <row r="486" spans="1:26" x14ac:dyDescent="0.25">
      <c r="A486" s="446" t="s">
        <v>473</v>
      </c>
      <c r="B486" s="446"/>
      <c r="C486" s="446" t="s">
        <v>408</v>
      </c>
      <c r="D486" s="446" t="s">
        <v>4713</v>
      </c>
      <c r="E486" s="448" t="s">
        <v>4714</v>
      </c>
      <c r="F486" s="448">
        <v>5925</v>
      </c>
      <c r="G486" s="446" t="s">
        <v>4715</v>
      </c>
      <c r="H486" s="446" t="s">
        <v>476</v>
      </c>
      <c r="I486" s="446" t="s">
        <v>4632</v>
      </c>
      <c r="J486" s="446" t="s">
        <v>4604</v>
      </c>
      <c r="K486" s="446" t="s">
        <v>4716</v>
      </c>
      <c r="L486" s="450"/>
      <c r="M486" s="450"/>
      <c r="N486" s="450"/>
      <c r="O486" s="450"/>
      <c r="P486" s="450"/>
      <c r="Q486" s="450"/>
      <c r="R486" s="450"/>
      <c r="S486" s="451"/>
      <c r="T486" s="450"/>
      <c r="U486" s="451"/>
      <c r="V486" s="450"/>
      <c r="W486" s="450"/>
      <c r="X486" s="450"/>
      <c r="Y486" s="450"/>
      <c r="Z486" s="450"/>
    </row>
    <row r="487" spans="1:26" x14ac:dyDescent="0.25">
      <c r="A487" s="446" t="s">
        <v>4717</v>
      </c>
      <c r="B487" s="446"/>
      <c r="C487" s="446" t="s">
        <v>4618</v>
      </c>
      <c r="D487" s="446" t="s">
        <v>4718</v>
      </c>
      <c r="E487" s="448" t="s">
        <v>4719</v>
      </c>
      <c r="F487" s="448">
        <v>6271</v>
      </c>
      <c r="G487" s="446" t="s">
        <v>4627</v>
      </c>
      <c r="H487" s="446" t="s">
        <v>4720</v>
      </c>
      <c r="I487" s="446" t="s">
        <v>231</v>
      </c>
      <c r="J487" s="446" t="s">
        <v>746</v>
      </c>
      <c r="K487" s="446" t="s">
        <v>4721</v>
      </c>
      <c r="L487" s="450"/>
      <c r="M487" s="450"/>
      <c r="N487" s="450"/>
      <c r="O487" s="450"/>
      <c r="P487" s="450"/>
      <c r="Q487" s="450"/>
      <c r="R487" s="450"/>
      <c r="S487" s="451"/>
      <c r="T487" s="450"/>
      <c r="U487" s="451"/>
      <c r="V487" s="450"/>
      <c r="W487" s="450"/>
      <c r="X487" s="450"/>
      <c r="Y487" s="450"/>
      <c r="Z487" s="450"/>
    </row>
    <row r="488" spans="1:26" x14ac:dyDescent="0.25">
      <c r="A488" s="446" t="s">
        <v>4722</v>
      </c>
      <c r="B488" s="446"/>
      <c r="C488" s="446" t="s">
        <v>202</v>
      </c>
      <c r="D488" s="446" t="s">
        <v>4723</v>
      </c>
      <c r="E488" s="448" t="s">
        <v>4724</v>
      </c>
      <c r="F488" s="448">
        <v>6333</v>
      </c>
      <c r="G488" s="446" t="s">
        <v>4725</v>
      </c>
      <c r="H488" s="446" t="s">
        <v>4726</v>
      </c>
      <c r="I488" s="446" t="s">
        <v>4632</v>
      </c>
      <c r="J488" s="446" t="s">
        <v>746</v>
      </c>
      <c r="K488" s="446" t="s">
        <v>4727</v>
      </c>
      <c r="L488" s="450"/>
      <c r="M488" s="450"/>
      <c r="N488" s="450"/>
      <c r="O488" s="450"/>
      <c r="P488" s="450"/>
      <c r="Q488" s="450"/>
      <c r="R488" s="450"/>
      <c r="S488" s="451"/>
      <c r="T488" s="450"/>
      <c r="U488" s="451"/>
      <c r="V488" s="450"/>
      <c r="W488" s="450"/>
      <c r="X488" s="450"/>
      <c r="Y488" s="450"/>
      <c r="Z488" s="450"/>
    </row>
    <row r="489" spans="1:26" x14ac:dyDescent="0.25">
      <c r="A489" s="446" t="s">
        <v>4728</v>
      </c>
      <c r="B489" s="446"/>
      <c r="C489" s="446" t="s">
        <v>202</v>
      </c>
      <c r="D489" s="446" t="s">
        <v>4729</v>
      </c>
      <c r="E489" s="448" t="s">
        <v>4724</v>
      </c>
      <c r="F489" s="448">
        <v>6333</v>
      </c>
      <c r="G489" s="446" t="s">
        <v>4730</v>
      </c>
      <c r="H489" s="446" t="s">
        <v>4726</v>
      </c>
      <c r="I489" s="446" t="s">
        <v>231</v>
      </c>
      <c r="J489" s="446" t="s">
        <v>746</v>
      </c>
      <c r="K489" s="446" t="s">
        <v>4731</v>
      </c>
      <c r="L489" s="450"/>
      <c r="M489" s="450"/>
      <c r="N489" s="450"/>
      <c r="O489" s="450"/>
      <c r="P489" s="450"/>
      <c r="Q489" s="450"/>
      <c r="R489" s="450"/>
      <c r="S489" s="451"/>
      <c r="T489" s="450"/>
      <c r="U489" s="451"/>
      <c r="V489" s="450"/>
      <c r="W489" s="450"/>
      <c r="X489" s="450"/>
      <c r="Y489" s="450"/>
      <c r="Z489" s="450"/>
    </row>
    <row r="490" spans="1:26" x14ac:dyDescent="0.25">
      <c r="A490" s="446" t="s">
        <v>4732</v>
      </c>
      <c r="B490" s="446"/>
      <c r="C490" s="446" t="s">
        <v>202</v>
      </c>
      <c r="D490" s="446" t="s">
        <v>4733</v>
      </c>
      <c r="E490" s="448" t="s">
        <v>4734</v>
      </c>
      <c r="F490" s="448">
        <v>6399</v>
      </c>
      <c r="G490" s="446" t="s">
        <v>4615</v>
      </c>
      <c r="H490" s="446" t="s">
        <v>4735</v>
      </c>
      <c r="I490" s="446" t="s">
        <v>231</v>
      </c>
      <c r="J490" s="446" t="s">
        <v>746</v>
      </c>
      <c r="K490" s="446" t="s">
        <v>4736</v>
      </c>
      <c r="L490" s="450"/>
      <c r="M490" s="450"/>
      <c r="N490" s="450"/>
      <c r="O490" s="450"/>
      <c r="P490" s="450"/>
      <c r="Q490" s="450"/>
      <c r="R490" s="450"/>
      <c r="S490" s="451"/>
      <c r="T490" s="450"/>
      <c r="U490" s="451"/>
      <c r="V490" s="450"/>
      <c r="W490" s="450"/>
      <c r="X490" s="450"/>
      <c r="Y490" s="450"/>
      <c r="Z490" s="450"/>
    </row>
    <row r="491" spans="1:26" x14ac:dyDescent="0.25">
      <c r="A491" s="446" t="s">
        <v>4737</v>
      </c>
      <c r="B491" s="446"/>
      <c r="C491" s="446" t="s">
        <v>202</v>
      </c>
      <c r="D491" s="446" t="s">
        <v>4738</v>
      </c>
      <c r="E491" s="448" t="s">
        <v>4734</v>
      </c>
      <c r="F491" s="448">
        <v>6399</v>
      </c>
      <c r="G491" s="446" t="s">
        <v>4739</v>
      </c>
      <c r="H491" s="446" t="s">
        <v>4735</v>
      </c>
      <c r="I491" s="446" t="s">
        <v>231</v>
      </c>
      <c r="J491" s="446" t="s">
        <v>746</v>
      </c>
      <c r="K491" s="446" t="s">
        <v>4740</v>
      </c>
      <c r="L491" s="450"/>
      <c r="M491" s="450"/>
      <c r="N491" s="450"/>
      <c r="O491" s="450"/>
      <c r="P491" s="450"/>
      <c r="Q491" s="450"/>
      <c r="R491" s="450"/>
      <c r="S491" s="451"/>
      <c r="T491" s="450"/>
      <c r="U491" s="451"/>
      <c r="V491" s="450"/>
      <c r="W491" s="450"/>
      <c r="X491" s="450"/>
      <c r="Y491" s="450"/>
      <c r="Z491" s="450"/>
    </row>
    <row r="492" spans="1:26" x14ac:dyDescent="0.25">
      <c r="A492" s="446" t="s">
        <v>4741</v>
      </c>
      <c r="B492" s="446"/>
      <c r="C492" s="446" t="s">
        <v>4618</v>
      </c>
      <c r="D492" s="446" t="s">
        <v>4742</v>
      </c>
      <c r="E492" s="448" t="s">
        <v>4743</v>
      </c>
      <c r="F492" s="448">
        <v>6566</v>
      </c>
      <c r="G492" s="446" t="s">
        <v>4680</v>
      </c>
      <c r="H492" s="446" t="s">
        <v>4744</v>
      </c>
      <c r="I492" s="446" t="s">
        <v>231</v>
      </c>
      <c r="J492" s="446" t="s">
        <v>746</v>
      </c>
      <c r="K492" s="446" t="s">
        <v>4745</v>
      </c>
      <c r="L492" s="450"/>
      <c r="M492" s="450"/>
      <c r="N492" s="450"/>
      <c r="O492" s="450"/>
      <c r="P492" s="450"/>
      <c r="Q492" s="450"/>
      <c r="R492" s="450"/>
      <c r="S492" s="451"/>
      <c r="T492" s="450"/>
      <c r="U492" s="451"/>
      <c r="V492" s="450"/>
      <c r="W492" s="450"/>
      <c r="X492" s="450"/>
      <c r="Y492" s="450"/>
      <c r="Z492" s="450"/>
    </row>
    <row r="493" spans="1:26" x14ac:dyDescent="0.25">
      <c r="A493" s="446" t="s">
        <v>4746</v>
      </c>
      <c r="B493" s="446"/>
      <c r="C493" s="446" t="s">
        <v>4618</v>
      </c>
      <c r="D493" s="446" t="s">
        <v>4747</v>
      </c>
      <c r="E493" s="448" t="s">
        <v>4748</v>
      </c>
      <c r="F493" s="448">
        <v>6589</v>
      </c>
      <c r="G493" s="446" t="s">
        <v>4749</v>
      </c>
      <c r="H493" s="446" t="s">
        <v>4615</v>
      </c>
      <c r="I493" s="446" t="s">
        <v>231</v>
      </c>
      <c r="J493" s="446" t="s">
        <v>746</v>
      </c>
      <c r="K493" s="446" t="s">
        <v>4750</v>
      </c>
      <c r="L493" s="450"/>
      <c r="M493" s="450"/>
      <c r="N493" s="450"/>
      <c r="O493" s="450"/>
      <c r="P493" s="450"/>
      <c r="Q493" s="450"/>
      <c r="R493" s="450"/>
      <c r="S493" s="451"/>
      <c r="T493" s="450"/>
      <c r="U493" s="451"/>
      <c r="V493" s="450"/>
      <c r="W493" s="450"/>
      <c r="X493" s="450"/>
      <c r="Y493" s="450"/>
      <c r="Z493" s="450"/>
    </row>
    <row r="494" spans="1:26" x14ac:dyDescent="0.25">
      <c r="A494" s="446" t="s">
        <v>4751</v>
      </c>
      <c r="B494" s="446"/>
      <c r="C494" s="446" t="s">
        <v>4618</v>
      </c>
      <c r="D494" s="446" t="s">
        <v>4752</v>
      </c>
      <c r="E494" s="448" t="s">
        <v>4753</v>
      </c>
      <c r="F494" s="448">
        <v>6596</v>
      </c>
      <c r="G494" s="446" t="s">
        <v>4701</v>
      </c>
      <c r="H494" s="446" t="s">
        <v>4754</v>
      </c>
      <c r="I494" s="446" t="s">
        <v>231</v>
      </c>
      <c r="J494" s="446" t="s">
        <v>746</v>
      </c>
      <c r="K494" s="446" t="s">
        <v>4755</v>
      </c>
      <c r="L494" s="450"/>
      <c r="M494" s="450"/>
      <c r="N494" s="450"/>
      <c r="O494" s="450"/>
      <c r="P494" s="450"/>
      <c r="Q494" s="450"/>
      <c r="R494" s="450"/>
      <c r="S494" s="451"/>
      <c r="T494" s="450"/>
      <c r="U494" s="451"/>
      <c r="V494" s="450"/>
      <c r="W494" s="450"/>
      <c r="X494" s="450"/>
      <c r="Y494" s="450"/>
      <c r="Z494" s="450"/>
    </row>
    <row r="495" spans="1:26" x14ac:dyDescent="0.25">
      <c r="A495" s="446" t="s">
        <v>477</v>
      </c>
      <c r="B495" s="446"/>
      <c r="C495" s="446" t="s">
        <v>408</v>
      </c>
      <c r="D495" s="446" t="s">
        <v>4756</v>
      </c>
      <c r="E495" s="448" t="s">
        <v>4757</v>
      </c>
      <c r="F495" s="448">
        <v>6887</v>
      </c>
      <c r="G495" s="446" t="s">
        <v>4615</v>
      </c>
      <c r="H495" s="446" t="s">
        <v>479</v>
      </c>
      <c r="I495" s="446" t="s">
        <v>231</v>
      </c>
      <c r="J495" s="446" t="s">
        <v>4604</v>
      </c>
      <c r="K495" s="446" t="s">
        <v>4758</v>
      </c>
      <c r="L495" s="450"/>
      <c r="M495" s="450"/>
      <c r="N495" s="450"/>
      <c r="O495" s="450"/>
      <c r="P495" s="450"/>
      <c r="Q495" s="450"/>
      <c r="R495" s="450"/>
      <c r="S495" s="451"/>
      <c r="T495" s="450"/>
      <c r="U495" s="451"/>
      <c r="V495" s="450"/>
      <c r="W495" s="450"/>
      <c r="X495" s="450"/>
      <c r="Y495" s="450"/>
      <c r="Z495" s="450"/>
    </row>
    <row r="496" spans="1:26" x14ac:dyDescent="0.25">
      <c r="A496" s="446" t="s">
        <v>4759</v>
      </c>
      <c r="B496" s="446"/>
      <c r="C496" s="446" t="s">
        <v>4618</v>
      </c>
      <c r="D496" s="446" t="s">
        <v>4760</v>
      </c>
      <c r="E496" s="448" t="s">
        <v>4761</v>
      </c>
      <c r="F496" s="448">
        <v>6888</v>
      </c>
      <c r="G496" s="446" t="s">
        <v>4762</v>
      </c>
      <c r="H496" s="446" t="s">
        <v>4615</v>
      </c>
      <c r="I496" s="446" t="s">
        <v>231</v>
      </c>
      <c r="J496" s="446" t="s">
        <v>746</v>
      </c>
      <c r="K496" s="446" t="s">
        <v>4763</v>
      </c>
      <c r="L496" s="450"/>
      <c r="M496" s="450"/>
      <c r="N496" s="450"/>
      <c r="O496" s="450"/>
      <c r="P496" s="450"/>
      <c r="Q496" s="450"/>
      <c r="R496" s="450"/>
      <c r="S496" s="451"/>
      <c r="T496" s="450"/>
      <c r="U496" s="451"/>
      <c r="V496" s="450"/>
      <c r="W496" s="450"/>
      <c r="X496" s="450"/>
      <c r="Y496" s="450"/>
      <c r="Z496" s="450"/>
    </row>
    <row r="497" spans="1:26" x14ac:dyDescent="0.25">
      <c r="A497" s="446" t="s">
        <v>2676</v>
      </c>
      <c r="B497" s="446"/>
      <c r="C497" s="446" t="s">
        <v>756</v>
      </c>
      <c r="D497" s="446" t="s">
        <v>4764</v>
      </c>
      <c r="E497" s="448" t="s">
        <v>4765</v>
      </c>
      <c r="F497" s="448">
        <v>6902</v>
      </c>
      <c r="G497" s="446" t="s">
        <v>2678</v>
      </c>
      <c r="H497" s="446" t="s">
        <v>484</v>
      </c>
      <c r="I497" s="446" t="s">
        <v>231</v>
      </c>
      <c r="J497" s="446" t="s">
        <v>760</v>
      </c>
      <c r="K497" s="446" t="s">
        <v>4766</v>
      </c>
      <c r="L497" s="450"/>
      <c r="M497" s="450"/>
      <c r="N497" s="450"/>
      <c r="O497" s="450"/>
      <c r="P497" s="450"/>
      <c r="Q497" s="450"/>
      <c r="R497" s="450"/>
      <c r="S497" s="451"/>
      <c r="T497" s="450"/>
      <c r="U497" s="451"/>
      <c r="V497" s="450"/>
      <c r="W497" s="450"/>
      <c r="X497" s="450"/>
      <c r="Y497" s="450"/>
      <c r="Z497" s="450"/>
    </row>
    <row r="498" spans="1:26" x14ac:dyDescent="0.25">
      <c r="A498" s="446" t="s">
        <v>4767</v>
      </c>
      <c r="B498" s="446"/>
      <c r="C498" s="446" t="s">
        <v>202</v>
      </c>
      <c r="D498" s="446" t="s">
        <v>4768</v>
      </c>
      <c r="E498" s="448" t="s">
        <v>4769</v>
      </c>
      <c r="F498" s="448">
        <v>7090</v>
      </c>
      <c r="G498" s="446" t="s">
        <v>472</v>
      </c>
      <c r="H498" s="446" t="s">
        <v>4770</v>
      </c>
      <c r="I498" s="446" t="s">
        <v>231</v>
      </c>
      <c r="J498" s="446" t="s">
        <v>746</v>
      </c>
      <c r="K498" s="446" t="s">
        <v>4771</v>
      </c>
      <c r="L498" s="450"/>
      <c r="M498" s="450"/>
      <c r="N498" s="450"/>
      <c r="O498" s="450"/>
      <c r="P498" s="450"/>
      <c r="Q498" s="450"/>
      <c r="R498" s="450"/>
      <c r="S498" s="451"/>
      <c r="T498" s="450"/>
      <c r="U498" s="451"/>
      <c r="V498" s="450"/>
      <c r="W498" s="450"/>
      <c r="X498" s="450"/>
      <c r="Y498" s="450"/>
      <c r="Z498" s="450"/>
    </row>
    <row r="499" spans="1:26" x14ac:dyDescent="0.25">
      <c r="A499" s="446" t="s">
        <v>4772</v>
      </c>
      <c r="B499" s="446"/>
      <c r="C499" s="446" t="s">
        <v>202</v>
      </c>
      <c r="D499" s="446" t="s">
        <v>4773</v>
      </c>
      <c r="E499" s="448" t="s">
        <v>4774</v>
      </c>
      <c r="F499" s="448">
        <v>7116</v>
      </c>
      <c r="G499" s="446" t="s">
        <v>4775</v>
      </c>
      <c r="H499" s="446" t="s">
        <v>4776</v>
      </c>
      <c r="I499" s="446" t="s">
        <v>231</v>
      </c>
      <c r="J499" s="446" t="s">
        <v>746</v>
      </c>
      <c r="K499" s="446" t="s">
        <v>4777</v>
      </c>
      <c r="L499" s="450"/>
      <c r="M499" s="450"/>
      <c r="N499" s="450"/>
      <c r="O499" s="450"/>
      <c r="P499" s="450"/>
      <c r="Q499" s="450"/>
      <c r="R499" s="450"/>
      <c r="S499" s="451"/>
      <c r="T499" s="450"/>
      <c r="U499" s="451"/>
      <c r="V499" s="450"/>
      <c r="W499" s="450"/>
      <c r="X499" s="450"/>
      <c r="Y499" s="450"/>
      <c r="Z499" s="450"/>
    </row>
    <row r="500" spans="1:26" x14ac:dyDescent="0.25">
      <c r="A500" s="446" t="s">
        <v>4778</v>
      </c>
      <c r="B500" s="446"/>
      <c r="C500" s="446" t="s">
        <v>1456</v>
      </c>
      <c r="D500" s="446" t="s">
        <v>4779</v>
      </c>
      <c r="E500" s="448" t="s">
        <v>4780</v>
      </c>
      <c r="F500" s="448">
        <v>7291</v>
      </c>
      <c r="G500" s="446" t="s">
        <v>4655</v>
      </c>
      <c r="H500" s="446" t="s">
        <v>4781</v>
      </c>
      <c r="I500" s="446" t="s">
        <v>4632</v>
      </c>
      <c r="J500" s="446" t="s">
        <v>746</v>
      </c>
      <c r="K500" s="446" t="s">
        <v>4782</v>
      </c>
      <c r="L500" s="450"/>
      <c r="M500" s="450"/>
      <c r="N500" s="450"/>
      <c r="O500" s="450"/>
      <c r="P500" s="450"/>
      <c r="Q500" s="450"/>
      <c r="R500" s="450"/>
      <c r="S500" s="451"/>
      <c r="T500" s="450"/>
      <c r="U500" s="451"/>
      <c r="V500" s="450"/>
      <c r="W500" s="450"/>
      <c r="X500" s="450"/>
      <c r="Y500" s="450"/>
      <c r="Z500" s="450"/>
    </row>
    <row r="501" spans="1:26" x14ac:dyDescent="0.25">
      <c r="A501" s="446" t="s">
        <v>481</v>
      </c>
      <c r="B501" s="446"/>
      <c r="C501" s="446" t="s">
        <v>408</v>
      </c>
      <c r="D501" s="446" t="s">
        <v>4783</v>
      </c>
      <c r="E501" s="448" t="s">
        <v>4780</v>
      </c>
      <c r="F501" s="448">
        <v>7291</v>
      </c>
      <c r="G501" s="446" t="s">
        <v>4784</v>
      </c>
      <c r="H501" s="446" t="s">
        <v>484</v>
      </c>
      <c r="I501" s="446" t="s">
        <v>231</v>
      </c>
      <c r="J501" s="446" t="s">
        <v>4604</v>
      </c>
      <c r="K501" s="446" t="s">
        <v>4785</v>
      </c>
      <c r="L501" s="450"/>
      <c r="M501" s="450"/>
      <c r="N501" s="450"/>
      <c r="O501" s="450"/>
      <c r="P501" s="450"/>
      <c r="Q501" s="450"/>
      <c r="R501" s="450"/>
      <c r="S501" s="451"/>
      <c r="T501" s="450"/>
      <c r="U501" s="451"/>
      <c r="V501" s="450"/>
      <c r="W501" s="450"/>
      <c r="X501" s="450"/>
      <c r="Y501" s="450"/>
      <c r="Z501" s="450"/>
    </row>
    <row r="502" spans="1:26" x14ac:dyDescent="0.25">
      <c r="A502" s="446" t="s">
        <v>460</v>
      </c>
      <c r="B502" s="446"/>
      <c r="C502" s="446" t="s">
        <v>461</v>
      </c>
      <c r="D502" s="446" t="s">
        <v>4786</v>
      </c>
      <c r="E502" s="448" t="s">
        <v>4780</v>
      </c>
      <c r="F502" s="448">
        <v>7291</v>
      </c>
      <c r="G502" s="446" t="s">
        <v>463</v>
      </c>
      <c r="H502" s="446" t="s">
        <v>102</v>
      </c>
      <c r="I502" s="446" t="s">
        <v>231</v>
      </c>
      <c r="J502" s="446" t="s">
        <v>760</v>
      </c>
      <c r="K502" s="446" t="s">
        <v>4787</v>
      </c>
      <c r="L502" s="450"/>
      <c r="M502" s="450"/>
      <c r="N502" s="450"/>
      <c r="O502" s="450"/>
      <c r="P502" s="450"/>
      <c r="Q502" s="450"/>
      <c r="R502" s="450"/>
      <c r="S502" s="451"/>
      <c r="T502" s="450"/>
      <c r="U502" s="451"/>
      <c r="V502" s="450"/>
      <c r="W502" s="450"/>
      <c r="X502" s="450"/>
      <c r="Y502" s="450"/>
      <c r="Z502" s="450"/>
    </row>
    <row r="503" spans="1:26" x14ac:dyDescent="0.25">
      <c r="A503" s="446" t="s">
        <v>4788</v>
      </c>
      <c r="B503" s="446"/>
      <c r="C503" s="446" t="s">
        <v>4618</v>
      </c>
      <c r="D503" s="446" t="s">
        <v>4789</v>
      </c>
      <c r="E503" s="448" t="s">
        <v>4780</v>
      </c>
      <c r="F503" s="448">
        <v>7291</v>
      </c>
      <c r="G503" s="446" t="s">
        <v>4790</v>
      </c>
      <c r="H503" s="446" t="s">
        <v>4691</v>
      </c>
      <c r="I503" s="446" t="s">
        <v>231</v>
      </c>
      <c r="J503" s="446" t="s">
        <v>746</v>
      </c>
      <c r="K503" s="446" t="s">
        <v>4791</v>
      </c>
      <c r="L503" s="450"/>
      <c r="M503" s="450"/>
      <c r="N503" s="450"/>
      <c r="O503" s="450"/>
      <c r="P503" s="450"/>
      <c r="Q503" s="450"/>
      <c r="R503" s="450"/>
      <c r="S503" s="451"/>
      <c r="T503" s="450"/>
      <c r="U503" s="451"/>
      <c r="V503" s="450"/>
      <c r="W503" s="450"/>
      <c r="X503" s="450"/>
      <c r="Y503" s="450"/>
      <c r="Z503" s="450"/>
    </row>
    <row r="504" spans="1:26" x14ac:dyDescent="0.25">
      <c r="A504" s="446" t="s">
        <v>4792</v>
      </c>
      <c r="B504" s="446"/>
      <c r="C504" s="446" t="s">
        <v>1456</v>
      </c>
      <c r="D504" s="446" t="s">
        <v>4793</v>
      </c>
      <c r="E504" s="448" t="s">
        <v>4794</v>
      </c>
      <c r="F504" s="448">
        <v>7317</v>
      </c>
      <c r="G504" s="446" t="s">
        <v>4795</v>
      </c>
      <c r="H504" s="446" t="s">
        <v>4796</v>
      </c>
      <c r="I504" s="446" t="s">
        <v>231</v>
      </c>
      <c r="J504" s="446" t="s">
        <v>746</v>
      </c>
      <c r="K504" s="446" t="s">
        <v>4797</v>
      </c>
      <c r="L504" s="450"/>
      <c r="M504" s="450"/>
      <c r="N504" s="450"/>
      <c r="O504" s="450"/>
      <c r="P504" s="450"/>
      <c r="Q504" s="450"/>
      <c r="R504" s="450"/>
      <c r="S504" s="451"/>
      <c r="T504" s="450"/>
      <c r="U504" s="451"/>
      <c r="V504" s="450"/>
      <c r="W504" s="450"/>
      <c r="X504" s="450"/>
      <c r="Y504" s="450"/>
      <c r="Z504" s="450"/>
    </row>
    <row r="505" spans="1:26" x14ac:dyDescent="0.25">
      <c r="A505" s="446" t="s">
        <v>4798</v>
      </c>
      <c r="B505" s="446"/>
      <c r="C505" s="446" t="s">
        <v>202</v>
      </c>
      <c r="D505" s="446" t="s">
        <v>4799</v>
      </c>
      <c r="E505" s="448" t="s">
        <v>4800</v>
      </c>
      <c r="F505" s="448">
        <v>7341</v>
      </c>
      <c r="G505" s="446" t="s">
        <v>4801</v>
      </c>
      <c r="H505" s="446" t="s">
        <v>4802</v>
      </c>
      <c r="I505" s="446" t="s">
        <v>4632</v>
      </c>
      <c r="J505" s="446" t="s">
        <v>746</v>
      </c>
      <c r="K505" s="446" t="s">
        <v>4803</v>
      </c>
      <c r="L505" s="450"/>
      <c r="M505" s="450"/>
      <c r="N505" s="450"/>
      <c r="O505" s="450"/>
      <c r="P505" s="450"/>
      <c r="Q505" s="450"/>
      <c r="R505" s="450"/>
      <c r="S505" s="451"/>
      <c r="T505" s="450"/>
      <c r="U505" s="451"/>
      <c r="V505" s="450"/>
      <c r="W505" s="450"/>
      <c r="X505" s="450"/>
      <c r="Y505" s="450"/>
      <c r="Z505" s="450"/>
    </row>
    <row r="506" spans="1:26" x14ac:dyDescent="0.25">
      <c r="A506" s="446" t="s">
        <v>4804</v>
      </c>
      <c r="B506" s="446"/>
      <c r="C506" s="446" t="s">
        <v>4618</v>
      </c>
      <c r="D506" s="446" t="s">
        <v>4805</v>
      </c>
      <c r="E506" s="448" t="s">
        <v>4806</v>
      </c>
      <c r="F506" s="448">
        <v>7663</v>
      </c>
      <c r="G506" s="446" t="s">
        <v>4701</v>
      </c>
      <c r="H506" s="446" t="s">
        <v>4615</v>
      </c>
      <c r="I506" s="446" t="s">
        <v>231</v>
      </c>
      <c r="J506" s="446" t="s">
        <v>746</v>
      </c>
      <c r="K506" s="446" t="s">
        <v>4807</v>
      </c>
      <c r="L506" s="450"/>
      <c r="M506" s="450"/>
      <c r="N506" s="450"/>
      <c r="O506" s="450"/>
      <c r="P506" s="450"/>
      <c r="Q506" s="450"/>
      <c r="R506" s="450"/>
      <c r="S506" s="451"/>
      <c r="T506" s="450"/>
      <c r="U506" s="451"/>
      <c r="V506" s="450"/>
      <c r="W506" s="450"/>
      <c r="X506" s="450"/>
      <c r="Y506" s="450"/>
      <c r="Z506" s="450"/>
    </row>
    <row r="507" spans="1:26" x14ac:dyDescent="0.25">
      <c r="A507" s="446" t="s">
        <v>4808</v>
      </c>
      <c r="B507" s="446"/>
      <c r="C507" s="446" t="s">
        <v>4618</v>
      </c>
      <c r="D507" s="446" t="s">
        <v>4809</v>
      </c>
      <c r="E507" s="448" t="s">
        <v>4810</v>
      </c>
      <c r="F507" s="448">
        <v>7682</v>
      </c>
      <c r="G507" s="446" t="s">
        <v>4811</v>
      </c>
      <c r="H507" s="446" t="s">
        <v>4812</v>
      </c>
      <c r="I507" s="446" t="s">
        <v>4632</v>
      </c>
      <c r="J507" s="446" t="s">
        <v>746</v>
      </c>
      <c r="K507" s="446" t="s">
        <v>4813</v>
      </c>
      <c r="L507" s="450"/>
      <c r="M507" s="450"/>
      <c r="N507" s="450"/>
      <c r="O507" s="450"/>
      <c r="P507" s="450"/>
      <c r="Q507" s="450"/>
      <c r="R507" s="450"/>
      <c r="S507" s="451"/>
      <c r="T507" s="450"/>
      <c r="U507" s="451"/>
      <c r="V507" s="450"/>
      <c r="W507" s="450"/>
      <c r="X507" s="450"/>
      <c r="Y507" s="450"/>
      <c r="Z507" s="450"/>
    </row>
    <row r="508" spans="1:26" x14ac:dyDescent="0.25">
      <c r="A508" s="446" t="s">
        <v>4814</v>
      </c>
      <c r="B508" s="446"/>
      <c r="C508" s="446" t="s">
        <v>4618</v>
      </c>
      <c r="D508" s="446" t="s">
        <v>4815</v>
      </c>
      <c r="E508" s="448" t="s">
        <v>4816</v>
      </c>
      <c r="F508" s="448">
        <v>7750</v>
      </c>
      <c r="G508" s="446" t="s">
        <v>4811</v>
      </c>
      <c r="H508" s="446" t="s">
        <v>4817</v>
      </c>
      <c r="I508" s="446" t="s">
        <v>4632</v>
      </c>
      <c r="J508" s="446" t="s">
        <v>746</v>
      </c>
      <c r="K508" s="446" t="s">
        <v>4818</v>
      </c>
      <c r="L508" s="450"/>
      <c r="M508" s="450"/>
      <c r="N508" s="450"/>
      <c r="O508" s="450"/>
      <c r="P508" s="450"/>
      <c r="Q508" s="450"/>
      <c r="R508" s="450"/>
      <c r="S508" s="451"/>
      <c r="T508" s="450"/>
      <c r="U508" s="451"/>
      <c r="V508" s="450"/>
      <c r="W508" s="450"/>
      <c r="X508" s="450"/>
      <c r="Y508" s="450"/>
      <c r="Z508" s="450"/>
    </row>
    <row r="509" spans="1:26" x14ac:dyDescent="0.25">
      <c r="A509" s="446" t="s">
        <v>486</v>
      </c>
      <c r="B509" s="446"/>
      <c r="C509" s="446" t="s">
        <v>408</v>
      </c>
      <c r="D509" s="446" t="s">
        <v>4819</v>
      </c>
      <c r="E509" s="448" t="s">
        <v>4820</v>
      </c>
      <c r="F509" s="448">
        <v>7805</v>
      </c>
      <c r="G509" s="446" t="s">
        <v>4775</v>
      </c>
      <c r="H509" s="446" t="s">
        <v>489</v>
      </c>
      <c r="I509" s="446" t="s">
        <v>4632</v>
      </c>
      <c r="J509" s="446" t="s">
        <v>4604</v>
      </c>
      <c r="K509" s="446" t="s">
        <v>4821</v>
      </c>
      <c r="L509" s="450"/>
      <c r="M509" s="450"/>
      <c r="N509" s="450"/>
      <c r="O509" s="450"/>
      <c r="P509" s="450"/>
      <c r="Q509" s="450"/>
      <c r="R509" s="450"/>
      <c r="S509" s="451"/>
      <c r="T509" s="450"/>
      <c r="U509" s="451"/>
      <c r="V509" s="450"/>
      <c r="W509" s="450"/>
      <c r="X509" s="450"/>
      <c r="Y509" s="450"/>
      <c r="Z509" s="450"/>
    </row>
    <row r="510" spans="1:26" x14ac:dyDescent="0.25">
      <c r="A510" s="446" t="s">
        <v>490</v>
      </c>
      <c r="B510" s="446"/>
      <c r="C510" s="446" t="s">
        <v>408</v>
      </c>
      <c r="D510" s="446" t="s">
        <v>4822</v>
      </c>
      <c r="E510" s="448" t="s">
        <v>4820</v>
      </c>
      <c r="F510" s="448">
        <v>7805</v>
      </c>
      <c r="G510" s="446" t="s">
        <v>4823</v>
      </c>
      <c r="H510" s="446" t="s">
        <v>493</v>
      </c>
      <c r="I510" s="446" t="s">
        <v>4632</v>
      </c>
      <c r="J510" s="446" t="s">
        <v>4604</v>
      </c>
      <c r="K510" s="446" t="s">
        <v>4824</v>
      </c>
      <c r="L510" s="450"/>
      <c r="M510" s="450"/>
      <c r="N510" s="450"/>
      <c r="O510" s="450"/>
      <c r="P510" s="450"/>
      <c r="Q510" s="450"/>
      <c r="R510" s="450"/>
      <c r="S510" s="451"/>
      <c r="T510" s="450"/>
      <c r="U510" s="451"/>
      <c r="V510" s="450"/>
      <c r="W510" s="450"/>
      <c r="X510" s="450"/>
      <c r="Y510" s="450"/>
      <c r="Z510" s="450"/>
    </row>
    <row r="511" spans="1:26" x14ac:dyDescent="0.25">
      <c r="A511" s="446" t="s">
        <v>4825</v>
      </c>
      <c r="B511" s="446"/>
      <c r="C511" s="446" t="s">
        <v>4618</v>
      </c>
      <c r="D511" s="446" t="s">
        <v>4826</v>
      </c>
      <c r="E511" s="448" t="s">
        <v>4827</v>
      </c>
      <c r="F511" s="448">
        <v>7807</v>
      </c>
      <c r="G511" s="446" t="s">
        <v>4735</v>
      </c>
      <c r="H511" s="446" t="s">
        <v>4784</v>
      </c>
      <c r="I511" s="446" t="s">
        <v>231</v>
      </c>
      <c r="J511" s="446" t="s">
        <v>746</v>
      </c>
      <c r="K511" s="446" t="s">
        <v>4828</v>
      </c>
      <c r="L511" s="450"/>
      <c r="M511" s="450"/>
      <c r="N511" s="450"/>
      <c r="O511" s="450"/>
      <c r="P511" s="450"/>
      <c r="Q511" s="450"/>
      <c r="R511" s="450"/>
      <c r="S511" s="451"/>
      <c r="T511" s="450"/>
      <c r="U511" s="451"/>
      <c r="V511" s="450"/>
      <c r="W511" s="450"/>
      <c r="X511" s="450"/>
      <c r="Y511" s="450"/>
      <c r="Z511" s="450"/>
    </row>
    <row r="512" spans="1:26" x14ac:dyDescent="0.25">
      <c r="A512" s="446" t="s">
        <v>4829</v>
      </c>
      <c r="B512" s="446"/>
      <c r="C512" s="446" t="s">
        <v>4618</v>
      </c>
      <c r="D512" s="446" t="s">
        <v>4830</v>
      </c>
      <c r="E512" s="448" t="s">
        <v>4831</v>
      </c>
      <c r="F512" s="448">
        <v>7860</v>
      </c>
      <c r="G512" s="446" t="s">
        <v>4770</v>
      </c>
      <c r="H512" s="446" t="s">
        <v>472</v>
      </c>
      <c r="I512" s="446" t="s">
        <v>231</v>
      </c>
      <c r="J512" s="446" t="s">
        <v>746</v>
      </c>
      <c r="K512" s="446" t="s">
        <v>4832</v>
      </c>
      <c r="L512" s="450"/>
      <c r="M512" s="450"/>
      <c r="N512" s="450"/>
      <c r="O512" s="450"/>
      <c r="P512" s="450"/>
      <c r="Q512" s="450"/>
      <c r="R512" s="450"/>
      <c r="S512" s="451"/>
      <c r="T512" s="450"/>
      <c r="U512" s="451"/>
      <c r="V512" s="450"/>
      <c r="W512" s="450"/>
      <c r="X512" s="450"/>
      <c r="Y512" s="450"/>
      <c r="Z512" s="450"/>
    </row>
    <row r="513" spans="1:26" x14ac:dyDescent="0.25">
      <c r="A513" s="446" t="s">
        <v>494</v>
      </c>
      <c r="B513" s="446"/>
      <c r="C513" s="446" t="s">
        <v>408</v>
      </c>
      <c r="D513" s="446" t="s">
        <v>4833</v>
      </c>
      <c r="E513" s="448" t="s">
        <v>4834</v>
      </c>
      <c r="F513" s="448">
        <v>8121</v>
      </c>
      <c r="G513" s="446" t="s">
        <v>472</v>
      </c>
      <c r="H513" s="446" t="s">
        <v>497</v>
      </c>
      <c r="I513" s="446" t="s">
        <v>231</v>
      </c>
      <c r="J513" s="446" t="s">
        <v>4604</v>
      </c>
      <c r="K513" s="446" t="s">
        <v>4835</v>
      </c>
      <c r="L513" s="450"/>
      <c r="M513" s="450"/>
      <c r="N513" s="450"/>
      <c r="O513" s="450"/>
      <c r="P513" s="450"/>
      <c r="Q513" s="450"/>
      <c r="R513" s="450"/>
      <c r="S513" s="451"/>
      <c r="T513" s="450"/>
      <c r="U513" s="451"/>
      <c r="V513" s="450"/>
      <c r="W513" s="450"/>
      <c r="X513" s="450"/>
      <c r="Y513" s="450"/>
      <c r="Z513" s="450"/>
    </row>
    <row r="514" spans="1:26" x14ac:dyDescent="0.25">
      <c r="A514" s="446" t="s">
        <v>4836</v>
      </c>
      <c r="B514" s="446"/>
      <c r="C514" s="446" t="s">
        <v>4618</v>
      </c>
      <c r="D514" s="446" t="s">
        <v>4837</v>
      </c>
      <c r="E514" s="448" t="s">
        <v>4834</v>
      </c>
      <c r="F514" s="448">
        <v>8121</v>
      </c>
      <c r="G514" s="446" t="s">
        <v>4670</v>
      </c>
      <c r="H514" s="446" t="s">
        <v>4665</v>
      </c>
      <c r="I514" s="446" t="s">
        <v>231</v>
      </c>
      <c r="J514" s="446" t="s">
        <v>746</v>
      </c>
      <c r="K514" s="446" t="s">
        <v>4838</v>
      </c>
      <c r="L514" s="450"/>
      <c r="M514" s="450"/>
      <c r="N514" s="450"/>
      <c r="O514" s="450"/>
      <c r="P514" s="450"/>
      <c r="Q514" s="450"/>
      <c r="R514" s="450"/>
      <c r="S514" s="451"/>
      <c r="T514" s="450"/>
      <c r="U514" s="451"/>
      <c r="V514" s="450"/>
      <c r="W514" s="450"/>
      <c r="X514" s="450"/>
      <c r="Y514" s="450"/>
      <c r="Z514" s="450"/>
    </row>
    <row r="515" spans="1:26" x14ac:dyDescent="0.25">
      <c r="A515" s="446" t="s">
        <v>4839</v>
      </c>
      <c r="B515" s="446"/>
      <c r="C515" s="446" t="s">
        <v>4618</v>
      </c>
      <c r="D515" s="446" t="s">
        <v>4840</v>
      </c>
      <c r="E515" s="448" t="s">
        <v>4841</v>
      </c>
      <c r="F515" s="448">
        <v>8143</v>
      </c>
      <c r="G515" s="446" t="s">
        <v>4842</v>
      </c>
      <c r="H515" s="446" t="s">
        <v>4638</v>
      </c>
      <c r="I515" s="446" t="s">
        <v>4632</v>
      </c>
      <c r="J515" s="446" t="s">
        <v>746</v>
      </c>
      <c r="K515" s="446" t="s">
        <v>4843</v>
      </c>
      <c r="L515" s="450"/>
      <c r="M515" s="450"/>
      <c r="N515" s="450"/>
      <c r="O515" s="450"/>
      <c r="P515" s="450"/>
      <c r="Q515" s="450"/>
      <c r="R515" s="450"/>
      <c r="S515" s="451"/>
      <c r="T515" s="450"/>
      <c r="U515" s="451"/>
      <c r="V515" s="450"/>
      <c r="W515" s="450"/>
      <c r="X515" s="450"/>
      <c r="Y515" s="450"/>
      <c r="Z515" s="450"/>
    </row>
    <row r="516" spans="1:26" x14ac:dyDescent="0.25">
      <c r="A516" s="446" t="s">
        <v>4844</v>
      </c>
      <c r="B516" s="446"/>
      <c r="C516" s="446" t="s">
        <v>1456</v>
      </c>
      <c r="D516" s="446" t="s">
        <v>4845</v>
      </c>
      <c r="E516" s="448" t="s">
        <v>4846</v>
      </c>
      <c r="F516" s="448">
        <v>8508</v>
      </c>
      <c r="G516" s="446" t="s">
        <v>479</v>
      </c>
      <c r="H516" s="446" t="s">
        <v>4847</v>
      </c>
      <c r="I516" s="446" t="s">
        <v>231</v>
      </c>
      <c r="J516" s="446" t="s">
        <v>746</v>
      </c>
      <c r="K516" s="446" t="s">
        <v>4848</v>
      </c>
      <c r="L516" s="450"/>
      <c r="M516" s="450"/>
      <c r="N516" s="450"/>
      <c r="O516" s="450"/>
      <c r="P516" s="450"/>
      <c r="Q516" s="450"/>
      <c r="R516" s="450"/>
      <c r="S516" s="451"/>
      <c r="T516" s="450"/>
      <c r="U516" s="451"/>
      <c r="V516" s="450"/>
      <c r="W516" s="450"/>
      <c r="X516" s="450"/>
      <c r="Y516" s="450"/>
      <c r="Z516" s="450"/>
    </row>
    <row r="517" spans="1:26" x14ac:dyDescent="0.25">
      <c r="A517" s="446" t="s">
        <v>4849</v>
      </c>
      <c r="B517" s="446"/>
      <c r="C517" s="446" t="s">
        <v>202</v>
      </c>
      <c r="D517" s="446" t="s">
        <v>4850</v>
      </c>
      <c r="E517" s="448" t="s">
        <v>4851</v>
      </c>
      <c r="F517" s="448">
        <v>8513</v>
      </c>
      <c r="G517" s="446" t="s">
        <v>4852</v>
      </c>
      <c r="H517" s="446" t="s">
        <v>4853</v>
      </c>
      <c r="I517" s="446" t="s">
        <v>231</v>
      </c>
      <c r="J517" s="446" t="s">
        <v>746</v>
      </c>
      <c r="K517" s="446" t="s">
        <v>4854</v>
      </c>
      <c r="L517" s="450"/>
      <c r="M517" s="450"/>
      <c r="N517" s="450"/>
      <c r="O517" s="450"/>
      <c r="P517" s="450"/>
      <c r="Q517" s="450"/>
      <c r="R517" s="450"/>
      <c r="S517" s="451"/>
      <c r="T517" s="450"/>
      <c r="U517" s="451"/>
      <c r="V517" s="450"/>
      <c r="W517" s="450"/>
      <c r="X517" s="450"/>
      <c r="Y517" s="450"/>
      <c r="Z517" s="450"/>
    </row>
    <row r="518" spans="1:26" x14ac:dyDescent="0.25">
      <c r="A518" s="446" t="s">
        <v>499</v>
      </c>
      <c r="B518" s="446"/>
      <c r="C518" s="446" t="s">
        <v>461</v>
      </c>
      <c r="D518" s="446" t="s">
        <v>4855</v>
      </c>
      <c r="E518" s="448" t="s">
        <v>4856</v>
      </c>
      <c r="F518" s="448">
        <v>8518</v>
      </c>
      <c r="G518" s="446" t="s">
        <v>501</v>
      </c>
      <c r="H518" s="446" t="s">
        <v>102</v>
      </c>
      <c r="I518" s="446" t="s">
        <v>231</v>
      </c>
      <c r="J518" s="446" t="s">
        <v>760</v>
      </c>
      <c r="K518" s="446" t="s">
        <v>4857</v>
      </c>
      <c r="L518" s="450"/>
      <c r="M518" s="450"/>
      <c r="N518" s="450"/>
      <c r="O518" s="450"/>
      <c r="P518" s="450"/>
      <c r="Q518" s="450"/>
      <c r="R518" s="450"/>
      <c r="S518" s="451"/>
      <c r="T518" s="450"/>
      <c r="U518" s="451"/>
      <c r="V518" s="450"/>
      <c r="W518" s="450"/>
      <c r="X518" s="450"/>
      <c r="Y518" s="450"/>
      <c r="Z518" s="450"/>
    </row>
    <row r="519" spans="1:26" x14ac:dyDescent="0.25">
      <c r="A519" s="446" t="s">
        <v>506</v>
      </c>
      <c r="B519" s="446"/>
      <c r="C519" s="446" t="s">
        <v>408</v>
      </c>
      <c r="D519" s="446" t="s">
        <v>4858</v>
      </c>
      <c r="E519" s="448" t="s">
        <v>4859</v>
      </c>
      <c r="F519" s="448">
        <v>9137</v>
      </c>
      <c r="G519" s="446" t="s">
        <v>4860</v>
      </c>
      <c r="H519" s="446" t="s">
        <v>509</v>
      </c>
      <c r="I519" s="446" t="s">
        <v>231</v>
      </c>
      <c r="J519" s="446" t="s">
        <v>4604</v>
      </c>
      <c r="K519" s="446" t="s">
        <v>4861</v>
      </c>
      <c r="L519" s="450"/>
      <c r="M519" s="450"/>
      <c r="N519" s="450"/>
      <c r="O519" s="450"/>
      <c r="P519" s="450"/>
      <c r="Q519" s="450"/>
      <c r="R519" s="450"/>
      <c r="S519" s="451"/>
      <c r="T519" s="450"/>
      <c r="U519" s="451"/>
      <c r="V519" s="450"/>
      <c r="W519" s="450"/>
      <c r="X519" s="450"/>
      <c r="Y519" s="450"/>
      <c r="Z519" s="450"/>
    </row>
    <row r="520" spans="1:26" x14ac:dyDescent="0.25">
      <c r="A520" s="446" t="s">
        <v>4862</v>
      </c>
      <c r="B520" s="446"/>
      <c r="C520" s="446" t="s">
        <v>4618</v>
      </c>
      <c r="D520" s="446" t="s">
        <v>4863</v>
      </c>
      <c r="E520" s="448" t="s">
        <v>4864</v>
      </c>
      <c r="F520" s="448">
        <v>9801</v>
      </c>
      <c r="G520" s="446" t="s">
        <v>4795</v>
      </c>
      <c r="H520" s="446" t="s">
        <v>4865</v>
      </c>
      <c r="I520" s="446" t="s">
        <v>231</v>
      </c>
      <c r="J520" s="446" t="s">
        <v>746</v>
      </c>
      <c r="K520" s="446" t="s">
        <v>4866</v>
      </c>
      <c r="L520" s="450"/>
      <c r="M520" s="450"/>
      <c r="N520" s="450"/>
      <c r="O520" s="450"/>
      <c r="P520" s="450"/>
      <c r="Q520" s="450"/>
      <c r="R520" s="450"/>
      <c r="S520" s="451"/>
      <c r="T520" s="450"/>
      <c r="U520" s="451"/>
      <c r="V520" s="450"/>
      <c r="W520" s="450"/>
      <c r="X520" s="450"/>
      <c r="Y520" s="450"/>
      <c r="Z520" s="450"/>
    </row>
    <row r="521" spans="1:26" x14ac:dyDescent="0.25">
      <c r="A521" s="446" t="s">
        <v>515</v>
      </c>
      <c r="B521" s="446"/>
      <c r="C521" s="446" t="s">
        <v>408</v>
      </c>
      <c r="D521" s="446" t="s">
        <v>4867</v>
      </c>
      <c r="E521" s="448" t="s">
        <v>4868</v>
      </c>
      <c r="F521" s="448">
        <v>10077</v>
      </c>
      <c r="G521" s="446" t="s">
        <v>442</v>
      </c>
      <c r="H521" s="446" t="s">
        <v>518</v>
      </c>
      <c r="I521" s="446" t="s">
        <v>231</v>
      </c>
      <c r="J521" s="446" t="s">
        <v>4604</v>
      </c>
      <c r="K521" s="446" t="s">
        <v>4869</v>
      </c>
      <c r="L521" s="450"/>
      <c r="M521" s="450"/>
      <c r="N521" s="450"/>
      <c r="O521" s="450"/>
      <c r="P521" s="450"/>
      <c r="Q521" s="450"/>
      <c r="R521" s="450"/>
      <c r="S521" s="451"/>
      <c r="T521" s="450"/>
      <c r="U521" s="451"/>
      <c r="V521" s="450"/>
      <c r="W521" s="450"/>
      <c r="X521" s="450"/>
      <c r="Y521" s="450"/>
      <c r="Z521" s="450"/>
    </row>
    <row r="522" spans="1:26" x14ac:dyDescent="0.25">
      <c r="A522" s="446" t="s">
        <v>510</v>
      </c>
      <c r="B522" s="446"/>
      <c r="C522" s="446" t="s">
        <v>408</v>
      </c>
      <c r="D522" s="446" t="s">
        <v>4870</v>
      </c>
      <c r="E522" s="448" t="s">
        <v>4868</v>
      </c>
      <c r="F522" s="448">
        <v>10077</v>
      </c>
      <c r="G522" s="446" t="s">
        <v>4871</v>
      </c>
      <c r="H522" s="446" t="s">
        <v>4872</v>
      </c>
      <c r="I522" s="446" t="s">
        <v>231</v>
      </c>
      <c r="J522" s="446" t="s">
        <v>4604</v>
      </c>
      <c r="K522" s="446" t="s">
        <v>4873</v>
      </c>
      <c r="L522" s="450"/>
      <c r="M522" s="450"/>
      <c r="N522" s="450"/>
      <c r="O522" s="450"/>
      <c r="P522" s="450"/>
      <c r="Q522" s="450"/>
      <c r="R522" s="450"/>
      <c r="S522" s="451"/>
      <c r="T522" s="450"/>
      <c r="U522" s="451"/>
      <c r="V522" s="450"/>
      <c r="W522" s="450"/>
      <c r="X522" s="450"/>
      <c r="Y522" s="450"/>
      <c r="Z522" s="450"/>
    </row>
    <row r="523" spans="1:26" x14ac:dyDescent="0.25">
      <c r="A523" s="446" t="s">
        <v>4874</v>
      </c>
      <c r="B523" s="446"/>
      <c r="C523" s="446" t="s">
        <v>4618</v>
      </c>
      <c r="D523" s="446" t="s">
        <v>4875</v>
      </c>
      <c r="E523" s="448" t="s">
        <v>4876</v>
      </c>
      <c r="F523" s="448">
        <v>10238</v>
      </c>
      <c r="G523" s="446" t="s">
        <v>4701</v>
      </c>
      <c r="H523" s="446" t="s">
        <v>4615</v>
      </c>
      <c r="I523" s="446" t="s">
        <v>231</v>
      </c>
      <c r="J523" s="446" t="s">
        <v>746</v>
      </c>
      <c r="K523" s="446" t="s">
        <v>4877</v>
      </c>
      <c r="L523" s="450"/>
      <c r="M523" s="450"/>
      <c r="N523" s="450"/>
      <c r="O523" s="450"/>
      <c r="P523" s="450"/>
      <c r="Q523" s="450"/>
      <c r="R523" s="450"/>
      <c r="S523" s="451"/>
      <c r="T523" s="450"/>
      <c r="U523" s="451"/>
      <c r="V523" s="450"/>
      <c r="W523" s="450"/>
      <c r="X523" s="450"/>
      <c r="Y523" s="450"/>
      <c r="Z523" s="450"/>
    </row>
    <row r="524" spans="1:26" x14ac:dyDescent="0.25">
      <c r="A524" s="446" t="s">
        <v>4878</v>
      </c>
      <c r="B524" s="446"/>
      <c r="C524" s="446" t="s">
        <v>4618</v>
      </c>
      <c r="D524" s="446" t="s">
        <v>4879</v>
      </c>
      <c r="E524" s="448" t="s">
        <v>4880</v>
      </c>
      <c r="F524" s="448">
        <v>10920</v>
      </c>
      <c r="G524" s="446" t="s">
        <v>4795</v>
      </c>
      <c r="H524" s="446" t="s">
        <v>4881</v>
      </c>
      <c r="I524" s="446" t="s">
        <v>231</v>
      </c>
      <c r="J524" s="446" t="s">
        <v>746</v>
      </c>
      <c r="K524" s="446" t="s">
        <v>4882</v>
      </c>
      <c r="L524" s="450"/>
      <c r="M524" s="450"/>
      <c r="N524" s="450"/>
      <c r="O524" s="450"/>
      <c r="P524" s="450"/>
      <c r="Q524" s="450"/>
      <c r="R524" s="450"/>
      <c r="S524" s="451"/>
      <c r="T524" s="450"/>
      <c r="U524" s="451"/>
      <c r="V524" s="450"/>
      <c r="W524" s="450"/>
      <c r="X524" s="450"/>
      <c r="Y524" s="450"/>
      <c r="Z524" s="450"/>
    </row>
    <row r="525" spans="1:26" x14ac:dyDescent="0.25">
      <c r="A525" s="446" t="s">
        <v>4883</v>
      </c>
      <c r="B525" s="446"/>
      <c r="C525" s="446" t="s">
        <v>4618</v>
      </c>
      <c r="D525" s="446" t="s">
        <v>4884</v>
      </c>
      <c r="E525" s="448" t="s">
        <v>4885</v>
      </c>
      <c r="F525" s="448">
        <v>10964</v>
      </c>
      <c r="G525" s="446" t="s">
        <v>4886</v>
      </c>
      <c r="H525" s="446" t="s">
        <v>4817</v>
      </c>
      <c r="I525" s="446" t="s">
        <v>4632</v>
      </c>
      <c r="J525" s="446" t="s">
        <v>746</v>
      </c>
      <c r="K525" s="446" t="s">
        <v>4887</v>
      </c>
      <c r="L525" s="450"/>
      <c r="M525" s="450"/>
      <c r="N525" s="450"/>
      <c r="O525" s="450"/>
      <c r="P525" s="450"/>
      <c r="Q525" s="450"/>
      <c r="R525" s="450"/>
      <c r="S525" s="451"/>
      <c r="T525" s="450"/>
      <c r="U525" s="451"/>
      <c r="V525" s="450"/>
      <c r="W525" s="450"/>
      <c r="X525" s="450"/>
      <c r="Y525" s="450"/>
      <c r="Z525" s="450"/>
    </row>
    <row r="526" spans="1:26" x14ac:dyDescent="0.25">
      <c r="A526" s="446" t="s">
        <v>456</v>
      </c>
      <c r="B526" s="446"/>
      <c r="C526" s="446" t="s">
        <v>415</v>
      </c>
      <c r="D526" s="446" t="s">
        <v>4888</v>
      </c>
      <c r="E526" s="448" t="s">
        <v>4889</v>
      </c>
      <c r="F526" s="448">
        <v>11021</v>
      </c>
      <c r="G526" s="446" t="s">
        <v>106</v>
      </c>
      <c r="H526" s="446" t="s">
        <v>454</v>
      </c>
      <c r="I526" s="446" t="s">
        <v>4632</v>
      </c>
      <c r="J526" s="446" t="s">
        <v>4604</v>
      </c>
      <c r="K526" s="446" t="s">
        <v>4890</v>
      </c>
      <c r="L526" s="450"/>
      <c r="M526" s="450"/>
      <c r="N526" s="450"/>
      <c r="O526" s="450"/>
      <c r="P526" s="450"/>
      <c r="Q526" s="450"/>
      <c r="R526" s="450"/>
      <c r="S526" s="451"/>
      <c r="T526" s="450"/>
      <c r="U526" s="451"/>
      <c r="V526" s="450"/>
      <c r="W526" s="450"/>
      <c r="X526" s="450"/>
      <c r="Y526" s="450"/>
      <c r="Z526" s="450"/>
    </row>
    <row r="527" spans="1:26" x14ac:dyDescent="0.25">
      <c r="A527" s="446" t="s">
        <v>4891</v>
      </c>
      <c r="B527" s="446"/>
      <c r="C527" s="446" t="s">
        <v>4618</v>
      </c>
      <c r="D527" s="446" t="s">
        <v>4892</v>
      </c>
      <c r="E527" s="448" t="s">
        <v>4893</v>
      </c>
      <c r="F527" s="448">
        <v>11069</v>
      </c>
      <c r="G527" s="446" t="s">
        <v>4886</v>
      </c>
      <c r="H527" s="446" t="s">
        <v>4817</v>
      </c>
      <c r="I527" s="446" t="s">
        <v>4632</v>
      </c>
      <c r="J527" s="446" t="s">
        <v>746</v>
      </c>
      <c r="K527" s="446" t="s">
        <v>4894</v>
      </c>
      <c r="L527" s="450"/>
      <c r="M527" s="450"/>
      <c r="N527" s="450"/>
      <c r="O527" s="450"/>
      <c r="P527" s="450"/>
      <c r="Q527" s="450"/>
      <c r="R527" s="450"/>
      <c r="S527" s="451"/>
      <c r="T527" s="450"/>
      <c r="U527" s="451"/>
      <c r="V527" s="450"/>
      <c r="W527" s="450"/>
      <c r="X527" s="450"/>
      <c r="Y527" s="450"/>
      <c r="Z527" s="450"/>
    </row>
    <row r="528" spans="1:26" x14ac:dyDescent="0.25">
      <c r="A528" s="446" t="s">
        <v>2679</v>
      </c>
      <c r="B528" s="446"/>
      <c r="C528" s="446" t="s">
        <v>756</v>
      </c>
      <c r="D528" s="446" t="s">
        <v>4895</v>
      </c>
      <c r="E528" s="448" t="s">
        <v>4896</v>
      </c>
      <c r="F528" s="448">
        <v>11139</v>
      </c>
      <c r="G528" s="446" t="s">
        <v>2681</v>
      </c>
      <c r="H528" s="446" t="s">
        <v>102</v>
      </c>
      <c r="I528" s="446" t="s">
        <v>4632</v>
      </c>
      <c r="J528" s="446" t="s">
        <v>760</v>
      </c>
      <c r="K528" s="446" t="s">
        <v>4897</v>
      </c>
      <c r="L528" s="450"/>
      <c r="M528" s="450"/>
      <c r="N528" s="450"/>
      <c r="O528" s="450"/>
      <c r="P528" s="450"/>
      <c r="Q528" s="450"/>
      <c r="R528" s="450"/>
      <c r="S528" s="451"/>
      <c r="T528" s="450"/>
      <c r="U528" s="451"/>
      <c r="V528" s="450"/>
      <c r="W528" s="450"/>
      <c r="X528" s="450"/>
      <c r="Y528" s="450"/>
      <c r="Z528" s="450"/>
    </row>
    <row r="529" spans="1:26" x14ac:dyDescent="0.25">
      <c r="A529" s="446" t="s">
        <v>2682</v>
      </c>
      <c r="B529" s="446"/>
      <c r="C529" s="446" t="s">
        <v>756</v>
      </c>
      <c r="D529" s="446" t="s">
        <v>4898</v>
      </c>
      <c r="E529" s="448" t="s">
        <v>4899</v>
      </c>
      <c r="F529" s="448">
        <v>11164</v>
      </c>
      <c r="G529" s="446" t="s">
        <v>524</v>
      </c>
      <c r="H529" s="446" t="s">
        <v>102</v>
      </c>
      <c r="I529" s="446" t="s">
        <v>4632</v>
      </c>
      <c r="J529" s="446" t="s">
        <v>760</v>
      </c>
      <c r="K529" s="446" t="s">
        <v>4900</v>
      </c>
      <c r="L529" s="450"/>
      <c r="M529" s="450"/>
      <c r="N529" s="450"/>
      <c r="O529" s="450"/>
      <c r="P529" s="450"/>
      <c r="Q529" s="450"/>
      <c r="R529" s="450"/>
      <c r="S529" s="451"/>
      <c r="T529" s="450"/>
      <c r="U529" s="451"/>
      <c r="V529" s="450"/>
      <c r="W529" s="450"/>
      <c r="X529" s="450"/>
      <c r="Y529" s="450"/>
      <c r="Z529" s="450"/>
    </row>
    <row r="530" spans="1:26" x14ac:dyDescent="0.25">
      <c r="A530" s="446" t="s">
        <v>4901</v>
      </c>
      <c r="B530" s="446"/>
      <c r="C530" s="446" t="s">
        <v>202</v>
      </c>
      <c r="D530" s="446" t="s">
        <v>4902</v>
      </c>
      <c r="E530" s="448" t="s">
        <v>4899</v>
      </c>
      <c r="F530" s="448">
        <v>11164</v>
      </c>
      <c r="G530" s="446" t="s">
        <v>529</v>
      </c>
      <c r="H530" s="446" t="s">
        <v>524</v>
      </c>
      <c r="I530" s="446" t="s">
        <v>4632</v>
      </c>
      <c r="J530" s="446" t="s">
        <v>746</v>
      </c>
      <c r="K530" s="446" t="s">
        <v>4903</v>
      </c>
      <c r="L530" s="450"/>
      <c r="M530" s="450"/>
      <c r="N530" s="450"/>
      <c r="O530" s="450"/>
      <c r="P530" s="450"/>
      <c r="Q530" s="450"/>
      <c r="R530" s="450"/>
      <c r="S530" s="451"/>
      <c r="T530" s="450"/>
      <c r="U530" s="451"/>
      <c r="V530" s="450"/>
      <c r="W530" s="450"/>
      <c r="X530" s="450"/>
      <c r="Y530" s="450"/>
      <c r="Z530" s="450"/>
    </row>
    <row r="531" spans="1:26" x14ac:dyDescent="0.25">
      <c r="A531" s="446" t="s">
        <v>4904</v>
      </c>
      <c r="B531" s="446"/>
      <c r="C531" s="446" t="s">
        <v>202</v>
      </c>
      <c r="D531" s="446" t="s">
        <v>4905</v>
      </c>
      <c r="E531" s="448" t="s">
        <v>4906</v>
      </c>
      <c r="F531" s="448">
        <v>11174</v>
      </c>
      <c r="G531" s="446" t="s">
        <v>523</v>
      </c>
      <c r="H531" s="446" t="s">
        <v>524</v>
      </c>
      <c r="I531" s="446" t="s">
        <v>231</v>
      </c>
      <c r="J531" s="446" t="s">
        <v>746</v>
      </c>
      <c r="K531" s="446" t="s">
        <v>4907</v>
      </c>
      <c r="L531" s="450"/>
      <c r="M531" s="450"/>
      <c r="N531" s="450"/>
      <c r="O531" s="450"/>
      <c r="P531" s="450"/>
      <c r="Q531" s="450"/>
      <c r="R531" s="450"/>
      <c r="S531" s="451"/>
      <c r="T531" s="450"/>
      <c r="U531" s="451"/>
      <c r="V531" s="450"/>
      <c r="W531" s="450"/>
      <c r="X531" s="450"/>
      <c r="Y531" s="450"/>
      <c r="Z531" s="450"/>
    </row>
    <row r="532" spans="1:26" x14ac:dyDescent="0.25">
      <c r="A532" s="446" t="s">
        <v>4908</v>
      </c>
      <c r="B532" s="446"/>
      <c r="C532" s="446" t="s">
        <v>202</v>
      </c>
      <c r="D532" s="446" t="s">
        <v>4909</v>
      </c>
      <c r="E532" s="448" t="s">
        <v>4910</v>
      </c>
      <c r="F532" s="448">
        <v>11177</v>
      </c>
      <c r="G532" s="446" t="s">
        <v>442</v>
      </c>
      <c r="H532" s="446" t="s">
        <v>524</v>
      </c>
      <c r="I532" s="446" t="s">
        <v>231</v>
      </c>
      <c r="J532" s="446" t="s">
        <v>746</v>
      </c>
      <c r="K532" s="446" t="s">
        <v>4911</v>
      </c>
      <c r="L532" s="450"/>
      <c r="M532" s="450"/>
      <c r="N532" s="450"/>
      <c r="O532" s="450"/>
      <c r="P532" s="450"/>
      <c r="Q532" s="450"/>
      <c r="R532" s="450"/>
      <c r="S532" s="451"/>
      <c r="T532" s="450"/>
      <c r="U532" s="451"/>
      <c r="V532" s="450"/>
      <c r="W532" s="450"/>
      <c r="X532" s="450"/>
      <c r="Y532" s="450"/>
      <c r="Z532" s="450"/>
    </row>
    <row r="533" spans="1:26" x14ac:dyDescent="0.25">
      <c r="A533" s="446" t="s">
        <v>4912</v>
      </c>
      <c r="B533" s="446"/>
      <c r="C533" s="446" t="s">
        <v>202</v>
      </c>
      <c r="D533" s="446" t="s">
        <v>4913</v>
      </c>
      <c r="E533" s="448" t="s">
        <v>4914</v>
      </c>
      <c r="F533" s="448">
        <v>11223</v>
      </c>
      <c r="G533" s="446" t="s">
        <v>4881</v>
      </c>
      <c r="H533" s="446" t="s">
        <v>524</v>
      </c>
      <c r="I533" s="446" t="s">
        <v>231</v>
      </c>
      <c r="J533" s="446" t="s">
        <v>746</v>
      </c>
      <c r="K533" s="446" t="s">
        <v>4915</v>
      </c>
      <c r="L533" s="450"/>
      <c r="M533" s="450"/>
      <c r="N533" s="450"/>
      <c r="O533" s="450"/>
      <c r="P533" s="450"/>
      <c r="Q533" s="450"/>
      <c r="R533" s="450"/>
      <c r="S533" s="451"/>
      <c r="T533" s="450"/>
      <c r="U533" s="451"/>
      <c r="V533" s="450"/>
      <c r="W533" s="450"/>
      <c r="X533" s="450"/>
      <c r="Y533" s="450"/>
      <c r="Z533" s="450"/>
    </row>
    <row r="534" spans="1:26" x14ac:dyDescent="0.25">
      <c r="A534" s="446" t="s">
        <v>520</v>
      </c>
      <c r="B534" s="446"/>
      <c r="C534" s="446" t="s">
        <v>521</v>
      </c>
      <c r="D534" s="446" t="s">
        <v>4916</v>
      </c>
      <c r="E534" s="448" t="s">
        <v>4917</v>
      </c>
      <c r="F534" s="448">
        <v>11237</v>
      </c>
      <c r="G534" s="446" t="s">
        <v>523</v>
      </c>
      <c r="H534" s="446" t="s">
        <v>524</v>
      </c>
      <c r="I534" s="446" t="s">
        <v>231</v>
      </c>
      <c r="J534" s="446" t="s">
        <v>760</v>
      </c>
      <c r="K534" s="446" t="s">
        <v>4918</v>
      </c>
      <c r="L534" s="450"/>
      <c r="M534" s="450"/>
      <c r="N534" s="450"/>
      <c r="O534" s="450"/>
      <c r="P534" s="450"/>
      <c r="Q534" s="450"/>
      <c r="R534" s="450"/>
      <c r="S534" s="451"/>
      <c r="T534" s="450"/>
      <c r="U534" s="451"/>
      <c r="V534" s="450"/>
      <c r="W534" s="450"/>
      <c r="X534" s="450"/>
      <c r="Y534" s="450"/>
      <c r="Z534" s="450"/>
    </row>
    <row r="535" spans="1:26" x14ac:dyDescent="0.25">
      <c r="A535" s="446" t="s">
        <v>527</v>
      </c>
      <c r="B535" s="446"/>
      <c r="C535" s="446" t="s">
        <v>521</v>
      </c>
      <c r="D535" s="446" t="s">
        <v>4919</v>
      </c>
      <c r="E535" s="448" t="s">
        <v>4917</v>
      </c>
      <c r="F535" s="448">
        <v>11237</v>
      </c>
      <c r="G535" s="446" t="s">
        <v>529</v>
      </c>
      <c r="H535" s="446" t="s">
        <v>524</v>
      </c>
      <c r="I535" s="446" t="s">
        <v>4632</v>
      </c>
      <c r="J535" s="446" t="s">
        <v>760</v>
      </c>
      <c r="K535" s="446" t="s">
        <v>4920</v>
      </c>
      <c r="L535" s="450"/>
      <c r="M535" s="450"/>
      <c r="N535" s="450"/>
      <c r="O535" s="450"/>
      <c r="P535" s="450"/>
      <c r="Q535" s="450"/>
      <c r="R535" s="450"/>
      <c r="S535" s="451"/>
      <c r="T535" s="450"/>
      <c r="U535" s="451"/>
      <c r="V535" s="450"/>
      <c r="W535" s="450"/>
      <c r="X535" s="450"/>
      <c r="Y535" s="450"/>
      <c r="Z535" s="450"/>
    </row>
    <row r="536" spans="1:26" x14ac:dyDescent="0.25">
      <c r="A536" s="446" t="s">
        <v>4921</v>
      </c>
      <c r="B536" s="446"/>
      <c r="C536" s="446" t="s">
        <v>202</v>
      </c>
      <c r="D536" s="446" t="s">
        <v>4922</v>
      </c>
      <c r="E536" s="448" t="s">
        <v>4923</v>
      </c>
      <c r="F536" s="448">
        <v>11260</v>
      </c>
      <c r="G536" s="446" t="s">
        <v>4924</v>
      </c>
      <c r="H536" s="446" t="s">
        <v>524</v>
      </c>
      <c r="I536" s="446" t="s">
        <v>231</v>
      </c>
      <c r="J536" s="446" t="s">
        <v>746</v>
      </c>
      <c r="K536" s="446" t="s">
        <v>4925</v>
      </c>
      <c r="L536" s="450"/>
      <c r="M536" s="450"/>
      <c r="N536" s="450"/>
      <c r="O536" s="450"/>
      <c r="P536" s="450"/>
      <c r="Q536" s="450"/>
      <c r="R536" s="450"/>
      <c r="S536" s="451"/>
      <c r="T536" s="450"/>
      <c r="U536" s="451"/>
      <c r="V536" s="450"/>
      <c r="W536" s="450"/>
      <c r="X536" s="450"/>
      <c r="Y536" s="450"/>
      <c r="Z536" s="450"/>
    </row>
    <row r="537" spans="1:26" x14ac:dyDescent="0.25">
      <c r="A537" s="446" t="s">
        <v>4926</v>
      </c>
      <c r="B537" s="446"/>
      <c r="C537" s="446" t="s">
        <v>202</v>
      </c>
      <c r="D537" s="446" t="s">
        <v>4927</v>
      </c>
      <c r="E537" s="448" t="s">
        <v>4928</v>
      </c>
      <c r="F537" s="448">
        <v>11272</v>
      </c>
      <c r="G537" s="446" t="s">
        <v>4847</v>
      </c>
      <c r="H537" s="446" t="s">
        <v>524</v>
      </c>
      <c r="I537" s="446" t="s">
        <v>231</v>
      </c>
      <c r="J537" s="446" t="s">
        <v>746</v>
      </c>
      <c r="K537" s="446" t="s">
        <v>4929</v>
      </c>
      <c r="L537" s="450"/>
      <c r="M537" s="450"/>
      <c r="N537" s="450"/>
      <c r="O537" s="450"/>
      <c r="P537" s="450"/>
      <c r="Q537" s="450"/>
      <c r="R537" s="450"/>
      <c r="S537" s="451"/>
      <c r="T537" s="450"/>
      <c r="U537" s="451"/>
      <c r="V537" s="450"/>
      <c r="W537" s="450"/>
      <c r="X537" s="450"/>
      <c r="Y537" s="450"/>
      <c r="Z537" s="450"/>
    </row>
    <row r="538" spans="1:26" x14ac:dyDescent="0.25">
      <c r="A538" s="446" t="s">
        <v>4930</v>
      </c>
      <c r="B538" s="446"/>
      <c r="C538" s="446" t="s">
        <v>202</v>
      </c>
      <c r="D538" s="446" t="s">
        <v>4931</v>
      </c>
      <c r="E538" s="448" t="s">
        <v>4932</v>
      </c>
      <c r="F538" s="448">
        <v>11279</v>
      </c>
      <c r="G538" s="446" t="s">
        <v>4933</v>
      </c>
      <c r="H538" s="446" t="s">
        <v>524</v>
      </c>
      <c r="I538" s="446" t="s">
        <v>231</v>
      </c>
      <c r="J538" s="446" t="s">
        <v>746</v>
      </c>
      <c r="K538" s="446" t="s">
        <v>4934</v>
      </c>
      <c r="L538" s="450"/>
      <c r="M538" s="450"/>
      <c r="N538" s="450"/>
      <c r="O538" s="450"/>
      <c r="P538" s="450"/>
      <c r="Q538" s="450"/>
      <c r="R538" s="450"/>
      <c r="S538" s="451"/>
      <c r="T538" s="450"/>
      <c r="U538" s="451"/>
      <c r="V538" s="450"/>
      <c r="W538" s="450"/>
      <c r="X538" s="450"/>
      <c r="Y538" s="450"/>
      <c r="Z538" s="450"/>
    </row>
    <row r="539" spans="1:26" x14ac:dyDescent="0.25">
      <c r="A539" s="446" t="s">
        <v>4935</v>
      </c>
      <c r="B539" s="446"/>
      <c r="C539" s="446" t="s">
        <v>1456</v>
      </c>
      <c r="D539" s="446" t="s">
        <v>4936</v>
      </c>
      <c r="E539" s="448" t="s">
        <v>4937</v>
      </c>
      <c r="F539" s="448">
        <v>11304</v>
      </c>
      <c r="G539" s="446" t="s">
        <v>484</v>
      </c>
      <c r="H539" s="446" t="s">
        <v>4938</v>
      </c>
      <c r="I539" s="446" t="s">
        <v>231</v>
      </c>
      <c r="J539" s="446" t="s">
        <v>746</v>
      </c>
      <c r="K539" s="446" t="s">
        <v>4939</v>
      </c>
      <c r="L539" s="450"/>
      <c r="M539" s="450"/>
      <c r="N539" s="450"/>
      <c r="O539" s="450"/>
      <c r="P539" s="450"/>
      <c r="Q539" s="450"/>
      <c r="R539" s="450"/>
      <c r="S539" s="451"/>
      <c r="T539" s="450"/>
      <c r="U539" s="451"/>
      <c r="V539" s="450"/>
      <c r="W539" s="450"/>
      <c r="X539" s="450"/>
      <c r="Y539" s="450"/>
      <c r="Z539" s="450"/>
    </row>
    <row r="540" spans="1:26" x14ac:dyDescent="0.25">
      <c r="A540" s="446" t="s">
        <v>4940</v>
      </c>
      <c r="B540" s="446"/>
      <c r="C540" s="446" t="s">
        <v>202</v>
      </c>
      <c r="D540" s="446" t="s">
        <v>4941</v>
      </c>
      <c r="E540" s="448" t="s">
        <v>4942</v>
      </c>
      <c r="F540" s="448">
        <v>11364</v>
      </c>
      <c r="G540" s="446" t="s">
        <v>4847</v>
      </c>
      <c r="H540" s="446" t="s">
        <v>524</v>
      </c>
      <c r="I540" s="446" t="s">
        <v>231</v>
      </c>
      <c r="J540" s="446" t="s">
        <v>746</v>
      </c>
      <c r="K540" s="446" t="s">
        <v>4943</v>
      </c>
      <c r="L540" s="450"/>
      <c r="M540" s="450"/>
      <c r="N540" s="450"/>
      <c r="O540" s="450"/>
      <c r="P540" s="450"/>
      <c r="Q540" s="450"/>
      <c r="R540" s="450"/>
      <c r="S540" s="451"/>
      <c r="T540" s="450"/>
      <c r="U540" s="451"/>
      <c r="V540" s="450"/>
      <c r="W540" s="450"/>
      <c r="X540" s="450"/>
      <c r="Y540" s="450"/>
      <c r="Z540" s="450"/>
    </row>
    <row r="541" spans="1:26" x14ac:dyDescent="0.25">
      <c r="A541" s="446" t="s">
        <v>4944</v>
      </c>
      <c r="B541" s="446"/>
      <c r="C541" s="446" t="s">
        <v>4618</v>
      </c>
      <c r="D541" s="446" t="s">
        <v>4945</v>
      </c>
      <c r="E541" s="448" t="s">
        <v>4942</v>
      </c>
      <c r="F541" s="448">
        <v>11364</v>
      </c>
      <c r="G541" s="446" t="s">
        <v>524</v>
      </c>
      <c r="H541" s="446" t="s">
        <v>4847</v>
      </c>
      <c r="I541" s="446" t="s">
        <v>4632</v>
      </c>
      <c r="J541" s="446" t="s">
        <v>746</v>
      </c>
      <c r="K541" s="446" t="s">
        <v>4946</v>
      </c>
      <c r="L541" s="450"/>
      <c r="M541" s="450"/>
      <c r="N541" s="450"/>
      <c r="O541" s="450"/>
      <c r="P541" s="450"/>
      <c r="Q541" s="450"/>
      <c r="R541" s="450"/>
      <c r="S541" s="451"/>
      <c r="T541" s="450"/>
      <c r="U541" s="451"/>
      <c r="V541" s="450"/>
      <c r="W541" s="450"/>
      <c r="X541" s="450"/>
      <c r="Y541" s="450"/>
      <c r="Z541" s="450"/>
    </row>
    <row r="542" spans="1:26" x14ac:dyDescent="0.25">
      <c r="A542" s="446" t="s">
        <v>537</v>
      </c>
      <c r="B542" s="446"/>
      <c r="C542" s="446" t="s">
        <v>408</v>
      </c>
      <c r="D542" s="446" t="s">
        <v>4947</v>
      </c>
      <c r="E542" s="448" t="s">
        <v>4948</v>
      </c>
      <c r="F542" s="448">
        <v>11394</v>
      </c>
      <c r="G542" s="446" t="s">
        <v>4949</v>
      </c>
      <c r="H542" s="446" t="s">
        <v>540</v>
      </c>
      <c r="I542" s="446" t="s">
        <v>231</v>
      </c>
      <c r="J542" s="446" t="s">
        <v>4604</v>
      </c>
      <c r="K542" s="446" t="s">
        <v>4950</v>
      </c>
      <c r="L542" s="450"/>
      <c r="M542" s="450"/>
      <c r="N542" s="450"/>
      <c r="O542" s="450"/>
      <c r="P542" s="450"/>
      <c r="Q542" s="450"/>
      <c r="R542" s="450"/>
      <c r="S542" s="451"/>
      <c r="T542" s="450"/>
      <c r="U542" s="451"/>
      <c r="V542" s="450"/>
      <c r="W542" s="450"/>
      <c r="X542" s="450"/>
      <c r="Y542" s="450"/>
      <c r="Z542" s="450"/>
    </row>
    <row r="543" spans="1:26" x14ac:dyDescent="0.25">
      <c r="A543" s="446" t="s">
        <v>4951</v>
      </c>
      <c r="B543" s="446"/>
      <c r="C543" s="446" t="s">
        <v>4618</v>
      </c>
      <c r="D543" s="446" t="s">
        <v>4952</v>
      </c>
      <c r="E543" s="448" t="s">
        <v>4953</v>
      </c>
      <c r="F543" s="448">
        <v>11400</v>
      </c>
      <c r="G543" s="446" t="s">
        <v>4954</v>
      </c>
      <c r="H543" s="446" t="s">
        <v>442</v>
      </c>
      <c r="I543" s="446" t="s">
        <v>231</v>
      </c>
      <c r="J543" s="446" t="s">
        <v>746</v>
      </c>
      <c r="K543" s="446" t="s">
        <v>4955</v>
      </c>
      <c r="L543" s="450"/>
      <c r="M543" s="450"/>
      <c r="N543" s="450"/>
      <c r="O543" s="450"/>
      <c r="P543" s="450"/>
      <c r="Q543" s="450"/>
      <c r="R543" s="450"/>
      <c r="S543" s="451"/>
      <c r="T543" s="450"/>
      <c r="U543" s="451"/>
      <c r="V543" s="450"/>
      <c r="W543" s="450"/>
      <c r="X543" s="450"/>
      <c r="Y543" s="450"/>
      <c r="Z543" s="450"/>
    </row>
    <row r="544" spans="1:26" x14ac:dyDescent="0.25">
      <c r="A544" s="446" t="s">
        <v>445</v>
      </c>
      <c r="B544" s="446"/>
      <c r="C544" s="446" t="s">
        <v>415</v>
      </c>
      <c r="D544" s="446" t="s">
        <v>4956</v>
      </c>
      <c r="E544" s="448" t="s">
        <v>4957</v>
      </c>
      <c r="F544" s="448">
        <v>11450</v>
      </c>
      <c r="G544" s="446" t="s">
        <v>106</v>
      </c>
      <c r="H544" s="446" t="s">
        <v>436</v>
      </c>
      <c r="I544" s="446" t="s">
        <v>231</v>
      </c>
      <c r="J544" s="446" t="s">
        <v>4604</v>
      </c>
      <c r="K544" s="446" t="s">
        <v>4958</v>
      </c>
      <c r="L544" s="450"/>
      <c r="M544" s="450"/>
      <c r="N544" s="450"/>
      <c r="O544" s="450"/>
      <c r="P544" s="450"/>
      <c r="Q544" s="450"/>
      <c r="R544" s="450"/>
      <c r="S544" s="451"/>
      <c r="T544" s="450"/>
      <c r="U544" s="451"/>
      <c r="V544" s="450"/>
      <c r="W544" s="450"/>
      <c r="X544" s="450"/>
      <c r="Y544" s="450"/>
      <c r="Z544" s="450"/>
    </row>
    <row r="545" spans="1:26" x14ac:dyDescent="0.25">
      <c r="A545" s="446" t="s">
        <v>532</v>
      </c>
      <c r="B545" s="446"/>
      <c r="C545" s="446" t="s">
        <v>408</v>
      </c>
      <c r="D545" s="446" t="s">
        <v>4959</v>
      </c>
      <c r="E545" s="448" t="s">
        <v>4960</v>
      </c>
      <c r="F545" s="448">
        <v>11578</v>
      </c>
      <c r="G545" s="446" t="s">
        <v>4961</v>
      </c>
      <c r="H545" s="446" t="s">
        <v>536</v>
      </c>
      <c r="I545" s="446" t="s">
        <v>231</v>
      </c>
      <c r="J545" s="446" t="s">
        <v>4604</v>
      </c>
      <c r="K545" s="446" t="s">
        <v>4962</v>
      </c>
      <c r="L545" s="450"/>
      <c r="M545" s="450"/>
      <c r="N545" s="450"/>
      <c r="O545" s="450"/>
      <c r="P545" s="450"/>
      <c r="Q545" s="450"/>
      <c r="R545" s="450"/>
      <c r="S545" s="451"/>
      <c r="T545" s="450"/>
      <c r="U545" s="451"/>
      <c r="V545" s="450"/>
      <c r="W545" s="450"/>
      <c r="X545" s="450"/>
      <c r="Y545" s="450"/>
      <c r="Z545" s="450"/>
    </row>
    <row r="546" spans="1:26" x14ac:dyDescent="0.25">
      <c r="A546" s="446" t="s">
        <v>4963</v>
      </c>
      <c r="B546" s="446"/>
      <c r="C546" s="446" t="s">
        <v>4618</v>
      </c>
      <c r="D546" s="446" t="s">
        <v>4964</v>
      </c>
      <c r="E546" s="448" t="s">
        <v>4965</v>
      </c>
      <c r="F546" s="448">
        <v>11842</v>
      </c>
      <c r="G546" s="446" t="s">
        <v>524</v>
      </c>
      <c r="H546" s="446" t="s">
        <v>4847</v>
      </c>
      <c r="I546" s="446" t="s">
        <v>4632</v>
      </c>
      <c r="J546" s="446" t="s">
        <v>746</v>
      </c>
      <c r="K546" s="446" t="s">
        <v>4966</v>
      </c>
      <c r="L546" s="450"/>
      <c r="M546" s="450"/>
      <c r="N546" s="450"/>
      <c r="O546" s="450"/>
      <c r="P546" s="450"/>
      <c r="Q546" s="450"/>
      <c r="R546" s="450"/>
      <c r="S546" s="451"/>
      <c r="T546" s="450"/>
      <c r="U546" s="451"/>
      <c r="V546" s="450"/>
      <c r="W546" s="450"/>
      <c r="X546" s="450"/>
      <c r="Y546" s="450"/>
      <c r="Z546" s="450"/>
    </row>
    <row r="547" spans="1:26" x14ac:dyDescent="0.25">
      <c r="A547" s="446" t="s">
        <v>544</v>
      </c>
      <c r="B547" s="446"/>
      <c r="C547" s="446" t="s">
        <v>408</v>
      </c>
      <c r="D547" s="446" t="s">
        <v>4967</v>
      </c>
      <c r="E547" s="448" t="s">
        <v>4968</v>
      </c>
      <c r="F547" s="448">
        <v>12035</v>
      </c>
      <c r="G547" s="446" t="s">
        <v>540</v>
      </c>
      <c r="H547" s="446" t="s">
        <v>547</v>
      </c>
      <c r="I547" s="446" t="s">
        <v>4632</v>
      </c>
      <c r="J547" s="446" t="s">
        <v>4604</v>
      </c>
      <c r="K547" s="446" t="s">
        <v>4969</v>
      </c>
      <c r="L547" s="450"/>
      <c r="M547" s="450"/>
      <c r="N547" s="450"/>
      <c r="O547" s="450"/>
      <c r="P547" s="450"/>
      <c r="Q547" s="450"/>
      <c r="R547" s="450"/>
      <c r="S547" s="451"/>
      <c r="T547" s="450"/>
      <c r="U547" s="451"/>
      <c r="V547" s="450"/>
      <c r="W547" s="450"/>
      <c r="X547" s="450"/>
      <c r="Y547" s="450"/>
      <c r="Z547" s="450"/>
    </row>
    <row r="548" spans="1:26" x14ac:dyDescent="0.25">
      <c r="A548" s="446" t="s">
        <v>4970</v>
      </c>
      <c r="B548" s="446"/>
      <c r="C548" s="446" t="s">
        <v>1456</v>
      </c>
      <c r="D548" s="446" t="s">
        <v>4971</v>
      </c>
      <c r="E548" s="448" t="s">
        <v>4972</v>
      </c>
      <c r="F548" s="448">
        <v>12271</v>
      </c>
      <c r="G548" s="446" t="s">
        <v>4938</v>
      </c>
      <c r="H548" s="446" t="s">
        <v>4973</v>
      </c>
      <c r="I548" s="446" t="s">
        <v>231</v>
      </c>
      <c r="J548" s="446" t="s">
        <v>746</v>
      </c>
      <c r="K548" s="446" t="s">
        <v>4974</v>
      </c>
      <c r="L548" s="450"/>
      <c r="M548" s="450"/>
      <c r="N548" s="450"/>
      <c r="O548" s="450"/>
      <c r="P548" s="450"/>
      <c r="Q548" s="450"/>
      <c r="R548" s="450"/>
      <c r="S548" s="451"/>
      <c r="T548" s="450"/>
      <c r="U548" s="451"/>
      <c r="V548" s="450"/>
      <c r="W548" s="450"/>
      <c r="X548" s="450"/>
      <c r="Y548" s="450"/>
      <c r="Z548" s="450"/>
    </row>
    <row r="549" spans="1:26" x14ac:dyDescent="0.25">
      <c r="A549" s="446" t="s">
        <v>4975</v>
      </c>
      <c r="B549" s="446"/>
      <c r="C549" s="446" t="s">
        <v>4618</v>
      </c>
      <c r="D549" s="446" t="s">
        <v>4976</v>
      </c>
      <c r="E549" s="448" t="s">
        <v>4977</v>
      </c>
      <c r="F549" s="448">
        <v>12596</v>
      </c>
      <c r="G549" s="446" t="s">
        <v>4847</v>
      </c>
      <c r="H549" s="446" t="s">
        <v>523</v>
      </c>
      <c r="I549" s="446" t="s">
        <v>231</v>
      </c>
      <c r="J549" s="446" t="s">
        <v>746</v>
      </c>
      <c r="K549" s="446" t="s">
        <v>4978</v>
      </c>
      <c r="L549" s="450"/>
      <c r="M549" s="450"/>
      <c r="N549" s="450"/>
      <c r="O549" s="450"/>
      <c r="P549" s="450"/>
      <c r="Q549" s="450"/>
      <c r="R549" s="450"/>
      <c r="S549" s="451"/>
      <c r="T549" s="450"/>
      <c r="U549" s="451"/>
      <c r="V549" s="450"/>
      <c r="W549" s="450"/>
      <c r="X549" s="450"/>
      <c r="Y549" s="450"/>
      <c r="Z549" s="450"/>
    </row>
    <row r="550" spans="1:26" x14ac:dyDescent="0.25">
      <c r="A550" s="446" t="s">
        <v>554</v>
      </c>
      <c r="B550" s="446"/>
      <c r="C550" s="446" t="s">
        <v>408</v>
      </c>
      <c r="D550" s="446" t="s">
        <v>4979</v>
      </c>
      <c r="E550" s="448" t="s">
        <v>4980</v>
      </c>
      <c r="F550" s="448">
        <v>12844</v>
      </c>
      <c r="G550" s="446" t="s">
        <v>4981</v>
      </c>
      <c r="H550" s="446" t="s">
        <v>557</v>
      </c>
      <c r="I550" s="446" t="s">
        <v>4632</v>
      </c>
      <c r="J550" s="446" t="s">
        <v>4604</v>
      </c>
      <c r="K550" s="446" t="s">
        <v>4982</v>
      </c>
      <c r="L550" s="450"/>
      <c r="M550" s="450"/>
      <c r="N550" s="450"/>
      <c r="O550" s="450"/>
      <c r="P550" s="450"/>
      <c r="Q550" s="450"/>
      <c r="R550" s="450"/>
      <c r="S550" s="451"/>
      <c r="T550" s="450"/>
      <c r="U550" s="451"/>
      <c r="V550" s="450"/>
      <c r="W550" s="450"/>
      <c r="X550" s="450"/>
      <c r="Y550" s="450"/>
      <c r="Z550" s="450"/>
    </row>
    <row r="551" spans="1:26" x14ac:dyDescent="0.25">
      <c r="A551" s="446" t="s">
        <v>558</v>
      </c>
      <c r="B551" s="446"/>
      <c r="C551" s="446" t="s">
        <v>408</v>
      </c>
      <c r="D551" s="446" t="s">
        <v>4983</v>
      </c>
      <c r="E551" s="448" t="s">
        <v>4984</v>
      </c>
      <c r="F551" s="448">
        <v>13121</v>
      </c>
      <c r="G551" s="446" t="s">
        <v>4949</v>
      </c>
      <c r="H551" s="446" t="s">
        <v>560</v>
      </c>
      <c r="I551" s="446" t="s">
        <v>4632</v>
      </c>
      <c r="J551" s="446" t="s">
        <v>4604</v>
      </c>
      <c r="K551" s="446" t="s">
        <v>4985</v>
      </c>
      <c r="L551" s="450"/>
      <c r="M551" s="450"/>
      <c r="N551" s="450"/>
      <c r="O551" s="450"/>
      <c r="P551" s="450"/>
      <c r="Q551" s="450"/>
      <c r="R551" s="450"/>
      <c r="S551" s="451"/>
      <c r="T551" s="450"/>
      <c r="U551" s="451"/>
      <c r="V551" s="450"/>
      <c r="W551" s="450"/>
      <c r="X551" s="450"/>
      <c r="Y551" s="450"/>
      <c r="Z551" s="450"/>
    </row>
    <row r="552" spans="1:26" x14ac:dyDescent="0.25">
      <c r="A552" s="446" t="s">
        <v>4986</v>
      </c>
      <c r="B552" s="446"/>
      <c r="C552" s="446" t="s">
        <v>4618</v>
      </c>
      <c r="D552" s="446" t="s">
        <v>4987</v>
      </c>
      <c r="E552" s="448" t="s">
        <v>4984</v>
      </c>
      <c r="F552" s="448">
        <v>13121</v>
      </c>
      <c r="G552" s="446" t="s">
        <v>524</v>
      </c>
      <c r="H552" s="446" t="s">
        <v>4924</v>
      </c>
      <c r="I552" s="446" t="s">
        <v>231</v>
      </c>
      <c r="J552" s="446" t="s">
        <v>746</v>
      </c>
      <c r="K552" s="446" t="s">
        <v>4988</v>
      </c>
      <c r="L552" s="450"/>
      <c r="M552" s="450"/>
      <c r="N552" s="450"/>
      <c r="O552" s="450"/>
      <c r="P552" s="450"/>
      <c r="Q552" s="450"/>
      <c r="R552" s="450"/>
      <c r="S552" s="451"/>
      <c r="T552" s="450"/>
      <c r="U552" s="451"/>
      <c r="V552" s="450"/>
      <c r="W552" s="450"/>
      <c r="X552" s="450"/>
      <c r="Y552" s="450"/>
      <c r="Z552" s="450"/>
    </row>
    <row r="553" spans="1:26" x14ac:dyDescent="0.25">
      <c r="A553" s="446" t="s">
        <v>4989</v>
      </c>
      <c r="B553" s="446"/>
      <c r="C553" s="446" t="s">
        <v>4618</v>
      </c>
      <c r="D553" s="446" t="s">
        <v>4990</v>
      </c>
      <c r="E553" s="448" t="s">
        <v>4984</v>
      </c>
      <c r="F553" s="448">
        <v>13121</v>
      </c>
      <c r="G553" s="446" t="s">
        <v>524</v>
      </c>
      <c r="H553" s="446" t="s">
        <v>442</v>
      </c>
      <c r="I553" s="446" t="s">
        <v>231</v>
      </c>
      <c r="J553" s="446" t="s">
        <v>746</v>
      </c>
      <c r="K553" s="446" t="s">
        <v>4991</v>
      </c>
      <c r="L553" s="450"/>
      <c r="M553" s="450"/>
      <c r="N553" s="450"/>
      <c r="O553" s="450"/>
      <c r="P553" s="450"/>
      <c r="Q553" s="450"/>
      <c r="R553" s="450"/>
      <c r="S553" s="451"/>
      <c r="T553" s="450"/>
      <c r="U553" s="451"/>
      <c r="V553" s="450"/>
      <c r="W553" s="450"/>
      <c r="X553" s="450"/>
      <c r="Y553" s="450"/>
      <c r="Z553" s="450"/>
    </row>
    <row r="554" spans="1:26" x14ac:dyDescent="0.25">
      <c r="A554" s="446" t="s">
        <v>562</v>
      </c>
      <c r="B554" s="446"/>
      <c r="C554" s="446" t="s">
        <v>408</v>
      </c>
      <c r="D554" s="446" t="s">
        <v>4992</v>
      </c>
      <c r="E554" s="448" t="s">
        <v>4993</v>
      </c>
      <c r="F554" s="448">
        <v>13545</v>
      </c>
      <c r="G554" s="446" t="s">
        <v>4994</v>
      </c>
      <c r="H554" s="446" t="s">
        <v>560</v>
      </c>
      <c r="I554" s="446" t="s">
        <v>4632</v>
      </c>
      <c r="J554" s="446" t="s">
        <v>4604</v>
      </c>
      <c r="K554" s="446" t="s">
        <v>4995</v>
      </c>
      <c r="L554" s="450"/>
      <c r="M554" s="450"/>
      <c r="N554" s="450"/>
      <c r="O554" s="450"/>
      <c r="P554" s="450"/>
      <c r="Q554" s="450"/>
      <c r="R554" s="450"/>
      <c r="S554" s="451"/>
      <c r="T554" s="450"/>
      <c r="U554" s="451"/>
      <c r="V554" s="450"/>
      <c r="W554" s="450"/>
      <c r="X554" s="450"/>
      <c r="Y554" s="450"/>
      <c r="Z554" s="450"/>
    </row>
    <row r="555" spans="1:26" x14ac:dyDescent="0.25">
      <c r="A555" s="446" t="s">
        <v>566</v>
      </c>
      <c r="B555" s="446"/>
      <c r="C555" s="446" t="s">
        <v>461</v>
      </c>
      <c r="D555" s="446" t="s">
        <v>4996</v>
      </c>
      <c r="E555" s="448" t="s">
        <v>4997</v>
      </c>
      <c r="F555" s="448">
        <v>13924</v>
      </c>
      <c r="G555" s="446" t="s">
        <v>568</v>
      </c>
      <c r="H555" s="446" t="s">
        <v>102</v>
      </c>
      <c r="I555" s="446" t="s">
        <v>4632</v>
      </c>
      <c r="J555" s="446" t="s">
        <v>760</v>
      </c>
      <c r="K555" s="446" t="s">
        <v>4998</v>
      </c>
      <c r="L555" s="450"/>
      <c r="M555" s="450"/>
      <c r="N555" s="450"/>
      <c r="O555" s="450"/>
      <c r="P555" s="450"/>
      <c r="Q555" s="450"/>
      <c r="R555" s="450"/>
      <c r="S555" s="451"/>
      <c r="T555" s="450"/>
      <c r="U555" s="451"/>
      <c r="V555" s="450"/>
      <c r="W555" s="450"/>
      <c r="X555" s="450"/>
      <c r="Y555" s="450"/>
      <c r="Z555" s="450"/>
    </row>
    <row r="556" spans="1:26" x14ac:dyDescent="0.25">
      <c r="A556" s="446" t="s">
        <v>4999</v>
      </c>
      <c r="B556" s="446"/>
      <c r="C556" s="446" t="s">
        <v>4618</v>
      </c>
      <c r="D556" s="446" t="s">
        <v>5000</v>
      </c>
      <c r="E556" s="448" t="s">
        <v>5001</v>
      </c>
      <c r="F556" s="448">
        <v>14183</v>
      </c>
      <c r="G556" s="446" t="s">
        <v>5002</v>
      </c>
      <c r="H556" s="446" t="s">
        <v>5003</v>
      </c>
      <c r="I556" s="446" t="s">
        <v>4632</v>
      </c>
      <c r="J556" s="446" t="s">
        <v>746</v>
      </c>
      <c r="K556" s="446" t="s">
        <v>5004</v>
      </c>
      <c r="L556" s="450"/>
      <c r="M556" s="450"/>
      <c r="N556" s="450"/>
      <c r="O556" s="450"/>
      <c r="P556" s="450"/>
      <c r="Q556" s="450"/>
      <c r="R556" s="450"/>
      <c r="S556" s="451"/>
      <c r="T556" s="450"/>
      <c r="U556" s="451"/>
      <c r="V556" s="450"/>
      <c r="W556" s="450"/>
      <c r="X556" s="450"/>
      <c r="Y556" s="450"/>
      <c r="Z556" s="450"/>
    </row>
    <row r="557" spans="1:26" x14ac:dyDescent="0.25">
      <c r="A557" s="446" t="s">
        <v>571</v>
      </c>
      <c r="B557" s="446"/>
      <c r="C557" s="446" t="s">
        <v>408</v>
      </c>
      <c r="D557" s="446" t="s">
        <v>5005</v>
      </c>
      <c r="E557" s="448" t="s">
        <v>5006</v>
      </c>
      <c r="F557" s="448">
        <v>14289</v>
      </c>
      <c r="G557" s="446" t="s">
        <v>5007</v>
      </c>
      <c r="H557" s="446" t="s">
        <v>557</v>
      </c>
      <c r="I557" s="446" t="s">
        <v>231</v>
      </c>
      <c r="J557" s="446" t="s">
        <v>4604</v>
      </c>
      <c r="K557" s="446" t="s">
        <v>5008</v>
      </c>
      <c r="L557" s="450"/>
      <c r="M557" s="450"/>
      <c r="N557" s="450"/>
      <c r="O557" s="450"/>
      <c r="P557" s="450"/>
      <c r="Q557" s="450"/>
      <c r="R557" s="450"/>
      <c r="S557" s="451"/>
      <c r="T557" s="450"/>
      <c r="U557" s="451"/>
      <c r="V557" s="450"/>
      <c r="W557" s="450"/>
      <c r="X557" s="450"/>
      <c r="Y557" s="450"/>
      <c r="Z557" s="450"/>
    </row>
    <row r="558" spans="1:26" x14ac:dyDescent="0.25">
      <c r="A558" s="446" t="s">
        <v>5009</v>
      </c>
      <c r="B558" s="446"/>
      <c r="C558" s="446" t="s">
        <v>4618</v>
      </c>
      <c r="D558" s="446" t="s">
        <v>5010</v>
      </c>
      <c r="E558" s="448" t="s">
        <v>5011</v>
      </c>
      <c r="F558" s="448">
        <v>14300</v>
      </c>
      <c r="G558" s="446" t="s">
        <v>5002</v>
      </c>
      <c r="H558" s="446" t="s">
        <v>5003</v>
      </c>
      <c r="I558" s="446" t="s">
        <v>4632</v>
      </c>
      <c r="J558" s="446" t="s">
        <v>746</v>
      </c>
      <c r="K558" s="446" t="s">
        <v>5012</v>
      </c>
      <c r="L558" s="450"/>
      <c r="M558" s="450"/>
      <c r="N558" s="450"/>
      <c r="O558" s="450"/>
      <c r="P558" s="450"/>
      <c r="Q558" s="450"/>
      <c r="R558" s="450"/>
      <c r="S558" s="451"/>
      <c r="T558" s="450"/>
      <c r="U558" s="451"/>
      <c r="V558" s="450"/>
      <c r="W558" s="450"/>
      <c r="X558" s="450"/>
      <c r="Y558" s="450"/>
      <c r="Z558" s="450"/>
    </row>
    <row r="559" spans="1:26" x14ac:dyDescent="0.25">
      <c r="A559" s="446" t="s">
        <v>5013</v>
      </c>
      <c r="B559" s="446"/>
      <c r="C559" s="446" t="s">
        <v>4618</v>
      </c>
      <c r="D559" s="446" t="s">
        <v>5014</v>
      </c>
      <c r="E559" s="448" t="s">
        <v>5015</v>
      </c>
      <c r="F559" s="448">
        <v>14334</v>
      </c>
      <c r="G559" s="446" t="s">
        <v>4954</v>
      </c>
      <c r="H559" s="446" t="s">
        <v>442</v>
      </c>
      <c r="I559" s="446" t="s">
        <v>231</v>
      </c>
      <c r="J559" s="446" t="s">
        <v>746</v>
      </c>
      <c r="K559" s="446" t="s">
        <v>5016</v>
      </c>
      <c r="L559" s="450"/>
      <c r="M559" s="450"/>
      <c r="N559" s="450"/>
      <c r="O559" s="450"/>
      <c r="P559" s="450"/>
      <c r="Q559" s="450"/>
      <c r="R559" s="450"/>
      <c r="S559" s="451"/>
      <c r="T559" s="450"/>
      <c r="U559" s="451"/>
      <c r="V559" s="450"/>
      <c r="W559" s="450"/>
      <c r="X559" s="450"/>
      <c r="Y559" s="450"/>
      <c r="Z559" s="450"/>
    </row>
    <row r="560" spans="1:26" x14ac:dyDescent="0.25">
      <c r="A560" s="446" t="s">
        <v>2711</v>
      </c>
      <c r="B560" s="446"/>
      <c r="C560" s="446" t="s">
        <v>1456</v>
      </c>
      <c r="D560" s="446" t="s">
        <v>5017</v>
      </c>
      <c r="E560" s="448" t="s">
        <v>5018</v>
      </c>
      <c r="F560" s="448">
        <v>14522</v>
      </c>
      <c r="G560" s="446" t="s">
        <v>744</v>
      </c>
      <c r="H560" s="446" t="s">
        <v>2706</v>
      </c>
      <c r="I560" s="446" t="s">
        <v>231</v>
      </c>
      <c r="J560" s="446" t="s">
        <v>746</v>
      </c>
      <c r="K560" s="446" t="s">
        <v>5019</v>
      </c>
      <c r="L560" s="450"/>
      <c r="M560" s="450"/>
      <c r="N560" s="450"/>
      <c r="O560" s="450"/>
      <c r="P560" s="450"/>
      <c r="Q560" s="450"/>
      <c r="R560" s="450"/>
      <c r="S560" s="451"/>
      <c r="T560" s="450"/>
      <c r="U560" s="451"/>
      <c r="V560" s="450"/>
      <c r="W560" s="450"/>
      <c r="X560" s="450"/>
      <c r="Y560" s="450"/>
      <c r="Z560" s="450"/>
    </row>
    <row r="561" spans="1:26" x14ac:dyDescent="0.25">
      <c r="A561" s="446" t="s">
        <v>5020</v>
      </c>
      <c r="B561" s="446"/>
      <c r="C561" s="446" t="s">
        <v>1456</v>
      </c>
      <c r="D561" s="446" t="s">
        <v>5021</v>
      </c>
      <c r="E561" s="448" t="s">
        <v>5018</v>
      </c>
      <c r="F561" s="448">
        <v>14522</v>
      </c>
      <c r="G561" s="446" t="s">
        <v>744</v>
      </c>
      <c r="H561" s="446" t="s">
        <v>2706</v>
      </c>
      <c r="I561" s="446" t="s">
        <v>231</v>
      </c>
      <c r="J561" s="446" t="s">
        <v>746</v>
      </c>
      <c r="K561" s="446" t="s">
        <v>5022</v>
      </c>
      <c r="L561" s="450"/>
      <c r="M561" s="450"/>
      <c r="N561" s="450"/>
      <c r="O561" s="450"/>
      <c r="P561" s="450"/>
      <c r="Q561" s="450"/>
      <c r="R561" s="450"/>
      <c r="S561" s="451"/>
      <c r="T561" s="450"/>
      <c r="U561" s="451"/>
      <c r="V561" s="450"/>
      <c r="W561" s="450"/>
      <c r="X561" s="450"/>
      <c r="Y561" s="450"/>
      <c r="Z561" s="450"/>
    </row>
    <row r="562" spans="1:26" x14ac:dyDescent="0.25">
      <c r="A562" s="446" t="s">
        <v>5023</v>
      </c>
      <c r="B562" s="446"/>
      <c r="C562" s="446" t="s">
        <v>4618</v>
      </c>
      <c r="D562" s="446" t="s">
        <v>5024</v>
      </c>
      <c r="E562" s="448" t="s">
        <v>5025</v>
      </c>
      <c r="F562" s="448">
        <v>15376</v>
      </c>
      <c r="G562" s="446" t="s">
        <v>5026</v>
      </c>
      <c r="H562" s="446" t="s">
        <v>523</v>
      </c>
      <c r="I562" s="446" t="s">
        <v>231</v>
      </c>
      <c r="J562" s="446" t="s">
        <v>746</v>
      </c>
      <c r="K562" s="446" t="s">
        <v>5027</v>
      </c>
      <c r="L562" s="450"/>
      <c r="M562" s="450"/>
      <c r="N562" s="450"/>
      <c r="O562" s="450"/>
      <c r="P562" s="450"/>
      <c r="Q562" s="450"/>
      <c r="R562" s="450"/>
      <c r="S562" s="451"/>
      <c r="T562" s="450"/>
      <c r="U562" s="451"/>
      <c r="V562" s="450"/>
      <c r="W562" s="450"/>
      <c r="X562" s="450"/>
      <c r="Y562" s="450"/>
      <c r="Z562" s="450"/>
    </row>
    <row r="563" spans="1:26" x14ac:dyDescent="0.25">
      <c r="A563" s="446" t="s">
        <v>574</v>
      </c>
      <c r="B563" s="446"/>
      <c r="C563" s="446" t="s">
        <v>585</v>
      </c>
      <c r="D563" s="446" t="s">
        <v>5028</v>
      </c>
      <c r="E563" s="448" t="s">
        <v>5029</v>
      </c>
      <c r="F563" s="448">
        <v>15490</v>
      </c>
      <c r="G563" s="446" t="s">
        <v>5030</v>
      </c>
      <c r="H563" s="446" t="s">
        <v>102</v>
      </c>
      <c r="I563" s="446" t="s">
        <v>4632</v>
      </c>
      <c r="J563" s="446" t="s">
        <v>4604</v>
      </c>
      <c r="K563" s="446" t="s">
        <v>5031</v>
      </c>
      <c r="L563" s="450"/>
      <c r="M563" s="450"/>
      <c r="N563" s="450"/>
      <c r="O563" s="450"/>
      <c r="P563" s="450"/>
      <c r="Q563" s="450"/>
      <c r="R563" s="450"/>
      <c r="S563" s="451"/>
      <c r="T563" s="450"/>
      <c r="U563" s="451"/>
      <c r="V563" s="450"/>
      <c r="W563" s="450"/>
      <c r="X563" s="450"/>
      <c r="Y563" s="450"/>
      <c r="Z563" s="450"/>
    </row>
    <row r="564" spans="1:26" x14ac:dyDescent="0.25">
      <c r="A564" s="446" t="s">
        <v>5032</v>
      </c>
      <c r="B564" s="446"/>
      <c r="C564" s="446" t="s">
        <v>4618</v>
      </c>
      <c r="D564" s="446" t="s">
        <v>5033</v>
      </c>
      <c r="E564" s="448" t="s">
        <v>5034</v>
      </c>
      <c r="F564" s="448">
        <v>16343</v>
      </c>
      <c r="G564" s="446" t="s">
        <v>5035</v>
      </c>
      <c r="H564" s="446" t="s">
        <v>4881</v>
      </c>
      <c r="I564" s="446" t="s">
        <v>231</v>
      </c>
      <c r="J564" s="446" t="s">
        <v>746</v>
      </c>
      <c r="K564" s="446" t="s">
        <v>5036</v>
      </c>
      <c r="L564" s="450"/>
      <c r="M564" s="450"/>
      <c r="N564" s="450"/>
      <c r="O564" s="450"/>
      <c r="P564" s="450"/>
      <c r="Q564" s="450"/>
      <c r="R564" s="450"/>
      <c r="S564" s="451"/>
      <c r="T564" s="450"/>
      <c r="U564" s="451"/>
      <c r="V564" s="450"/>
      <c r="W564" s="450"/>
      <c r="X564" s="450"/>
      <c r="Y564" s="450"/>
      <c r="Z564" s="450"/>
    </row>
    <row r="565" spans="1:26" x14ac:dyDescent="0.25">
      <c r="A565" s="446" t="s">
        <v>584</v>
      </c>
      <c r="B565" s="446"/>
      <c r="C565" s="446" t="s">
        <v>585</v>
      </c>
      <c r="D565" s="446" t="s">
        <v>5037</v>
      </c>
      <c r="E565" s="448" t="s">
        <v>5038</v>
      </c>
      <c r="F565" s="448">
        <v>16439</v>
      </c>
      <c r="G565" s="446" t="s">
        <v>5039</v>
      </c>
      <c r="H565" s="446" t="s">
        <v>102</v>
      </c>
      <c r="I565" s="446" t="s">
        <v>231</v>
      </c>
      <c r="J565" s="446" t="s">
        <v>4604</v>
      </c>
      <c r="K565" s="446" t="s">
        <v>5040</v>
      </c>
      <c r="L565" s="450"/>
      <c r="M565" s="450"/>
      <c r="N565" s="450"/>
      <c r="O565" s="450"/>
      <c r="P565" s="450"/>
      <c r="Q565" s="450"/>
      <c r="R565" s="450"/>
      <c r="S565" s="451"/>
      <c r="T565" s="450"/>
      <c r="U565" s="451"/>
      <c r="V565" s="450"/>
      <c r="W565" s="450"/>
      <c r="X565" s="450"/>
      <c r="Y565" s="450"/>
      <c r="Z565" s="450"/>
    </row>
    <row r="566" spans="1:26" x14ac:dyDescent="0.25">
      <c r="A566" s="446" t="s">
        <v>5041</v>
      </c>
      <c r="B566" s="446"/>
      <c r="C566" s="446" t="s">
        <v>4618</v>
      </c>
      <c r="D566" s="446" t="s">
        <v>5042</v>
      </c>
      <c r="E566" s="448" t="s">
        <v>5043</v>
      </c>
      <c r="F566" s="448">
        <v>16477</v>
      </c>
      <c r="G566" s="446" t="s">
        <v>5044</v>
      </c>
      <c r="H566" s="446" t="s">
        <v>4881</v>
      </c>
      <c r="I566" s="446" t="s">
        <v>231</v>
      </c>
      <c r="J566" s="446" t="s">
        <v>746</v>
      </c>
      <c r="K566" s="446" t="s">
        <v>5045</v>
      </c>
      <c r="L566" s="450"/>
      <c r="M566" s="450"/>
      <c r="N566" s="450"/>
      <c r="O566" s="450"/>
      <c r="P566" s="450"/>
      <c r="Q566" s="450"/>
      <c r="R566" s="450"/>
      <c r="S566" s="451"/>
      <c r="T566" s="450"/>
      <c r="U566" s="451"/>
      <c r="V566" s="450"/>
      <c r="W566" s="450"/>
      <c r="X566" s="450"/>
      <c r="Y566" s="450"/>
      <c r="Z566" s="450"/>
    </row>
    <row r="567" spans="1:26" x14ac:dyDescent="0.25">
      <c r="A567" s="446" t="s">
        <v>5046</v>
      </c>
      <c r="B567" s="446"/>
      <c r="C567" s="446" t="s">
        <v>4618</v>
      </c>
      <c r="D567" s="446" t="s">
        <v>5047</v>
      </c>
      <c r="E567" s="448" t="s">
        <v>5043</v>
      </c>
      <c r="F567" s="448">
        <v>16477</v>
      </c>
      <c r="G567" s="446" t="s">
        <v>5048</v>
      </c>
      <c r="H567" s="446" t="s">
        <v>4881</v>
      </c>
      <c r="I567" s="446" t="s">
        <v>231</v>
      </c>
      <c r="J567" s="446" t="s">
        <v>746</v>
      </c>
      <c r="K567" s="446" t="s">
        <v>5049</v>
      </c>
      <c r="L567" s="450"/>
      <c r="M567" s="450"/>
      <c r="N567" s="450"/>
      <c r="O567" s="450"/>
      <c r="P567" s="450"/>
      <c r="Q567" s="450"/>
      <c r="R567" s="450"/>
      <c r="S567" s="451"/>
      <c r="T567" s="450"/>
      <c r="U567" s="451"/>
      <c r="V567" s="450"/>
      <c r="W567" s="450"/>
      <c r="X567" s="450"/>
      <c r="Y567" s="450"/>
      <c r="Z567" s="450"/>
    </row>
    <row r="568" spans="1:26" x14ac:dyDescent="0.25">
      <c r="A568" s="446" t="s">
        <v>581</v>
      </c>
      <c r="B568" s="446"/>
      <c r="C568" s="446" t="s">
        <v>408</v>
      </c>
      <c r="D568" s="446" t="s">
        <v>5050</v>
      </c>
      <c r="E568" s="448" t="s">
        <v>5051</v>
      </c>
      <c r="F568" s="448">
        <v>16508</v>
      </c>
      <c r="G568" s="446" t="s">
        <v>5052</v>
      </c>
      <c r="H568" s="446" t="s">
        <v>560</v>
      </c>
      <c r="I568" s="446" t="s">
        <v>231</v>
      </c>
      <c r="J568" s="446" t="s">
        <v>4604</v>
      </c>
      <c r="K568" s="446" t="s">
        <v>5053</v>
      </c>
      <c r="L568" s="450"/>
      <c r="M568" s="450"/>
      <c r="N568" s="450"/>
      <c r="O568" s="450"/>
      <c r="P568" s="450"/>
      <c r="Q568" s="450"/>
      <c r="R568" s="450"/>
      <c r="S568" s="451"/>
      <c r="T568" s="450"/>
      <c r="U568" s="451"/>
      <c r="V568" s="450"/>
      <c r="W568" s="450"/>
      <c r="X568" s="450"/>
      <c r="Y568" s="450"/>
      <c r="Z568" s="450"/>
    </row>
    <row r="569" spans="1:26" x14ac:dyDescent="0.25">
      <c r="A569" s="446" t="s">
        <v>5054</v>
      </c>
      <c r="B569" s="446"/>
      <c r="C569" s="446" t="s">
        <v>202</v>
      </c>
      <c r="D569" s="446" t="s">
        <v>5055</v>
      </c>
      <c r="E569" s="448" t="s">
        <v>5056</v>
      </c>
      <c r="F569" s="448">
        <v>16860</v>
      </c>
      <c r="G569" s="446" t="s">
        <v>523</v>
      </c>
      <c r="H569" s="446" t="s">
        <v>5057</v>
      </c>
      <c r="I569" s="446" t="s">
        <v>231</v>
      </c>
      <c r="J569" s="446" t="s">
        <v>746</v>
      </c>
      <c r="K569" s="446" t="s">
        <v>5058</v>
      </c>
      <c r="L569" s="450"/>
      <c r="M569" s="450"/>
      <c r="N569" s="450"/>
      <c r="O569" s="450"/>
      <c r="P569" s="450"/>
      <c r="Q569" s="450"/>
      <c r="R569" s="450"/>
      <c r="S569" s="451"/>
      <c r="T569" s="450"/>
      <c r="U569" s="451"/>
      <c r="V569" s="450"/>
      <c r="W569" s="450"/>
      <c r="X569" s="450"/>
      <c r="Y569" s="450"/>
      <c r="Z569" s="450"/>
    </row>
    <row r="570" spans="1:26" x14ac:dyDescent="0.25">
      <c r="A570" s="446" t="s">
        <v>5059</v>
      </c>
      <c r="B570" s="446"/>
      <c r="C570" s="446" t="s">
        <v>202</v>
      </c>
      <c r="D570" s="446" t="s">
        <v>5060</v>
      </c>
      <c r="E570" s="448" t="s">
        <v>5056</v>
      </c>
      <c r="F570" s="448">
        <v>16860</v>
      </c>
      <c r="G570" s="446" t="s">
        <v>4881</v>
      </c>
      <c r="H570" s="446" t="s">
        <v>5061</v>
      </c>
      <c r="I570" s="446" t="s">
        <v>231</v>
      </c>
      <c r="J570" s="446" t="s">
        <v>746</v>
      </c>
      <c r="K570" s="446" t="s">
        <v>5062</v>
      </c>
      <c r="L570" s="450"/>
      <c r="M570" s="450"/>
      <c r="N570" s="450"/>
      <c r="O570" s="450"/>
      <c r="P570" s="450"/>
      <c r="Q570" s="450"/>
      <c r="R570" s="450"/>
      <c r="S570" s="451"/>
      <c r="T570" s="450"/>
      <c r="U570" s="451"/>
      <c r="V570" s="450"/>
      <c r="W570" s="450"/>
      <c r="X570" s="450"/>
      <c r="Y570" s="450"/>
      <c r="Z570" s="450"/>
    </row>
    <row r="571" spans="1:26" x14ac:dyDescent="0.25">
      <c r="A571" s="446" t="s">
        <v>5063</v>
      </c>
      <c r="B571" s="446"/>
      <c r="C571" s="446" t="s">
        <v>202</v>
      </c>
      <c r="D571" s="446" t="s">
        <v>5064</v>
      </c>
      <c r="E571" s="448" t="s">
        <v>5065</v>
      </c>
      <c r="F571" s="448">
        <v>16977</v>
      </c>
      <c r="G571" s="446" t="s">
        <v>5066</v>
      </c>
      <c r="H571" s="446" t="s">
        <v>5067</v>
      </c>
      <c r="I571" s="446" t="s">
        <v>4632</v>
      </c>
      <c r="J571" s="446" t="s">
        <v>746</v>
      </c>
      <c r="K571" s="446" t="s">
        <v>5068</v>
      </c>
      <c r="L571" s="450"/>
      <c r="M571" s="450"/>
      <c r="N571" s="450"/>
      <c r="O571" s="450"/>
      <c r="P571" s="450"/>
      <c r="Q571" s="450"/>
      <c r="R571" s="450"/>
      <c r="S571" s="451"/>
      <c r="T571" s="450"/>
      <c r="U571" s="451"/>
      <c r="V571" s="450"/>
      <c r="W571" s="450"/>
      <c r="X571" s="450"/>
      <c r="Y571" s="450"/>
      <c r="Z571" s="450"/>
    </row>
    <row r="572" spans="1:26" x14ac:dyDescent="0.25">
      <c r="A572" s="446" t="s">
        <v>5069</v>
      </c>
      <c r="B572" s="446"/>
      <c r="C572" s="446" t="s">
        <v>4618</v>
      </c>
      <c r="D572" s="446" t="s">
        <v>5070</v>
      </c>
      <c r="E572" s="448" t="s">
        <v>5071</v>
      </c>
      <c r="F572" s="448">
        <v>17198</v>
      </c>
      <c r="G572" s="446" t="s">
        <v>524</v>
      </c>
      <c r="H572" s="446" t="s">
        <v>5072</v>
      </c>
      <c r="I572" s="446" t="s">
        <v>231</v>
      </c>
      <c r="J572" s="446" t="s">
        <v>746</v>
      </c>
      <c r="K572" s="446" t="s">
        <v>5073</v>
      </c>
      <c r="L572" s="450"/>
      <c r="M572" s="450"/>
      <c r="N572" s="450"/>
      <c r="O572" s="450"/>
      <c r="P572" s="450"/>
      <c r="Q572" s="450"/>
      <c r="R572" s="450"/>
      <c r="S572" s="451"/>
      <c r="T572" s="450"/>
      <c r="U572" s="451"/>
      <c r="V572" s="450"/>
      <c r="W572" s="450"/>
      <c r="X572" s="450"/>
      <c r="Y572" s="450"/>
      <c r="Z572" s="450"/>
    </row>
    <row r="573" spans="1:26" x14ac:dyDescent="0.25">
      <c r="A573" s="446" t="s">
        <v>5074</v>
      </c>
      <c r="B573" s="446"/>
      <c r="C573" s="446" t="s">
        <v>202</v>
      </c>
      <c r="D573" s="446" t="s">
        <v>5075</v>
      </c>
      <c r="E573" s="448" t="s">
        <v>5076</v>
      </c>
      <c r="F573" s="448">
        <v>17504</v>
      </c>
      <c r="G573" s="446" t="s">
        <v>5077</v>
      </c>
      <c r="H573" s="446" t="s">
        <v>5078</v>
      </c>
      <c r="I573" s="446" t="s">
        <v>231</v>
      </c>
      <c r="J573" s="446" t="s">
        <v>746</v>
      </c>
      <c r="K573" s="446" t="s">
        <v>5079</v>
      </c>
      <c r="L573" s="450"/>
      <c r="M573" s="450"/>
      <c r="N573" s="450"/>
      <c r="O573" s="450"/>
      <c r="P573" s="450"/>
      <c r="Q573" s="450"/>
      <c r="R573" s="450"/>
      <c r="S573" s="451"/>
      <c r="T573" s="450"/>
      <c r="U573" s="451"/>
      <c r="V573" s="450"/>
      <c r="W573" s="450"/>
      <c r="X573" s="450"/>
      <c r="Y573" s="450"/>
      <c r="Z573" s="450"/>
    </row>
    <row r="574" spans="1:26" x14ac:dyDescent="0.25">
      <c r="A574" s="446" t="s">
        <v>5080</v>
      </c>
      <c r="B574" s="446"/>
      <c r="C574" s="446" t="s">
        <v>202</v>
      </c>
      <c r="D574" s="446" t="s">
        <v>5081</v>
      </c>
      <c r="E574" s="448" t="s">
        <v>5082</v>
      </c>
      <c r="F574" s="448">
        <v>17549</v>
      </c>
      <c r="G574" s="446" t="s">
        <v>5083</v>
      </c>
      <c r="H574" s="446" t="s">
        <v>5078</v>
      </c>
      <c r="I574" s="446" t="s">
        <v>231</v>
      </c>
      <c r="J574" s="446" t="s">
        <v>746</v>
      </c>
      <c r="K574" s="446" t="s">
        <v>5084</v>
      </c>
      <c r="L574" s="450"/>
      <c r="M574" s="450"/>
      <c r="N574" s="450"/>
      <c r="O574" s="450"/>
      <c r="P574" s="450"/>
      <c r="Q574" s="450"/>
      <c r="R574" s="450"/>
      <c r="S574" s="451"/>
      <c r="T574" s="450"/>
      <c r="U574" s="451"/>
      <c r="V574" s="450"/>
      <c r="W574" s="450"/>
      <c r="X574" s="450"/>
      <c r="Y574" s="450"/>
      <c r="Z574" s="450"/>
    </row>
    <row r="575" spans="1:26" x14ac:dyDescent="0.25">
      <c r="A575" s="446" t="s">
        <v>5085</v>
      </c>
      <c r="B575" s="446"/>
      <c r="C575" s="446" t="s">
        <v>1456</v>
      </c>
      <c r="D575" s="446" t="s">
        <v>5086</v>
      </c>
      <c r="E575" s="448" t="s">
        <v>5087</v>
      </c>
      <c r="F575" s="448">
        <v>17554</v>
      </c>
      <c r="G575" s="446" t="s">
        <v>5077</v>
      </c>
      <c r="H575" s="446" t="s">
        <v>5088</v>
      </c>
      <c r="I575" s="446" t="s">
        <v>231</v>
      </c>
      <c r="J575" s="446" t="s">
        <v>746</v>
      </c>
      <c r="K575" s="446" t="s">
        <v>5089</v>
      </c>
      <c r="L575" s="450"/>
      <c r="M575" s="450"/>
      <c r="N575" s="450"/>
      <c r="O575" s="450"/>
      <c r="P575" s="450"/>
      <c r="Q575" s="450"/>
      <c r="R575" s="450"/>
      <c r="S575" s="451"/>
      <c r="T575" s="450"/>
      <c r="U575" s="451"/>
      <c r="V575" s="450"/>
      <c r="W575" s="450"/>
      <c r="X575" s="450"/>
      <c r="Y575" s="450"/>
      <c r="Z575" s="450"/>
    </row>
    <row r="576" spans="1:26" x14ac:dyDescent="0.25">
      <c r="A576" s="446" t="s">
        <v>5090</v>
      </c>
      <c r="B576" s="446"/>
      <c r="C576" s="446" t="s">
        <v>202</v>
      </c>
      <c r="D576" s="446" t="s">
        <v>5091</v>
      </c>
      <c r="E576" s="448" t="s">
        <v>5092</v>
      </c>
      <c r="F576" s="448">
        <v>17566</v>
      </c>
      <c r="G576" s="446" t="s">
        <v>2895</v>
      </c>
      <c r="H576" s="446" t="s">
        <v>5093</v>
      </c>
      <c r="I576" s="446" t="s">
        <v>231</v>
      </c>
      <c r="J576" s="446" t="s">
        <v>746</v>
      </c>
      <c r="K576" s="446" t="s">
        <v>5094</v>
      </c>
      <c r="L576" s="450"/>
      <c r="M576" s="450"/>
      <c r="N576" s="450"/>
      <c r="O576" s="450"/>
      <c r="P576" s="450"/>
      <c r="Q576" s="450"/>
      <c r="R576" s="450"/>
      <c r="S576" s="451"/>
      <c r="T576" s="450"/>
      <c r="U576" s="451"/>
      <c r="V576" s="450"/>
      <c r="W576" s="450"/>
      <c r="X576" s="450"/>
      <c r="Y576" s="450"/>
      <c r="Z576" s="450"/>
    </row>
    <row r="577" spans="1:26" x14ac:dyDescent="0.25">
      <c r="A577" s="446" t="s">
        <v>5095</v>
      </c>
      <c r="B577" s="446"/>
      <c r="C577" s="446" t="s">
        <v>1456</v>
      </c>
      <c r="D577" s="446" t="s">
        <v>5096</v>
      </c>
      <c r="E577" s="448" t="s">
        <v>5097</v>
      </c>
      <c r="F577" s="448">
        <v>17580</v>
      </c>
      <c r="G577" s="446" t="s">
        <v>5098</v>
      </c>
      <c r="H577" s="446" t="s">
        <v>5099</v>
      </c>
      <c r="I577" s="446" t="s">
        <v>231</v>
      </c>
      <c r="J577" s="446" t="s">
        <v>746</v>
      </c>
      <c r="K577" s="446" t="s">
        <v>5100</v>
      </c>
      <c r="L577" s="450"/>
      <c r="M577" s="450"/>
      <c r="N577" s="450"/>
      <c r="O577" s="450"/>
      <c r="P577" s="450"/>
      <c r="Q577" s="450"/>
      <c r="R577" s="450"/>
      <c r="S577" s="451"/>
      <c r="T577" s="450"/>
      <c r="U577" s="451"/>
      <c r="V577" s="450"/>
      <c r="W577" s="450"/>
      <c r="X577" s="450"/>
      <c r="Y577" s="450"/>
      <c r="Z577" s="450"/>
    </row>
    <row r="578" spans="1:26" x14ac:dyDescent="0.25">
      <c r="A578" s="446" t="s">
        <v>603</v>
      </c>
      <c r="B578" s="446"/>
      <c r="C578" s="446" t="s">
        <v>604</v>
      </c>
      <c r="D578" s="446" t="s">
        <v>5101</v>
      </c>
      <c r="E578" s="448" t="s">
        <v>5102</v>
      </c>
      <c r="F578" s="448">
        <v>17986</v>
      </c>
      <c r="G578" s="446" t="s">
        <v>606</v>
      </c>
      <c r="H578" s="446" t="s">
        <v>102</v>
      </c>
      <c r="I578" s="446" t="s">
        <v>4632</v>
      </c>
      <c r="J578" s="446" t="s">
        <v>760</v>
      </c>
      <c r="K578" s="446" t="s">
        <v>5103</v>
      </c>
      <c r="L578" s="450"/>
      <c r="M578" s="450"/>
      <c r="N578" s="450"/>
      <c r="O578" s="450"/>
      <c r="P578" s="450"/>
      <c r="Q578" s="450"/>
      <c r="R578" s="450"/>
      <c r="S578" s="451"/>
      <c r="T578" s="450"/>
      <c r="U578" s="451"/>
      <c r="V578" s="450"/>
      <c r="W578" s="450"/>
      <c r="X578" s="450"/>
      <c r="Y578" s="450"/>
      <c r="Z578" s="450"/>
    </row>
    <row r="579" spans="1:26" x14ac:dyDescent="0.25">
      <c r="A579" s="446" t="s">
        <v>590</v>
      </c>
      <c r="B579" s="446"/>
      <c r="C579" s="446" t="s">
        <v>591</v>
      </c>
      <c r="D579" s="446" t="s">
        <v>5104</v>
      </c>
      <c r="E579" s="448" t="s">
        <v>5105</v>
      </c>
      <c r="F579" s="448">
        <v>17991</v>
      </c>
      <c r="G579" s="446" t="s">
        <v>593</v>
      </c>
      <c r="H579" s="446" t="s">
        <v>594</v>
      </c>
      <c r="I579" s="446" t="s">
        <v>4632</v>
      </c>
      <c r="J579" s="446" t="s">
        <v>760</v>
      </c>
      <c r="K579" s="446" t="s">
        <v>5106</v>
      </c>
      <c r="L579" s="450"/>
      <c r="M579" s="450"/>
      <c r="N579" s="450"/>
      <c r="O579" s="450"/>
      <c r="P579" s="450"/>
      <c r="Q579" s="450"/>
      <c r="R579" s="450"/>
      <c r="S579" s="451"/>
      <c r="T579" s="450"/>
      <c r="U579" s="451"/>
      <c r="V579" s="450"/>
      <c r="W579" s="450"/>
      <c r="X579" s="450"/>
      <c r="Y579" s="450"/>
      <c r="Z579" s="450"/>
    </row>
    <row r="580" spans="1:26" x14ac:dyDescent="0.25">
      <c r="A580" s="446" t="s">
        <v>5107</v>
      </c>
      <c r="B580" s="446"/>
      <c r="C580" s="446" t="s">
        <v>4618</v>
      </c>
      <c r="D580" s="446" t="s">
        <v>5108</v>
      </c>
      <c r="E580" s="448" t="s">
        <v>5109</v>
      </c>
      <c r="F580" s="448">
        <v>17995</v>
      </c>
      <c r="G580" s="446" t="s">
        <v>5002</v>
      </c>
      <c r="H580" s="446" t="s">
        <v>442</v>
      </c>
      <c r="I580" s="446" t="s">
        <v>231</v>
      </c>
      <c r="J580" s="446" t="s">
        <v>746</v>
      </c>
      <c r="K580" s="446" t="s">
        <v>5110</v>
      </c>
      <c r="L580" s="450"/>
      <c r="M580" s="450"/>
      <c r="N580" s="450"/>
      <c r="O580" s="450"/>
      <c r="P580" s="450"/>
      <c r="Q580" s="450"/>
      <c r="R580" s="450"/>
      <c r="S580" s="451"/>
      <c r="T580" s="450"/>
      <c r="U580" s="451"/>
      <c r="V580" s="450"/>
      <c r="W580" s="450"/>
      <c r="X580" s="450"/>
      <c r="Y580" s="450"/>
      <c r="Z580" s="450"/>
    </row>
    <row r="581" spans="1:26" x14ac:dyDescent="0.25">
      <c r="A581" s="446" t="s">
        <v>5111</v>
      </c>
      <c r="B581" s="446"/>
      <c r="C581" s="446" t="s">
        <v>202</v>
      </c>
      <c r="D581" s="446" t="s">
        <v>5112</v>
      </c>
      <c r="E581" s="448" t="s">
        <v>5113</v>
      </c>
      <c r="F581" s="448">
        <v>18015</v>
      </c>
      <c r="G581" s="446" t="s">
        <v>523</v>
      </c>
      <c r="H581" s="446" t="s">
        <v>5057</v>
      </c>
      <c r="I581" s="446" t="s">
        <v>231</v>
      </c>
      <c r="J581" s="446" t="s">
        <v>746</v>
      </c>
      <c r="K581" s="446" t="s">
        <v>5114</v>
      </c>
      <c r="L581" s="450"/>
      <c r="M581" s="450"/>
      <c r="N581" s="450"/>
      <c r="O581" s="450"/>
      <c r="P581" s="450"/>
      <c r="Q581" s="450"/>
      <c r="R581" s="450"/>
      <c r="S581" s="451"/>
      <c r="T581" s="450"/>
      <c r="U581" s="451"/>
      <c r="V581" s="450"/>
      <c r="W581" s="450"/>
      <c r="X581" s="450"/>
      <c r="Y581" s="450"/>
      <c r="Z581" s="450"/>
    </row>
    <row r="582" spans="1:26" x14ac:dyDescent="0.25">
      <c r="A582" s="446" t="s">
        <v>5115</v>
      </c>
      <c r="B582" s="446"/>
      <c r="C582" s="446" t="s">
        <v>4618</v>
      </c>
      <c r="D582" s="446" t="s">
        <v>5116</v>
      </c>
      <c r="E582" s="448" t="s">
        <v>5113</v>
      </c>
      <c r="F582" s="448">
        <v>18015</v>
      </c>
      <c r="G582" s="446" t="s">
        <v>5057</v>
      </c>
      <c r="H582" s="446" t="s">
        <v>523</v>
      </c>
      <c r="I582" s="446" t="s">
        <v>231</v>
      </c>
      <c r="J582" s="446" t="s">
        <v>746</v>
      </c>
      <c r="K582" s="446" t="s">
        <v>5117</v>
      </c>
      <c r="L582" s="450"/>
      <c r="M582" s="450"/>
      <c r="N582" s="450"/>
      <c r="O582" s="450"/>
      <c r="P582" s="450"/>
      <c r="Q582" s="450"/>
      <c r="R582" s="450"/>
      <c r="S582" s="451"/>
      <c r="T582" s="450"/>
      <c r="U582" s="451"/>
      <c r="V582" s="450"/>
      <c r="W582" s="450"/>
      <c r="X582" s="450"/>
      <c r="Y582" s="450"/>
      <c r="Z582" s="450"/>
    </row>
    <row r="583" spans="1:26" x14ac:dyDescent="0.25">
      <c r="A583" s="446" t="s">
        <v>614</v>
      </c>
      <c r="B583" s="446"/>
      <c r="C583" s="446" t="s">
        <v>408</v>
      </c>
      <c r="D583" s="446" t="s">
        <v>5118</v>
      </c>
      <c r="E583" s="448" t="s">
        <v>5119</v>
      </c>
      <c r="F583" s="448">
        <v>18084</v>
      </c>
      <c r="G583" s="446" t="s">
        <v>616</v>
      </c>
      <c r="H583" s="446" t="s">
        <v>594</v>
      </c>
      <c r="I583" s="446" t="s">
        <v>231</v>
      </c>
      <c r="J583" s="446" t="s">
        <v>4604</v>
      </c>
      <c r="K583" s="446" t="s">
        <v>5120</v>
      </c>
      <c r="L583" s="450"/>
      <c r="M583" s="450"/>
      <c r="N583" s="450"/>
      <c r="O583" s="450"/>
      <c r="P583" s="450"/>
      <c r="Q583" s="450"/>
      <c r="R583" s="450"/>
      <c r="S583" s="451"/>
      <c r="T583" s="450"/>
      <c r="U583" s="451"/>
      <c r="V583" s="450"/>
      <c r="W583" s="450"/>
      <c r="X583" s="450"/>
      <c r="Y583" s="450"/>
      <c r="Z583" s="450"/>
    </row>
    <row r="584" spans="1:26" x14ac:dyDescent="0.25">
      <c r="A584" s="446" t="s">
        <v>609</v>
      </c>
      <c r="B584" s="446"/>
      <c r="C584" s="446" t="s">
        <v>408</v>
      </c>
      <c r="D584" s="446" t="s">
        <v>5121</v>
      </c>
      <c r="E584" s="448" t="s">
        <v>5122</v>
      </c>
      <c r="F584" s="448">
        <v>18095</v>
      </c>
      <c r="G584" s="446" t="s">
        <v>523</v>
      </c>
      <c r="H584" s="446" t="s">
        <v>2674</v>
      </c>
      <c r="I584" s="446" t="s">
        <v>231</v>
      </c>
      <c r="J584" s="446" t="s">
        <v>4604</v>
      </c>
      <c r="K584" s="446" t="s">
        <v>5123</v>
      </c>
      <c r="L584" s="450"/>
      <c r="M584" s="450"/>
      <c r="N584" s="450"/>
      <c r="O584" s="450"/>
      <c r="P584" s="450"/>
      <c r="Q584" s="450"/>
      <c r="R584" s="450"/>
      <c r="S584" s="451"/>
      <c r="T584" s="450"/>
      <c r="U584" s="451"/>
      <c r="V584" s="450"/>
      <c r="W584" s="450"/>
      <c r="X584" s="450"/>
      <c r="Y584" s="450"/>
      <c r="Z584" s="450"/>
    </row>
    <row r="585" spans="1:26" x14ac:dyDescent="0.25">
      <c r="A585" s="446" t="s">
        <v>596</v>
      </c>
      <c r="B585" s="446"/>
      <c r="C585" s="446" t="s">
        <v>408</v>
      </c>
      <c r="D585" s="446" t="s">
        <v>5124</v>
      </c>
      <c r="E585" s="448" t="s">
        <v>5125</v>
      </c>
      <c r="F585" s="448">
        <v>18112</v>
      </c>
      <c r="G585" s="446" t="s">
        <v>5126</v>
      </c>
      <c r="H585" s="446" t="s">
        <v>2674</v>
      </c>
      <c r="I585" s="446" t="s">
        <v>4632</v>
      </c>
      <c r="J585" s="446" t="s">
        <v>4604</v>
      </c>
      <c r="K585" s="446" t="s">
        <v>5127</v>
      </c>
      <c r="L585" s="450"/>
      <c r="M585" s="450"/>
      <c r="N585" s="450"/>
      <c r="O585" s="450"/>
      <c r="P585" s="450"/>
      <c r="Q585" s="450"/>
      <c r="R585" s="450"/>
      <c r="S585" s="451"/>
      <c r="T585" s="450"/>
      <c r="U585" s="451"/>
      <c r="V585" s="450"/>
      <c r="W585" s="450"/>
      <c r="X585" s="450"/>
      <c r="Y585" s="450"/>
      <c r="Z585" s="450"/>
    </row>
    <row r="586" spans="1:26" x14ac:dyDescent="0.25">
      <c r="A586" s="446" t="s">
        <v>5128</v>
      </c>
      <c r="B586" s="446"/>
      <c r="C586" s="446" t="s">
        <v>1456</v>
      </c>
      <c r="D586" s="446" t="s">
        <v>5129</v>
      </c>
      <c r="E586" s="448" t="s">
        <v>5130</v>
      </c>
      <c r="F586" s="448">
        <v>18155</v>
      </c>
      <c r="G586" s="446" t="s">
        <v>5131</v>
      </c>
      <c r="H586" s="446" t="s">
        <v>5132</v>
      </c>
      <c r="I586" s="446" t="s">
        <v>231</v>
      </c>
      <c r="J586" s="446" t="s">
        <v>746</v>
      </c>
      <c r="K586" s="446" t="s">
        <v>5133</v>
      </c>
      <c r="L586" s="450"/>
      <c r="M586" s="450"/>
      <c r="N586" s="450"/>
      <c r="O586" s="450"/>
      <c r="P586" s="450"/>
      <c r="Q586" s="450"/>
      <c r="R586" s="450"/>
      <c r="S586" s="451"/>
      <c r="T586" s="450"/>
      <c r="U586" s="451"/>
      <c r="V586" s="450"/>
      <c r="W586" s="450"/>
      <c r="X586" s="450"/>
      <c r="Y586" s="450"/>
      <c r="Z586" s="450"/>
    </row>
    <row r="587" spans="1:26" x14ac:dyDescent="0.25">
      <c r="A587" s="446" t="s">
        <v>5134</v>
      </c>
      <c r="B587" s="446"/>
      <c r="C587" s="446" t="s">
        <v>1456</v>
      </c>
      <c r="D587" s="446" t="s">
        <v>5135</v>
      </c>
      <c r="E587" s="448" t="s">
        <v>5130</v>
      </c>
      <c r="F587" s="448">
        <v>18155</v>
      </c>
      <c r="G587" s="446" t="s">
        <v>5131</v>
      </c>
      <c r="H587" s="446" t="s">
        <v>5132</v>
      </c>
      <c r="I587" s="446" t="s">
        <v>231</v>
      </c>
      <c r="J587" s="446" t="s">
        <v>746</v>
      </c>
      <c r="K587" s="446" t="s">
        <v>5136</v>
      </c>
      <c r="L587" s="450"/>
      <c r="M587" s="450"/>
      <c r="N587" s="450"/>
      <c r="O587" s="450"/>
      <c r="P587" s="450"/>
      <c r="Q587" s="450"/>
      <c r="R587" s="450"/>
      <c r="S587" s="451"/>
      <c r="T587" s="450"/>
      <c r="U587" s="451"/>
      <c r="V587" s="450"/>
      <c r="W587" s="450"/>
      <c r="X587" s="450"/>
      <c r="Y587" s="450"/>
      <c r="Z587" s="450"/>
    </row>
    <row r="588" spans="1:26" x14ac:dyDescent="0.25">
      <c r="A588" s="446" t="s">
        <v>5137</v>
      </c>
      <c r="B588" s="446"/>
      <c r="C588" s="446" t="s">
        <v>1456</v>
      </c>
      <c r="D588" s="446" t="s">
        <v>5138</v>
      </c>
      <c r="E588" s="448" t="s">
        <v>5139</v>
      </c>
      <c r="F588" s="448">
        <v>18160</v>
      </c>
      <c r="G588" s="446" t="s">
        <v>4881</v>
      </c>
      <c r="H588" s="446" t="s">
        <v>5140</v>
      </c>
      <c r="I588" s="446" t="s">
        <v>231</v>
      </c>
      <c r="J588" s="446" t="s">
        <v>746</v>
      </c>
      <c r="K588" s="446" t="s">
        <v>5141</v>
      </c>
      <c r="L588" s="450"/>
      <c r="M588" s="450"/>
      <c r="N588" s="450"/>
      <c r="O588" s="450"/>
      <c r="P588" s="450"/>
      <c r="Q588" s="450"/>
      <c r="R588" s="450"/>
      <c r="S588" s="451"/>
      <c r="T588" s="450"/>
      <c r="U588" s="451"/>
      <c r="V588" s="450"/>
      <c r="W588" s="450"/>
      <c r="X588" s="450"/>
      <c r="Y588" s="450"/>
      <c r="Z588" s="450"/>
    </row>
    <row r="589" spans="1:26" x14ac:dyDescent="0.25">
      <c r="A589" s="446" t="s">
        <v>5142</v>
      </c>
      <c r="B589" s="446"/>
      <c r="C589" s="446" t="s">
        <v>1456</v>
      </c>
      <c r="D589" s="446" t="s">
        <v>5143</v>
      </c>
      <c r="E589" s="448" t="s">
        <v>5139</v>
      </c>
      <c r="F589" s="448">
        <v>18160</v>
      </c>
      <c r="G589" s="446" t="s">
        <v>5144</v>
      </c>
      <c r="H589" s="446" t="s">
        <v>5132</v>
      </c>
      <c r="I589" s="446" t="s">
        <v>231</v>
      </c>
      <c r="J589" s="446" t="s">
        <v>746</v>
      </c>
      <c r="K589" s="446" t="s">
        <v>5145</v>
      </c>
      <c r="L589" s="450"/>
      <c r="M589" s="450"/>
      <c r="N589" s="450"/>
      <c r="O589" s="450"/>
      <c r="P589" s="450"/>
      <c r="Q589" s="450"/>
      <c r="R589" s="450"/>
      <c r="S589" s="451"/>
      <c r="T589" s="450"/>
      <c r="U589" s="451"/>
      <c r="V589" s="450"/>
      <c r="W589" s="450"/>
      <c r="X589" s="450"/>
      <c r="Y589" s="450"/>
      <c r="Z589" s="450"/>
    </row>
    <row r="590" spans="1:26" x14ac:dyDescent="0.25">
      <c r="A590" s="446" t="s">
        <v>5146</v>
      </c>
      <c r="B590" s="446"/>
      <c r="C590" s="446" t="s">
        <v>4618</v>
      </c>
      <c r="D590" s="446" t="s">
        <v>5147</v>
      </c>
      <c r="E590" s="448" t="s">
        <v>5148</v>
      </c>
      <c r="F590" s="448">
        <v>18169</v>
      </c>
      <c r="G590" s="446" t="s">
        <v>524</v>
      </c>
      <c r="H590" s="446" t="s">
        <v>4881</v>
      </c>
      <c r="I590" s="446" t="s">
        <v>231</v>
      </c>
      <c r="J590" s="446" t="s">
        <v>746</v>
      </c>
      <c r="K590" s="446" t="s">
        <v>5149</v>
      </c>
      <c r="L590" s="450"/>
      <c r="M590" s="450"/>
      <c r="N590" s="450"/>
      <c r="O590" s="450"/>
      <c r="P590" s="450"/>
      <c r="Q590" s="450"/>
      <c r="R590" s="450"/>
      <c r="S590" s="451"/>
      <c r="T590" s="450"/>
      <c r="U590" s="451"/>
      <c r="V590" s="450"/>
      <c r="W590" s="450"/>
      <c r="X590" s="450"/>
      <c r="Y590" s="450"/>
      <c r="Z590" s="450"/>
    </row>
    <row r="591" spans="1:26" x14ac:dyDescent="0.25">
      <c r="A591" s="446" t="s">
        <v>618</v>
      </c>
      <c r="B591" s="446"/>
      <c r="C591" s="446" t="s">
        <v>408</v>
      </c>
      <c r="D591" s="446" t="s">
        <v>5150</v>
      </c>
      <c r="E591" s="448" t="s">
        <v>5151</v>
      </c>
      <c r="F591" s="448">
        <v>18170</v>
      </c>
      <c r="G591" s="446" t="s">
        <v>5066</v>
      </c>
      <c r="H591" s="446" t="s">
        <v>622</v>
      </c>
      <c r="I591" s="446" t="s">
        <v>4632</v>
      </c>
      <c r="J591" s="446" t="s">
        <v>4604</v>
      </c>
      <c r="K591" s="446" t="s">
        <v>5152</v>
      </c>
      <c r="L591" s="450"/>
      <c r="M591" s="450"/>
      <c r="N591" s="450"/>
      <c r="O591" s="450"/>
      <c r="P591" s="450"/>
      <c r="Q591" s="450"/>
      <c r="R591" s="450"/>
      <c r="S591" s="451"/>
      <c r="T591" s="450"/>
      <c r="U591" s="451"/>
      <c r="V591" s="450"/>
      <c r="W591" s="450"/>
      <c r="X591" s="450"/>
      <c r="Y591" s="450"/>
      <c r="Z591" s="450"/>
    </row>
    <row r="592" spans="1:26" x14ac:dyDescent="0.25">
      <c r="A592" s="446" t="s">
        <v>2672</v>
      </c>
      <c r="B592" s="446"/>
      <c r="C592" s="446" t="s">
        <v>756</v>
      </c>
      <c r="D592" s="446" t="s">
        <v>5153</v>
      </c>
      <c r="E592" s="448" t="s">
        <v>5154</v>
      </c>
      <c r="F592" s="448">
        <v>18321</v>
      </c>
      <c r="G592" s="446" t="s">
        <v>2674</v>
      </c>
      <c r="H592" s="446" t="s">
        <v>2675</v>
      </c>
      <c r="I592" s="446" t="s">
        <v>231</v>
      </c>
      <c r="J592" s="446" t="s">
        <v>760</v>
      </c>
      <c r="K592" s="446" t="s">
        <v>5155</v>
      </c>
      <c r="L592" s="450"/>
      <c r="M592" s="450"/>
      <c r="N592" s="450"/>
      <c r="O592" s="450"/>
      <c r="P592" s="450"/>
      <c r="Q592" s="450"/>
      <c r="R592" s="450"/>
      <c r="S592" s="451"/>
      <c r="T592" s="450"/>
      <c r="U592" s="451"/>
      <c r="V592" s="450"/>
      <c r="W592" s="450"/>
      <c r="X592" s="450"/>
      <c r="Y592" s="450"/>
      <c r="Z592" s="450"/>
    </row>
    <row r="593" spans="1:26" x14ac:dyDescent="0.25">
      <c r="A593" s="446" t="s">
        <v>627</v>
      </c>
      <c r="B593" s="446"/>
      <c r="C593" s="446" t="s">
        <v>408</v>
      </c>
      <c r="D593" s="446" t="s">
        <v>5156</v>
      </c>
      <c r="E593" s="448" t="s">
        <v>5157</v>
      </c>
      <c r="F593" s="448">
        <v>18420</v>
      </c>
      <c r="G593" s="446" t="s">
        <v>5066</v>
      </c>
      <c r="H593" s="446" t="s">
        <v>2674</v>
      </c>
      <c r="I593" s="446" t="s">
        <v>4632</v>
      </c>
      <c r="J593" s="446" t="s">
        <v>4604</v>
      </c>
      <c r="K593" s="446" t="s">
        <v>5158</v>
      </c>
      <c r="L593" s="450"/>
      <c r="M593" s="450"/>
      <c r="N593" s="450"/>
      <c r="O593" s="450"/>
      <c r="P593" s="450"/>
      <c r="Q593" s="450"/>
      <c r="R593" s="450"/>
      <c r="S593" s="451"/>
      <c r="T593" s="450"/>
      <c r="U593" s="451"/>
      <c r="V593" s="450"/>
      <c r="W593" s="450"/>
      <c r="X593" s="450"/>
      <c r="Y593" s="450"/>
      <c r="Z593" s="450"/>
    </row>
    <row r="594" spans="1:26" x14ac:dyDescent="0.25">
      <c r="A594" s="446" t="s">
        <v>5159</v>
      </c>
      <c r="B594" s="446"/>
      <c r="C594" s="446" t="s">
        <v>408</v>
      </c>
      <c r="D594" s="446" t="s">
        <v>5160</v>
      </c>
      <c r="E594" s="448" t="s">
        <v>5161</v>
      </c>
      <c r="F594" s="448">
        <v>18680</v>
      </c>
      <c r="G594" s="446" t="s">
        <v>2674</v>
      </c>
      <c r="H594" s="446" t="s">
        <v>2979</v>
      </c>
      <c r="I594" s="446" t="s">
        <v>4632</v>
      </c>
      <c r="J594" s="446" t="s">
        <v>4604</v>
      </c>
      <c r="K594" s="446" t="s">
        <v>5162</v>
      </c>
      <c r="L594" s="450"/>
      <c r="M594" s="450"/>
      <c r="N594" s="450"/>
      <c r="O594" s="450"/>
      <c r="P594" s="450"/>
      <c r="Q594" s="450"/>
      <c r="R594" s="450"/>
      <c r="S594" s="451"/>
      <c r="T594" s="450"/>
      <c r="U594" s="451"/>
      <c r="V594" s="450"/>
      <c r="W594" s="450"/>
      <c r="X594" s="450"/>
      <c r="Y594" s="450"/>
      <c r="Z594" s="450"/>
    </row>
    <row r="595" spans="1:26" x14ac:dyDescent="0.25">
      <c r="A595" s="446" t="s">
        <v>5163</v>
      </c>
      <c r="B595" s="446"/>
      <c r="C595" s="446" t="s">
        <v>4618</v>
      </c>
      <c r="D595" s="446" t="s">
        <v>5164</v>
      </c>
      <c r="E595" s="448" t="s">
        <v>5165</v>
      </c>
      <c r="F595" s="448">
        <v>19099</v>
      </c>
      <c r="G595" s="446" t="s">
        <v>5088</v>
      </c>
      <c r="H595" s="446" t="s">
        <v>5066</v>
      </c>
      <c r="I595" s="446" t="s">
        <v>231</v>
      </c>
      <c r="J595" s="446" t="s">
        <v>746</v>
      </c>
      <c r="K595" s="446" t="s">
        <v>5166</v>
      </c>
      <c r="L595" s="450"/>
      <c r="M595" s="450"/>
      <c r="N595" s="450"/>
      <c r="O595" s="450"/>
      <c r="P595" s="450"/>
      <c r="Q595" s="450"/>
      <c r="R595" s="450"/>
      <c r="S595" s="451"/>
      <c r="T595" s="450"/>
      <c r="U595" s="451"/>
      <c r="V595" s="450"/>
      <c r="W595" s="450"/>
      <c r="X595" s="450"/>
      <c r="Y595" s="450"/>
      <c r="Z595" s="450"/>
    </row>
    <row r="596" spans="1:26" x14ac:dyDescent="0.25">
      <c r="A596" s="446" t="s">
        <v>5167</v>
      </c>
      <c r="B596" s="446"/>
      <c r="C596" s="446" t="s">
        <v>4618</v>
      </c>
      <c r="D596" s="446" t="s">
        <v>5168</v>
      </c>
      <c r="E596" s="448" t="s">
        <v>5165</v>
      </c>
      <c r="F596" s="448">
        <v>19099</v>
      </c>
      <c r="G596" s="446" t="s">
        <v>5088</v>
      </c>
      <c r="H596" s="446" t="s">
        <v>5169</v>
      </c>
      <c r="I596" s="446" t="s">
        <v>4632</v>
      </c>
      <c r="J596" s="446" t="s">
        <v>746</v>
      </c>
      <c r="K596" s="446" t="s">
        <v>5170</v>
      </c>
      <c r="L596" s="450"/>
      <c r="M596" s="450"/>
      <c r="N596" s="450"/>
      <c r="O596" s="450"/>
      <c r="P596" s="450"/>
      <c r="Q596" s="450"/>
      <c r="R596" s="450"/>
      <c r="S596" s="451"/>
      <c r="T596" s="450"/>
      <c r="U596" s="451"/>
      <c r="V596" s="450"/>
      <c r="W596" s="450"/>
      <c r="X596" s="450"/>
      <c r="Y596" s="450"/>
      <c r="Z596" s="450"/>
    </row>
    <row r="597" spans="1:26" x14ac:dyDescent="0.25">
      <c r="A597" s="446" t="s">
        <v>630</v>
      </c>
      <c r="B597" s="446"/>
      <c r="C597" s="446" t="s">
        <v>408</v>
      </c>
      <c r="D597" s="446" t="s">
        <v>5171</v>
      </c>
      <c r="E597" s="448" t="s">
        <v>5172</v>
      </c>
      <c r="F597" s="448">
        <v>19396</v>
      </c>
      <c r="G597" s="446" t="s">
        <v>5173</v>
      </c>
      <c r="H597" s="446" t="s">
        <v>5174</v>
      </c>
      <c r="I597" s="446" t="s">
        <v>4632</v>
      </c>
      <c r="J597" s="446" t="s">
        <v>4604</v>
      </c>
      <c r="K597" s="446" t="s">
        <v>5175</v>
      </c>
      <c r="L597" s="450"/>
      <c r="M597" s="450"/>
      <c r="N597" s="450"/>
      <c r="O597" s="450"/>
      <c r="P597" s="450"/>
      <c r="Q597" s="450"/>
      <c r="R597" s="450"/>
      <c r="S597" s="451"/>
      <c r="T597" s="450"/>
      <c r="U597" s="451"/>
      <c r="V597" s="450"/>
      <c r="W597" s="450"/>
      <c r="X597" s="450"/>
      <c r="Y597" s="450"/>
      <c r="Z597" s="450"/>
    </row>
    <row r="598" spans="1:26" x14ac:dyDescent="0.25">
      <c r="A598" s="446" t="s">
        <v>5176</v>
      </c>
      <c r="B598" s="446"/>
      <c r="C598" s="446" t="s">
        <v>4618</v>
      </c>
      <c r="D598" s="446" t="s">
        <v>5177</v>
      </c>
      <c r="E598" s="448" t="s">
        <v>5178</v>
      </c>
      <c r="F598" s="448">
        <v>19403</v>
      </c>
      <c r="G598" s="446" t="s">
        <v>5174</v>
      </c>
      <c r="H598" s="446" t="s">
        <v>5173</v>
      </c>
      <c r="I598" s="446" t="s">
        <v>4632</v>
      </c>
      <c r="J598" s="446" t="s">
        <v>746</v>
      </c>
      <c r="K598" s="446" t="s">
        <v>5179</v>
      </c>
      <c r="L598" s="450"/>
      <c r="M598" s="450"/>
      <c r="N598" s="450"/>
      <c r="O598" s="450"/>
      <c r="P598" s="450"/>
      <c r="Q598" s="450"/>
      <c r="R598" s="450"/>
      <c r="S598" s="451"/>
      <c r="T598" s="450"/>
      <c r="U598" s="451"/>
      <c r="V598" s="450"/>
      <c r="W598" s="450"/>
      <c r="X598" s="450"/>
      <c r="Y598" s="450"/>
      <c r="Z598" s="450"/>
    </row>
    <row r="599" spans="1:26" x14ac:dyDescent="0.25">
      <c r="A599" s="446" t="s">
        <v>636</v>
      </c>
      <c r="B599" s="446"/>
      <c r="C599" s="446" t="s">
        <v>408</v>
      </c>
      <c r="D599" s="446" t="s">
        <v>5180</v>
      </c>
      <c r="E599" s="448" t="s">
        <v>5181</v>
      </c>
      <c r="F599" s="448">
        <v>19417</v>
      </c>
      <c r="G599" s="446" t="s">
        <v>2674</v>
      </c>
      <c r="H599" s="446" t="s">
        <v>5182</v>
      </c>
      <c r="I599" s="446" t="s">
        <v>231</v>
      </c>
      <c r="J599" s="446" t="s">
        <v>4604</v>
      </c>
      <c r="K599" s="446" t="s">
        <v>5183</v>
      </c>
      <c r="L599" s="450"/>
      <c r="M599" s="450"/>
      <c r="N599" s="450"/>
      <c r="O599" s="450"/>
      <c r="P599" s="450"/>
      <c r="Q599" s="450"/>
      <c r="R599" s="450"/>
      <c r="S599" s="451"/>
      <c r="T599" s="450"/>
      <c r="U599" s="451"/>
      <c r="V599" s="450"/>
      <c r="W599" s="450"/>
      <c r="X599" s="450"/>
      <c r="Y599" s="450"/>
      <c r="Z599" s="450"/>
    </row>
    <row r="600" spans="1:26" x14ac:dyDescent="0.25">
      <c r="A600" s="446" t="s">
        <v>5184</v>
      </c>
      <c r="B600" s="446"/>
      <c r="C600" s="446" t="s">
        <v>408</v>
      </c>
      <c r="D600" s="446" t="s">
        <v>5185</v>
      </c>
      <c r="E600" s="448" t="s">
        <v>5181</v>
      </c>
      <c r="F600" s="448">
        <v>19417</v>
      </c>
      <c r="G600" s="446" t="s">
        <v>2674</v>
      </c>
      <c r="H600" s="446" t="s">
        <v>5186</v>
      </c>
      <c r="I600" s="446" t="s">
        <v>4632</v>
      </c>
      <c r="J600" s="446" t="s">
        <v>4604</v>
      </c>
      <c r="K600" s="446" t="s">
        <v>5187</v>
      </c>
      <c r="L600" s="450"/>
      <c r="M600" s="450"/>
      <c r="N600" s="450"/>
      <c r="O600" s="450"/>
      <c r="P600" s="450"/>
      <c r="Q600" s="450"/>
      <c r="R600" s="450"/>
      <c r="S600" s="451"/>
      <c r="T600" s="450"/>
      <c r="U600" s="451"/>
      <c r="V600" s="450"/>
      <c r="W600" s="450"/>
      <c r="X600" s="450"/>
      <c r="Y600" s="450"/>
      <c r="Z600" s="450"/>
    </row>
    <row r="601" spans="1:26" x14ac:dyDescent="0.25">
      <c r="A601" s="446" t="s">
        <v>5188</v>
      </c>
      <c r="B601" s="446"/>
      <c r="C601" s="446" t="s">
        <v>4618</v>
      </c>
      <c r="D601" s="446" t="s">
        <v>5189</v>
      </c>
      <c r="E601" s="448" t="s">
        <v>5190</v>
      </c>
      <c r="F601" s="448">
        <v>19935</v>
      </c>
      <c r="G601" s="446" t="s">
        <v>5067</v>
      </c>
      <c r="H601" s="446" t="s">
        <v>5066</v>
      </c>
      <c r="I601" s="446" t="s">
        <v>4632</v>
      </c>
      <c r="J601" s="446" t="s">
        <v>746</v>
      </c>
      <c r="K601" s="446" t="s">
        <v>5191</v>
      </c>
      <c r="L601" s="450"/>
      <c r="M601" s="450"/>
      <c r="N601" s="450"/>
      <c r="O601" s="450"/>
      <c r="P601" s="450"/>
      <c r="Q601" s="450"/>
      <c r="R601" s="450"/>
      <c r="S601" s="451"/>
      <c r="T601" s="450"/>
      <c r="U601" s="451"/>
      <c r="V601" s="450"/>
      <c r="W601" s="450"/>
      <c r="X601" s="450"/>
      <c r="Y601" s="450"/>
      <c r="Z601" s="450"/>
    </row>
    <row r="602" spans="1:26" x14ac:dyDescent="0.25">
      <c r="A602" s="446" t="s">
        <v>5192</v>
      </c>
      <c r="B602" s="446"/>
      <c r="C602" s="446" t="s">
        <v>4618</v>
      </c>
      <c r="D602" s="446" t="s">
        <v>5193</v>
      </c>
      <c r="E602" s="448" t="s">
        <v>5194</v>
      </c>
      <c r="F602" s="448">
        <v>20617</v>
      </c>
      <c r="G602" s="446" t="s">
        <v>5088</v>
      </c>
      <c r="H602" s="446" t="s">
        <v>547</v>
      </c>
      <c r="I602" s="446" t="s">
        <v>231</v>
      </c>
      <c r="J602" s="446" t="s">
        <v>746</v>
      </c>
      <c r="K602" s="446" t="s">
        <v>5195</v>
      </c>
      <c r="L602" s="450"/>
      <c r="M602" s="450"/>
      <c r="N602" s="450"/>
      <c r="O602" s="450"/>
      <c r="P602" s="450"/>
      <c r="Q602" s="450"/>
      <c r="R602" s="450"/>
      <c r="S602" s="451"/>
      <c r="T602" s="450"/>
      <c r="U602" s="451"/>
      <c r="V602" s="450"/>
      <c r="W602" s="450"/>
      <c r="X602" s="450"/>
      <c r="Y602" s="450"/>
      <c r="Z602" s="450"/>
    </row>
    <row r="603" spans="1:26" x14ac:dyDescent="0.25">
      <c r="A603" s="446" t="s">
        <v>5196</v>
      </c>
      <c r="B603" s="446"/>
      <c r="C603" s="446" t="s">
        <v>4618</v>
      </c>
      <c r="D603" s="446" t="s">
        <v>5197</v>
      </c>
      <c r="E603" s="448" t="s">
        <v>5198</v>
      </c>
      <c r="F603" s="448">
        <v>20654</v>
      </c>
      <c r="G603" s="446" t="s">
        <v>5132</v>
      </c>
      <c r="H603" s="446" t="s">
        <v>484</v>
      </c>
      <c r="I603" s="446" t="s">
        <v>231</v>
      </c>
      <c r="J603" s="446" t="s">
        <v>746</v>
      </c>
      <c r="K603" s="446" t="s">
        <v>5199</v>
      </c>
      <c r="L603" s="450"/>
      <c r="M603" s="450"/>
      <c r="N603" s="450"/>
      <c r="O603" s="450"/>
      <c r="P603" s="450"/>
      <c r="Q603" s="450"/>
      <c r="R603" s="450"/>
      <c r="S603" s="451"/>
      <c r="T603" s="450"/>
      <c r="U603" s="451"/>
      <c r="V603" s="450"/>
      <c r="W603" s="450"/>
      <c r="X603" s="450"/>
      <c r="Y603" s="450"/>
      <c r="Z603" s="450"/>
    </row>
    <row r="604" spans="1:26" x14ac:dyDescent="0.25">
      <c r="A604" s="446" t="s">
        <v>643</v>
      </c>
      <c r="B604" s="446"/>
      <c r="C604" s="446" t="s">
        <v>591</v>
      </c>
      <c r="D604" s="446" t="s">
        <v>5200</v>
      </c>
      <c r="E604" s="448" t="s">
        <v>5201</v>
      </c>
      <c r="F604" s="448">
        <v>20876</v>
      </c>
      <c r="G604" s="446" t="s">
        <v>645</v>
      </c>
      <c r="H604" s="446" t="s">
        <v>646</v>
      </c>
      <c r="I604" s="446" t="s">
        <v>4632</v>
      </c>
      <c r="J604" s="446" t="s">
        <v>760</v>
      </c>
      <c r="K604" s="446" t="s">
        <v>5202</v>
      </c>
      <c r="L604" s="450"/>
      <c r="M604" s="450"/>
      <c r="N604" s="450"/>
      <c r="O604" s="450"/>
      <c r="P604" s="450"/>
      <c r="Q604" s="450"/>
      <c r="R604" s="450"/>
      <c r="S604" s="451"/>
      <c r="T604" s="450"/>
      <c r="U604" s="451"/>
      <c r="V604" s="450"/>
      <c r="W604" s="450"/>
      <c r="X604" s="450"/>
      <c r="Y604" s="450"/>
      <c r="Z604" s="450"/>
    </row>
    <row r="605" spans="1:26" x14ac:dyDescent="0.25">
      <c r="A605" s="446" t="s">
        <v>5203</v>
      </c>
      <c r="B605" s="446"/>
      <c r="C605" s="446" t="s">
        <v>4618</v>
      </c>
      <c r="D605" s="446" t="s">
        <v>5204</v>
      </c>
      <c r="E605" s="448" t="s">
        <v>5205</v>
      </c>
      <c r="F605" s="448">
        <v>21177</v>
      </c>
      <c r="G605" s="446" t="s">
        <v>5099</v>
      </c>
      <c r="H605" s="446" t="s">
        <v>5206</v>
      </c>
      <c r="I605" s="446" t="s">
        <v>5207</v>
      </c>
      <c r="J605" s="446" t="s">
        <v>746</v>
      </c>
      <c r="K605" s="446" t="s">
        <v>5208</v>
      </c>
      <c r="L605" s="450"/>
      <c r="M605" s="450"/>
      <c r="N605" s="450"/>
      <c r="O605" s="450"/>
      <c r="P605" s="450"/>
      <c r="Q605" s="450"/>
      <c r="R605" s="450"/>
      <c r="S605" s="451"/>
      <c r="T605" s="450"/>
      <c r="U605" s="451"/>
      <c r="V605" s="450"/>
      <c r="W605" s="450"/>
      <c r="X605" s="450"/>
      <c r="Y605" s="450"/>
      <c r="Z605" s="450"/>
    </row>
    <row r="606" spans="1:26" x14ac:dyDescent="0.25">
      <c r="A606" s="446" t="s">
        <v>5209</v>
      </c>
      <c r="B606" s="446"/>
      <c r="C606" s="446" t="s">
        <v>4618</v>
      </c>
      <c r="D606" s="446" t="s">
        <v>5210</v>
      </c>
      <c r="E606" s="448" t="s">
        <v>5211</v>
      </c>
      <c r="F606" s="448">
        <v>21286</v>
      </c>
      <c r="G606" s="446" t="s">
        <v>5132</v>
      </c>
      <c r="H606" s="446" t="s">
        <v>5212</v>
      </c>
      <c r="I606" s="446" t="s">
        <v>4632</v>
      </c>
      <c r="J606" s="446" t="s">
        <v>746</v>
      </c>
      <c r="K606" s="446" t="s">
        <v>5213</v>
      </c>
      <c r="L606" s="450"/>
      <c r="M606" s="450"/>
      <c r="N606" s="450"/>
      <c r="O606" s="450"/>
      <c r="P606" s="450"/>
      <c r="Q606" s="450"/>
      <c r="R606" s="450"/>
      <c r="S606" s="451"/>
      <c r="T606" s="450"/>
      <c r="U606" s="451"/>
      <c r="V606" s="450"/>
      <c r="W606" s="450"/>
      <c r="X606" s="450"/>
      <c r="Y606" s="450"/>
      <c r="Z606" s="450"/>
    </row>
    <row r="607" spans="1:26" x14ac:dyDescent="0.25">
      <c r="A607" s="446" t="s">
        <v>5214</v>
      </c>
      <c r="B607" s="446"/>
      <c r="C607" s="446" t="s">
        <v>4618</v>
      </c>
      <c r="D607" s="446" t="s">
        <v>5215</v>
      </c>
      <c r="E607" s="448" t="s">
        <v>5216</v>
      </c>
      <c r="F607" s="448">
        <v>21307</v>
      </c>
      <c r="G607" s="446" t="s">
        <v>5132</v>
      </c>
      <c r="H607" s="446" t="s">
        <v>5217</v>
      </c>
      <c r="I607" s="446" t="s">
        <v>4632</v>
      </c>
      <c r="J607" s="446" t="s">
        <v>746</v>
      </c>
      <c r="K607" s="446" t="s">
        <v>5218</v>
      </c>
      <c r="L607" s="450"/>
      <c r="M607" s="450"/>
      <c r="N607" s="450"/>
      <c r="O607" s="450"/>
      <c r="P607" s="450"/>
      <c r="Q607" s="450"/>
      <c r="R607" s="450"/>
      <c r="S607" s="451"/>
      <c r="T607" s="450"/>
      <c r="U607" s="451"/>
      <c r="V607" s="450"/>
      <c r="W607" s="450"/>
      <c r="X607" s="450"/>
      <c r="Y607" s="450"/>
      <c r="Z607" s="450"/>
    </row>
    <row r="608" spans="1:26" x14ac:dyDescent="0.25">
      <c r="A608" s="446" t="s">
        <v>5219</v>
      </c>
      <c r="B608" s="446"/>
      <c r="C608" s="446" t="s">
        <v>202</v>
      </c>
      <c r="D608" s="446" t="s">
        <v>5220</v>
      </c>
      <c r="E608" s="448" t="s">
        <v>5221</v>
      </c>
      <c r="F608" s="448">
        <v>21495</v>
      </c>
      <c r="G608" s="446" t="s">
        <v>5222</v>
      </c>
      <c r="H608" s="446" t="s">
        <v>5223</v>
      </c>
      <c r="I608" s="446" t="s">
        <v>4632</v>
      </c>
      <c r="J608" s="446" t="s">
        <v>746</v>
      </c>
      <c r="K608" s="446" t="s">
        <v>5224</v>
      </c>
      <c r="L608" s="450"/>
      <c r="M608" s="450"/>
      <c r="N608" s="450"/>
      <c r="O608" s="450"/>
      <c r="P608" s="450"/>
      <c r="Q608" s="450"/>
      <c r="R608" s="450"/>
      <c r="S608" s="451"/>
      <c r="T608" s="450"/>
      <c r="U608" s="451"/>
      <c r="V608" s="450"/>
      <c r="W608" s="450"/>
      <c r="X608" s="450"/>
      <c r="Y608" s="450"/>
      <c r="Z608" s="450"/>
    </row>
    <row r="609" spans="1:26" x14ac:dyDescent="0.25">
      <c r="A609" s="446" t="s">
        <v>2685</v>
      </c>
      <c r="B609" s="446"/>
      <c r="C609" s="446" t="s">
        <v>756</v>
      </c>
      <c r="D609" s="446" t="s">
        <v>5225</v>
      </c>
      <c r="E609" s="448" t="s">
        <v>5226</v>
      </c>
      <c r="F609" s="448">
        <v>21696</v>
      </c>
      <c r="G609" s="446" t="s">
        <v>5227</v>
      </c>
      <c r="H609" s="446" t="s">
        <v>102</v>
      </c>
      <c r="I609" s="446" t="s">
        <v>4632</v>
      </c>
      <c r="J609" s="446" t="s">
        <v>760</v>
      </c>
      <c r="K609" s="446" t="s">
        <v>5228</v>
      </c>
      <c r="L609" s="450"/>
      <c r="M609" s="450"/>
      <c r="N609" s="450"/>
      <c r="O609" s="450"/>
      <c r="P609" s="450"/>
      <c r="Q609" s="450"/>
      <c r="R609" s="450"/>
      <c r="S609" s="451"/>
      <c r="T609" s="450"/>
      <c r="U609" s="451"/>
      <c r="V609" s="450"/>
      <c r="W609" s="450"/>
      <c r="X609" s="450"/>
      <c r="Y609" s="450"/>
      <c r="Z609" s="450"/>
    </row>
    <row r="610" spans="1:26" x14ac:dyDescent="0.25">
      <c r="A610" s="446" t="s">
        <v>5229</v>
      </c>
      <c r="B610" s="446"/>
      <c r="C610" s="446" t="s">
        <v>4618</v>
      </c>
      <c r="D610" s="446" t="s">
        <v>5230</v>
      </c>
      <c r="E610" s="448" t="s">
        <v>5231</v>
      </c>
      <c r="F610" s="448">
        <v>21872</v>
      </c>
      <c r="G610" s="446" t="s">
        <v>5223</v>
      </c>
      <c r="H610" s="446" t="s">
        <v>5222</v>
      </c>
      <c r="I610" s="446" t="s">
        <v>4632</v>
      </c>
      <c r="J610" s="446" t="s">
        <v>746</v>
      </c>
      <c r="K610" s="446" t="s">
        <v>5232</v>
      </c>
      <c r="L610" s="450"/>
      <c r="M610" s="450"/>
      <c r="N610" s="450"/>
      <c r="O610" s="450"/>
      <c r="P610" s="450"/>
      <c r="Q610" s="450"/>
      <c r="R610" s="450"/>
      <c r="S610" s="451"/>
      <c r="T610" s="450"/>
      <c r="U610" s="451"/>
      <c r="V610" s="450"/>
      <c r="W610" s="450"/>
      <c r="X610" s="450"/>
      <c r="Y610" s="450"/>
      <c r="Z610" s="450"/>
    </row>
    <row r="611" spans="1:26" x14ac:dyDescent="0.25">
      <c r="A611" s="446" t="s">
        <v>648</v>
      </c>
      <c r="B611" s="446"/>
      <c r="C611" s="446" t="s">
        <v>4183</v>
      </c>
      <c r="D611" s="446" t="s">
        <v>5233</v>
      </c>
      <c r="E611" s="448" t="s">
        <v>5234</v>
      </c>
      <c r="F611" s="448">
        <v>21969</v>
      </c>
      <c r="G611" s="446" t="s">
        <v>5235</v>
      </c>
      <c r="H611" s="446" t="s">
        <v>102</v>
      </c>
      <c r="I611" s="446" t="s">
        <v>4632</v>
      </c>
      <c r="J611" s="446" t="s">
        <v>4604</v>
      </c>
      <c r="K611" s="446" t="s">
        <v>5236</v>
      </c>
      <c r="L611" s="450"/>
      <c r="M611" s="450"/>
      <c r="N611" s="450"/>
      <c r="O611" s="450"/>
      <c r="P611" s="450"/>
      <c r="Q611" s="450"/>
      <c r="R611" s="450"/>
      <c r="S611" s="451"/>
      <c r="T611" s="450"/>
      <c r="U611" s="451"/>
      <c r="V611" s="450"/>
      <c r="W611" s="450"/>
      <c r="X611" s="450"/>
      <c r="Y611" s="450"/>
      <c r="Z611" s="450"/>
    </row>
    <row r="612" spans="1:26" x14ac:dyDescent="0.25">
      <c r="A612" s="446" t="s">
        <v>5237</v>
      </c>
      <c r="B612" s="446"/>
      <c r="C612" s="446" t="s">
        <v>202</v>
      </c>
      <c r="D612" s="446" t="s">
        <v>5238</v>
      </c>
      <c r="E612" s="448" t="s">
        <v>5239</v>
      </c>
      <c r="F612" s="448">
        <v>22761</v>
      </c>
      <c r="G612" s="446" t="s">
        <v>5240</v>
      </c>
      <c r="H612" s="446" t="s">
        <v>2806</v>
      </c>
      <c r="I612" s="446" t="s">
        <v>4632</v>
      </c>
      <c r="J612" s="446" t="s">
        <v>746</v>
      </c>
      <c r="K612" s="446" t="s">
        <v>5241</v>
      </c>
      <c r="L612" s="450"/>
      <c r="M612" s="450"/>
      <c r="N612" s="450"/>
      <c r="O612" s="450"/>
      <c r="P612" s="450"/>
      <c r="Q612" s="450"/>
      <c r="R612" s="450"/>
      <c r="S612" s="451"/>
      <c r="T612" s="450"/>
      <c r="U612" s="451"/>
      <c r="V612" s="450"/>
      <c r="W612" s="450"/>
      <c r="X612" s="450"/>
      <c r="Y612" s="450"/>
      <c r="Z612" s="450"/>
    </row>
    <row r="613" spans="1:26" x14ac:dyDescent="0.25">
      <c r="A613" s="446" t="s">
        <v>5242</v>
      </c>
      <c r="B613" s="446"/>
      <c r="C613" s="446" t="s">
        <v>202</v>
      </c>
      <c r="D613" s="446" t="s">
        <v>5243</v>
      </c>
      <c r="E613" s="448" t="s">
        <v>5239</v>
      </c>
      <c r="F613" s="448">
        <v>22761</v>
      </c>
      <c r="G613" s="446" t="s">
        <v>5244</v>
      </c>
      <c r="H613" s="446" t="s">
        <v>2806</v>
      </c>
      <c r="I613" s="446" t="s">
        <v>4632</v>
      </c>
      <c r="J613" s="446" t="s">
        <v>746</v>
      </c>
      <c r="K613" s="446" t="s">
        <v>5245</v>
      </c>
      <c r="L613" s="450"/>
      <c r="M613" s="450"/>
      <c r="N613" s="450"/>
      <c r="O613" s="450"/>
      <c r="P613" s="450"/>
      <c r="Q613" s="450"/>
      <c r="R613" s="450"/>
      <c r="S613" s="451"/>
      <c r="T613" s="450"/>
      <c r="U613" s="451"/>
      <c r="V613" s="450"/>
      <c r="W613" s="450"/>
      <c r="X613" s="450"/>
      <c r="Y613" s="450"/>
      <c r="Z613" s="450"/>
    </row>
    <row r="614" spans="1:26" x14ac:dyDescent="0.25">
      <c r="A614" s="446" t="s">
        <v>5246</v>
      </c>
      <c r="B614" s="446"/>
      <c r="C614" s="446" t="s">
        <v>202</v>
      </c>
      <c r="D614" s="446" t="s">
        <v>5247</v>
      </c>
      <c r="E614" s="448" t="s">
        <v>5239</v>
      </c>
      <c r="F614" s="448">
        <v>22761</v>
      </c>
      <c r="G614" s="446" t="s">
        <v>2895</v>
      </c>
      <c r="H614" s="446" t="s">
        <v>2806</v>
      </c>
      <c r="I614" s="446" t="s">
        <v>4632</v>
      </c>
      <c r="J614" s="446" t="s">
        <v>746</v>
      </c>
      <c r="K614" s="446" t="s">
        <v>5248</v>
      </c>
      <c r="L614" s="450"/>
      <c r="M614" s="450"/>
      <c r="N614" s="450"/>
      <c r="O614" s="450"/>
      <c r="P614" s="450"/>
      <c r="Q614" s="450"/>
      <c r="R614" s="450"/>
      <c r="S614" s="451"/>
      <c r="T614" s="450"/>
      <c r="U614" s="451"/>
      <c r="V614" s="450"/>
      <c r="W614" s="450"/>
      <c r="X614" s="450"/>
      <c r="Y614" s="450"/>
      <c r="Z614" s="450"/>
    </row>
    <row r="615" spans="1:26" x14ac:dyDescent="0.25">
      <c r="A615" s="446" t="s">
        <v>5249</v>
      </c>
      <c r="B615" s="446"/>
      <c r="C615" s="446" t="s">
        <v>202</v>
      </c>
      <c r="D615" s="446" t="s">
        <v>5250</v>
      </c>
      <c r="E615" s="448" t="s">
        <v>5239</v>
      </c>
      <c r="F615" s="448">
        <v>22761</v>
      </c>
      <c r="G615" s="446" t="s">
        <v>5251</v>
      </c>
      <c r="H615" s="446" t="s">
        <v>2806</v>
      </c>
      <c r="I615" s="446" t="s">
        <v>4632</v>
      </c>
      <c r="J615" s="446" t="s">
        <v>746</v>
      </c>
      <c r="K615" s="446" t="s">
        <v>5252</v>
      </c>
      <c r="L615" s="450"/>
      <c r="M615" s="450"/>
      <c r="N615" s="450"/>
      <c r="O615" s="450"/>
      <c r="P615" s="450"/>
      <c r="Q615" s="450"/>
      <c r="R615" s="450"/>
      <c r="S615" s="451"/>
      <c r="T615" s="450"/>
      <c r="U615" s="451"/>
      <c r="V615" s="450"/>
      <c r="W615" s="450"/>
      <c r="X615" s="450"/>
      <c r="Y615" s="450"/>
      <c r="Z615" s="450"/>
    </row>
    <row r="616" spans="1:26" x14ac:dyDescent="0.25">
      <c r="A616" s="446" t="s">
        <v>5253</v>
      </c>
      <c r="B616" s="446"/>
      <c r="C616" s="446" t="s">
        <v>202</v>
      </c>
      <c r="D616" s="446" t="s">
        <v>5254</v>
      </c>
      <c r="E616" s="448" t="s">
        <v>5239</v>
      </c>
      <c r="F616" s="448">
        <v>22761</v>
      </c>
      <c r="G616" s="446" t="s">
        <v>2674</v>
      </c>
      <c r="H616" s="446" t="s">
        <v>2806</v>
      </c>
      <c r="I616" s="446" t="s">
        <v>231</v>
      </c>
      <c r="J616" s="446" t="s">
        <v>746</v>
      </c>
      <c r="K616" s="446" t="s">
        <v>5255</v>
      </c>
      <c r="L616" s="450"/>
      <c r="M616" s="450"/>
      <c r="N616" s="450"/>
      <c r="O616" s="450"/>
      <c r="P616" s="450"/>
      <c r="Q616" s="450"/>
      <c r="R616" s="450"/>
      <c r="S616" s="451"/>
      <c r="T616" s="450"/>
      <c r="U616" s="451"/>
      <c r="V616" s="450"/>
      <c r="W616" s="450"/>
      <c r="X616" s="450"/>
      <c r="Y616" s="450"/>
      <c r="Z616" s="450"/>
    </row>
    <row r="617" spans="1:26" x14ac:dyDescent="0.25">
      <c r="A617" s="446" t="s">
        <v>5256</v>
      </c>
      <c r="B617" s="446"/>
      <c r="C617" s="446" t="s">
        <v>202</v>
      </c>
      <c r="D617" s="446" t="s">
        <v>5257</v>
      </c>
      <c r="E617" s="448" t="s">
        <v>5239</v>
      </c>
      <c r="F617" s="448">
        <v>22761</v>
      </c>
      <c r="G617" s="446" t="s">
        <v>2674</v>
      </c>
      <c r="H617" s="446" t="s">
        <v>2806</v>
      </c>
      <c r="I617" s="446" t="s">
        <v>231</v>
      </c>
      <c r="J617" s="446" t="s">
        <v>746</v>
      </c>
      <c r="K617" s="446" t="s">
        <v>5258</v>
      </c>
      <c r="L617" s="450"/>
      <c r="M617" s="450"/>
      <c r="N617" s="450"/>
      <c r="O617" s="450"/>
      <c r="P617" s="450"/>
      <c r="Q617" s="450"/>
      <c r="R617" s="450"/>
      <c r="S617" s="451"/>
      <c r="T617" s="450"/>
      <c r="U617" s="451"/>
      <c r="V617" s="450"/>
      <c r="W617" s="450"/>
      <c r="X617" s="450"/>
      <c r="Y617" s="450"/>
      <c r="Z617" s="450"/>
    </row>
    <row r="618" spans="1:26" x14ac:dyDescent="0.25">
      <c r="A618" s="446" t="s">
        <v>5259</v>
      </c>
      <c r="B618" s="446"/>
      <c r="C618" s="446" t="s">
        <v>202</v>
      </c>
      <c r="D618" s="446" t="s">
        <v>5260</v>
      </c>
      <c r="E618" s="448" t="s">
        <v>5261</v>
      </c>
      <c r="F618" s="448">
        <v>22816</v>
      </c>
      <c r="G618" s="446" t="s">
        <v>2674</v>
      </c>
      <c r="H618" s="446" t="s">
        <v>2806</v>
      </c>
      <c r="I618" s="446" t="s">
        <v>231</v>
      </c>
      <c r="J618" s="446" t="s">
        <v>746</v>
      </c>
      <c r="K618" s="446" t="s">
        <v>5262</v>
      </c>
      <c r="L618" s="450"/>
      <c r="M618" s="450"/>
      <c r="N618" s="450"/>
      <c r="O618" s="450"/>
      <c r="P618" s="450"/>
      <c r="Q618" s="450"/>
      <c r="R618" s="450"/>
      <c r="S618" s="451"/>
      <c r="T618" s="450"/>
      <c r="U618" s="451"/>
      <c r="V618" s="450"/>
      <c r="W618" s="450"/>
      <c r="X618" s="450"/>
      <c r="Y618" s="450"/>
      <c r="Z618" s="450"/>
    </row>
    <row r="619" spans="1:26" x14ac:dyDescent="0.25">
      <c r="A619" s="446" t="s">
        <v>5263</v>
      </c>
      <c r="B619" s="446"/>
      <c r="C619" s="446" t="s">
        <v>202</v>
      </c>
      <c r="D619" s="446" t="s">
        <v>5264</v>
      </c>
      <c r="E619" s="448" t="s">
        <v>5261</v>
      </c>
      <c r="F619" s="448">
        <v>22816</v>
      </c>
      <c r="G619" s="446" t="s">
        <v>2674</v>
      </c>
      <c r="H619" s="446" t="s">
        <v>2806</v>
      </c>
      <c r="I619" s="446" t="s">
        <v>231</v>
      </c>
      <c r="J619" s="446" t="s">
        <v>746</v>
      </c>
      <c r="K619" s="446" t="s">
        <v>5265</v>
      </c>
      <c r="L619" s="450"/>
      <c r="M619" s="450"/>
      <c r="N619" s="450"/>
      <c r="O619" s="450"/>
      <c r="P619" s="450"/>
      <c r="Q619" s="450"/>
      <c r="R619" s="450"/>
      <c r="S619" s="451"/>
      <c r="T619" s="450"/>
      <c r="U619" s="451"/>
      <c r="V619" s="450"/>
      <c r="W619" s="450"/>
      <c r="X619" s="450"/>
      <c r="Y619" s="450"/>
      <c r="Z619" s="450"/>
    </row>
    <row r="620" spans="1:26" x14ac:dyDescent="0.25">
      <c r="A620" s="446" t="s">
        <v>660</v>
      </c>
      <c r="B620" s="446"/>
      <c r="C620" s="446" t="s">
        <v>408</v>
      </c>
      <c r="D620" s="446" t="s">
        <v>5266</v>
      </c>
      <c r="E620" s="448" t="s">
        <v>5267</v>
      </c>
      <c r="F620" s="448">
        <v>22906</v>
      </c>
      <c r="G620" s="446" t="s">
        <v>5186</v>
      </c>
      <c r="H620" s="446" t="s">
        <v>2806</v>
      </c>
      <c r="I620" s="446" t="s">
        <v>231</v>
      </c>
      <c r="J620" s="446" t="s">
        <v>4604</v>
      </c>
      <c r="K620" s="446" t="s">
        <v>5268</v>
      </c>
      <c r="L620" s="450"/>
      <c r="M620" s="450"/>
      <c r="N620" s="450"/>
      <c r="O620" s="450"/>
      <c r="P620" s="450"/>
      <c r="Q620" s="450"/>
      <c r="R620" s="450"/>
      <c r="S620" s="451"/>
      <c r="T620" s="450"/>
      <c r="U620" s="451"/>
      <c r="V620" s="450"/>
      <c r="W620" s="450"/>
      <c r="X620" s="450"/>
      <c r="Y620" s="450"/>
      <c r="Z620" s="450"/>
    </row>
    <row r="621" spans="1:26" x14ac:dyDescent="0.25">
      <c r="A621" s="446" t="s">
        <v>5269</v>
      </c>
      <c r="B621" s="446"/>
      <c r="C621" s="446" t="s">
        <v>408</v>
      </c>
      <c r="D621" s="446" t="s">
        <v>5270</v>
      </c>
      <c r="E621" s="448" t="s">
        <v>5267</v>
      </c>
      <c r="F621" s="448">
        <v>22906</v>
      </c>
      <c r="G621" s="446" t="s">
        <v>5186</v>
      </c>
      <c r="H621" s="446" t="s">
        <v>2806</v>
      </c>
      <c r="I621" s="446" t="s">
        <v>4632</v>
      </c>
      <c r="J621" s="446" t="s">
        <v>4604</v>
      </c>
      <c r="K621" s="446" t="s">
        <v>5271</v>
      </c>
      <c r="L621" s="450"/>
      <c r="M621" s="450"/>
      <c r="N621" s="450"/>
      <c r="O621" s="450"/>
      <c r="P621" s="450"/>
      <c r="Q621" s="450"/>
      <c r="R621" s="450"/>
      <c r="S621" s="451"/>
      <c r="T621" s="450"/>
      <c r="U621" s="451"/>
      <c r="V621" s="450"/>
      <c r="W621" s="450"/>
      <c r="X621" s="450"/>
      <c r="Y621" s="450"/>
      <c r="Z621" s="450"/>
    </row>
    <row r="622" spans="1:26" x14ac:dyDescent="0.25">
      <c r="A622" s="446" t="s">
        <v>5272</v>
      </c>
      <c r="B622" s="446"/>
      <c r="C622" s="446" t="s">
        <v>202</v>
      </c>
      <c r="D622" s="446" t="s">
        <v>5273</v>
      </c>
      <c r="E622" s="448" t="s">
        <v>5267</v>
      </c>
      <c r="F622" s="448">
        <v>22906</v>
      </c>
      <c r="G622" s="446" t="s">
        <v>688</v>
      </c>
      <c r="H622" s="446" t="s">
        <v>689</v>
      </c>
      <c r="I622" s="446" t="s">
        <v>4632</v>
      </c>
      <c r="J622" s="446" t="s">
        <v>746</v>
      </c>
      <c r="K622" s="446" t="s">
        <v>5274</v>
      </c>
      <c r="L622" s="450"/>
      <c r="M622" s="450"/>
      <c r="N622" s="450"/>
      <c r="O622" s="450"/>
      <c r="P622" s="450"/>
      <c r="Q622" s="450"/>
      <c r="R622" s="450"/>
      <c r="S622" s="451"/>
      <c r="T622" s="450"/>
      <c r="U622" s="451"/>
      <c r="V622" s="450"/>
      <c r="W622" s="450"/>
      <c r="X622" s="450"/>
      <c r="Y622" s="450"/>
      <c r="Z622" s="450"/>
    </row>
    <row r="623" spans="1:26" x14ac:dyDescent="0.25">
      <c r="A623" s="446" t="s">
        <v>5275</v>
      </c>
      <c r="B623" s="446"/>
      <c r="C623" s="446" t="s">
        <v>408</v>
      </c>
      <c r="D623" s="446" t="s">
        <v>5276</v>
      </c>
      <c r="E623" s="448" t="s">
        <v>5267</v>
      </c>
      <c r="F623" s="448">
        <v>22906</v>
      </c>
      <c r="G623" s="446" t="s">
        <v>688</v>
      </c>
      <c r="H623" s="446" t="s">
        <v>2674</v>
      </c>
      <c r="I623" s="446" t="s">
        <v>231</v>
      </c>
      <c r="J623" s="446" t="s">
        <v>4604</v>
      </c>
      <c r="K623" s="446" t="s">
        <v>5277</v>
      </c>
      <c r="L623" s="450"/>
      <c r="M623" s="450"/>
      <c r="N623" s="450"/>
      <c r="O623" s="450"/>
      <c r="P623" s="450"/>
      <c r="Q623" s="450"/>
      <c r="R623" s="450"/>
      <c r="S623" s="451"/>
      <c r="T623" s="450"/>
      <c r="U623" s="451"/>
      <c r="V623" s="450"/>
      <c r="W623" s="450"/>
      <c r="X623" s="450"/>
      <c r="Y623" s="450"/>
      <c r="Z623" s="450"/>
    </row>
    <row r="624" spans="1:26" x14ac:dyDescent="0.25">
      <c r="A624" s="446" t="s">
        <v>655</v>
      </c>
      <c r="B624" s="446"/>
      <c r="C624" s="446" t="s">
        <v>408</v>
      </c>
      <c r="D624" s="446" t="s">
        <v>5278</v>
      </c>
      <c r="E624" s="448" t="s">
        <v>5267</v>
      </c>
      <c r="F624" s="448">
        <v>22906</v>
      </c>
      <c r="G624" s="446" t="s">
        <v>688</v>
      </c>
      <c r="H624" s="446" t="s">
        <v>658</v>
      </c>
      <c r="I624" s="446" t="s">
        <v>231</v>
      </c>
      <c r="J624" s="446" t="s">
        <v>4604</v>
      </c>
      <c r="K624" s="446" t="s">
        <v>5279</v>
      </c>
      <c r="L624" s="450"/>
      <c r="M624" s="450"/>
      <c r="N624" s="450"/>
      <c r="O624" s="450"/>
      <c r="P624" s="450"/>
      <c r="Q624" s="450"/>
      <c r="R624" s="450"/>
      <c r="S624" s="451"/>
      <c r="T624" s="450"/>
      <c r="U624" s="451"/>
      <c r="V624" s="450"/>
      <c r="W624" s="450"/>
      <c r="X624" s="450"/>
      <c r="Y624" s="450"/>
      <c r="Z624" s="450"/>
    </row>
    <row r="625" spans="1:26" x14ac:dyDescent="0.25">
      <c r="A625" s="446" t="s">
        <v>5280</v>
      </c>
      <c r="B625" s="446"/>
      <c r="C625" s="446" t="s">
        <v>202</v>
      </c>
      <c r="D625" s="446" t="s">
        <v>5281</v>
      </c>
      <c r="E625" s="448" t="s">
        <v>5282</v>
      </c>
      <c r="F625" s="448">
        <v>22913</v>
      </c>
      <c r="G625" s="446" t="s">
        <v>5072</v>
      </c>
      <c r="H625" s="446" t="s">
        <v>5283</v>
      </c>
      <c r="I625" s="446" t="s">
        <v>231</v>
      </c>
      <c r="J625" s="446" t="s">
        <v>746</v>
      </c>
      <c r="K625" s="446" t="s">
        <v>5284</v>
      </c>
      <c r="L625" s="450"/>
      <c r="M625" s="450"/>
      <c r="N625" s="450"/>
      <c r="O625" s="450"/>
      <c r="P625" s="450"/>
      <c r="Q625" s="450"/>
      <c r="R625" s="450"/>
      <c r="S625" s="451"/>
      <c r="T625" s="450"/>
      <c r="U625" s="451"/>
      <c r="V625" s="450"/>
      <c r="W625" s="450"/>
      <c r="X625" s="450"/>
      <c r="Y625" s="450"/>
      <c r="Z625" s="450"/>
    </row>
    <row r="626" spans="1:26" x14ac:dyDescent="0.25">
      <c r="A626" s="446" t="s">
        <v>5285</v>
      </c>
      <c r="B626" s="446"/>
      <c r="C626" s="446" t="s">
        <v>4618</v>
      </c>
      <c r="D626" s="446" t="s">
        <v>5286</v>
      </c>
      <c r="E626" s="448" t="s">
        <v>5287</v>
      </c>
      <c r="F626" s="448">
        <v>22927</v>
      </c>
      <c r="G626" s="446" t="s">
        <v>5088</v>
      </c>
      <c r="H626" s="446" t="s">
        <v>4881</v>
      </c>
      <c r="I626" s="446" t="s">
        <v>231</v>
      </c>
      <c r="J626" s="446" t="s">
        <v>746</v>
      </c>
      <c r="K626" s="446" t="s">
        <v>5288</v>
      </c>
      <c r="L626" s="450"/>
      <c r="M626" s="450"/>
      <c r="N626" s="450"/>
      <c r="O626" s="450"/>
      <c r="P626" s="450"/>
      <c r="Q626" s="450"/>
      <c r="R626" s="450"/>
      <c r="S626" s="451"/>
      <c r="T626" s="450"/>
      <c r="U626" s="451"/>
      <c r="V626" s="450"/>
      <c r="W626" s="450"/>
      <c r="X626" s="450"/>
      <c r="Y626" s="450"/>
      <c r="Z626" s="450"/>
    </row>
    <row r="627" spans="1:26" x14ac:dyDescent="0.25">
      <c r="A627" s="446" t="s">
        <v>5289</v>
      </c>
      <c r="B627" s="446"/>
      <c r="C627" s="446" t="s">
        <v>1456</v>
      </c>
      <c r="D627" s="446" t="s">
        <v>5290</v>
      </c>
      <c r="E627" s="448" t="s">
        <v>5291</v>
      </c>
      <c r="F627" s="448">
        <v>22928</v>
      </c>
      <c r="G627" s="446" t="s">
        <v>5283</v>
      </c>
      <c r="H627" s="446" t="s">
        <v>5292</v>
      </c>
      <c r="I627" s="446" t="s">
        <v>231</v>
      </c>
      <c r="J627" s="446" t="s">
        <v>746</v>
      </c>
      <c r="K627" s="446" t="s">
        <v>5293</v>
      </c>
      <c r="L627" s="450"/>
      <c r="M627" s="450"/>
      <c r="N627" s="450"/>
      <c r="O627" s="450"/>
      <c r="P627" s="450"/>
      <c r="Q627" s="450"/>
      <c r="R627" s="450"/>
      <c r="S627" s="451"/>
      <c r="T627" s="450"/>
      <c r="U627" s="451"/>
      <c r="V627" s="450"/>
      <c r="W627" s="450"/>
      <c r="X627" s="450"/>
      <c r="Y627" s="450"/>
      <c r="Z627" s="450"/>
    </row>
    <row r="628" spans="1:26" x14ac:dyDescent="0.25">
      <c r="A628" s="446" t="s">
        <v>665</v>
      </c>
      <c r="B628" s="446"/>
      <c r="C628" s="446" t="s">
        <v>408</v>
      </c>
      <c r="D628" s="446" t="s">
        <v>5294</v>
      </c>
      <c r="E628" s="448" t="s">
        <v>2921</v>
      </c>
      <c r="F628" s="448">
        <v>22938</v>
      </c>
      <c r="G628" s="446" t="s">
        <v>2806</v>
      </c>
      <c r="H628" s="446" t="s">
        <v>225</v>
      </c>
      <c r="I628" s="446" t="s">
        <v>231</v>
      </c>
      <c r="J628" s="446" t="s">
        <v>4604</v>
      </c>
      <c r="K628" s="446" t="s">
        <v>5295</v>
      </c>
      <c r="L628" s="450"/>
      <c r="M628" s="450"/>
      <c r="N628" s="450"/>
      <c r="O628" s="450"/>
      <c r="P628" s="450"/>
      <c r="Q628" s="450"/>
      <c r="R628" s="450"/>
      <c r="S628" s="451"/>
      <c r="T628" s="450"/>
      <c r="U628" s="451"/>
      <c r="V628" s="450"/>
      <c r="W628" s="450"/>
      <c r="X628" s="450"/>
      <c r="Y628" s="450"/>
      <c r="Z628" s="450"/>
    </row>
    <row r="629" spans="1:26" x14ac:dyDescent="0.25">
      <c r="A629" s="446" t="s">
        <v>669</v>
      </c>
      <c r="B629" s="446"/>
      <c r="C629" s="446" t="s">
        <v>408</v>
      </c>
      <c r="D629" s="446" t="s">
        <v>5296</v>
      </c>
      <c r="E629" s="448" t="s">
        <v>2921</v>
      </c>
      <c r="F629" s="448">
        <v>22938</v>
      </c>
      <c r="G629" s="446" t="s">
        <v>2806</v>
      </c>
      <c r="H629" s="446" t="s">
        <v>671</v>
      </c>
      <c r="I629" s="446" t="s">
        <v>231</v>
      </c>
      <c r="J629" s="446" t="s">
        <v>4604</v>
      </c>
      <c r="K629" s="446" t="s">
        <v>5297</v>
      </c>
      <c r="L629" s="450"/>
      <c r="M629" s="450"/>
      <c r="N629" s="450"/>
      <c r="O629" s="450"/>
      <c r="P629" s="450"/>
      <c r="Q629" s="450"/>
      <c r="R629" s="450"/>
      <c r="S629" s="451"/>
      <c r="T629" s="450"/>
      <c r="U629" s="451"/>
      <c r="V629" s="450"/>
      <c r="W629" s="450"/>
      <c r="X629" s="450"/>
      <c r="Y629" s="450"/>
      <c r="Z629" s="450"/>
    </row>
    <row r="630" spans="1:26" x14ac:dyDescent="0.25">
      <c r="A630" s="446" t="s">
        <v>5298</v>
      </c>
      <c r="B630" s="446"/>
      <c r="C630" s="446" t="s">
        <v>1456</v>
      </c>
      <c r="D630" s="446" t="s">
        <v>5299</v>
      </c>
      <c r="E630" s="448" t="s">
        <v>5300</v>
      </c>
      <c r="F630" s="448">
        <v>23054</v>
      </c>
      <c r="G630" s="446" t="s">
        <v>2806</v>
      </c>
      <c r="H630" s="446" t="s">
        <v>689</v>
      </c>
      <c r="I630" s="446" t="s">
        <v>4632</v>
      </c>
      <c r="J630" s="446" t="s">
        <v>746</v>
      </c>
      <c r="K630" s="446" t="s">
        <v>5301</v>
      </c>
      <c r="L630" s="450"/>
      <c r="M630" s="450"/>
      <c r="N630" s="450"/>
      <c r="O630" s="450"/>
      <c r="P630" s="450"/>
      <c r="Q630" s="450"/>
      <c r="R630" s="450"/>
      <c r="S630" s="451"/>
      <c r="T630" s="450"/>
      <c r="U630" s="451"/>
      <c r="V630" s="450"/>
      <c r="W630" s="450"/>
      <c r="X630" s="450"/>
      <c r="Y630" s="450"/>
      <c r="Z630" s="450"/>
    </row>
    <row r="631" spans="1:26" x14ac:dyDescent="0.25">
      <c r="A631" s="446" t="s">
        <v>5302</v>
      </c>
      <c r="B631" s="446"/>
      <c r="C631" s="446" t="s">
        <v>1456</v>
      </c>
      <c r="D631" s="446" t="s">
        <v>5303</v>
      </c>
      <c r="E631" s="448" t="s">
        <v>5300</v>
      </c>
      <c r="F631" s="448">
        <v>23054</v>
      </c>
      <c r="G631" s="446" t="s">
        <v>2806</v>
      </c>
      <c r="H631" s="446" t="s">
        <v>689</v>
      </c>
      <c r="I631" s="446" t="s">
        <v>4632</v>
      </c>
      <c r="J631" s="446" t="s">
        <v>746</v>
      </c>
      <c r="K631" s="446" t="s">
        <v>5304</v>
      </c>
      <c r="L631" s="450"/>
      <c r="M631" s="450"/>
      <c r="N631" s="450"/>
      <c r="O631" s="450"/>
      <c r="P631" s="450"/>
      <c r="Q631" s="450"/>
      <c r="R631" s="450"/>
      <c r="S631" s="451"/>
      <c r="T631" s="450"/>
      <c r="U631" s="451"/>
      <c r="V631" s="450"/>
      <c r="W631" s="450"/>
      <c r="X631" s="450"/>
      <c r="Y631" s="450"/>
      <c r="Z631" s="450"/>
    </row>
    <row r="632" spans="1:26" x14ac:dyDescent="0.25">
      <c r="A632" s="446" t="s">
        <v>5305</v>
      </c>
      <c r="B632" s="446"/>
      <c r="C632" s="446" t="s">
        <v>1456</v>
      </c>
      <c r="D632" s="446" t="s">
        <v>5306</v>
      </c>
      <c r="E632" s="448" t="s">
        <v>5300</v>
      </c>
      <c r="F632" s="448">
        <v>23054</v>
      </c>
      <c r="G632" s="446" t="s">
        <v>2806</v>
      </c>
      <c r="H632" s="446" t="s">
        <v>689</v>
      </c>
      <c r="I632" s="446" t="s">
        <v>4632</v>
      </c>
      <c r="J632" s="446" t="s">
        <v>746</v>
      </c>
      <c r="K632" s="446" t="s">
        <v>5307</v>
      </c>
      <c r="L632" s="450"/>
      <c r="M632" s="450"/>
      <c r="N632" s="450"/>
      <c r="O632" s="450"/>
      <c r="P632" s="450"/>
      <c r="Q632" s="450"/>
      <c r="R632" s="450"/>
      <c r="S632" s="451"/>
      <c r="T632" s="450"/>
      <c r="U632" s="451"/>
      <c r="V632" s="450"/>
      <c r="W632" s="450"/>
      <c r="X632" s="450"/>
      <c r="Y632" s="450"/>
      <c r="Z632" s="450"/>
    </row>
    <row r="633" spans="1:26" x14ac:dyDescent="0.25">
      <c r="A633" s="446" t="s">
        <v>5308</v>
      </c>
      <c r="B633" s="446"/>
      <c r="C633" s="446" t="s">
        <v>1456</v>
      </c>
      <c r="D633" s="446" t="s">
        <v>5309</v>
      </c>
      <c r="E633" s="448" t="s">
        <v>5300</v>
      </c>
      <c r="F633" s="448">
        <v>23054</v>
      </c>
      <c r="G633" s="446" t="s">
        <v>2806</v>
      </c>
      <c r="H633" s="446" t="s">
        <v>689</v>
      </c>
      <c r="I633" s="446" t="s">
        <v>4632</v>
      </c>
      <c r="J633" s="446" t="s">
        <v>746</v>
      </c>
      <c r="K633" s="446" t="s">
        <v>5310</v>
      </c>
      <c r="L633" s="450"/>
      <c r="M633" s="450"/>
      <c r="N633" s="450"/>
      <c r="O633" s="450"/>
      <c r="P633" s="450"/>
      <c r="Q633" s="450"/>
      <c r="R633" s="450"/>
      <c r="S633" s="451"/>
      <c r="T633" s="450"/>
      <c r="U633" s="451"/>
      <c r="V633" s="450"/>
      <c r="W633" s="450"/>
      <c r="X633" s="450"/>
      <c r="Y633" s="450"/>
      <c r="Z633" s="450"/>
    </row>
    <row r="634" spans="1:26" x14ac:dyDescent="0.25">
      <c r="A634" s="446" t="s">
        <v>5311</v>
      </c>
      <c r="B634" s="446"/>
      <c r="C634" s="446" t="s">
        <v>4618</v>
      </c>
      <c r="D634" s="446" t="s">
        <v>5312</v>
      </c>
      <c r="E634" s="448" t="s">
        <v>5313</v>
      </c>
      <c r="F634" s="448">
        <v>23890</v>
      </c>
      <c r="G634" s="446" t="s">
        <v>5186</v>
      </c>
      <c r="H634" s="446" t="s">
        <v>658</v>
      </c>
      <c r="I634" s="446" t="s">
        <v>4632</v>
      </c>
      <c r="J634" s="446" t="s">
        <v>746</v>
      </c>
      <c r="K634" s="446" t="s">
        <v>5314</v>
      </c>
      <c r="L634" s="450"/>
      <c r="M634" s="450"/>
      <c r="N634" s="450"/>
      <c r="O634" s="450"/>
      <c r="P634" s="450"/>
      <c r="Q634" s="450"/>
      <c r="R634" s="450"/>
      <c r="S634" s="451"/>
      <c r="T634" s="450"/>
      <c r="U634" s="451"/>
      <c r="V634" s="450"/>
      <c r="W634" s="450"/>
      <c r="X634" s="450"/>
      <c r="Y634" s="450"/>
      <c r="Z634" s="450"/>
    </row>
    <row r="635" spans="1:26" x14ac:dyDescent="0.25">
      <c r="A635" s="446" t="s">
        <v>5315</v>
      </c>
      <c r="B635" s="446"/>
      <c r="C635" s="446" t="s">
        <v>408</v>
      </c>
      <c r="D635" s="446" t="s">
        <v>5316</v>
      </c>
      <c r="E635" s="448" t="s">
        <v>5313</v>
      </c>
      <c r="F635" s="448">
        <v>23890</v>
      </c>
      <c r="G635" s="446" t="s">
        <v>2674</v>
      </c>
      <c r="H635" s="446" t="s">
        <v>646</v>
      </c>
      <c r="I635" s="446" t="s">
        <v>4632</v>
      </c>
      <c r="J635" s="446" t="s">
        <v>4604</v>
      </c>
      <c r="K635" s="446" t="s">
        <v>5317</v>
      </c>
      <c r="L635" s="450"/>
      <c r="M635" s="450"/>
      <c r="N635" s="450"/>
      <c r="O635" s="450"/>
      <c r="P635" s="450"/>
      <c r="Q635" s="450"/>
      <c r="R635" s="450"/>
      <c r="S635" s="451"/>
      <c r="T635" s="450"/>
      <c r="U635" s="451"/>
      <c r="V635" s="450"/>
      <c r="W635" s="450"/>
      <c r="X635" s="450"/>
      <c r="Y635" s="450"/>
      <c r="Z635" s="450"/>
    </row>
    <row r="636" spans="1:26" x14ac:dyDescent="0.25">
      <c r="A636" s="446" t="s">
        <v>5318</v>
      </c>
      <c r="B636" s="446"/>
      <c r="C636" s="446" t="s">
        <v>4618</v>
      </c>
      <c r="D636" s="446" t="s">
        <v>5319</v>
      </c>
      <c r="E636" s="448" t="s">
        <v>5320</v>
      </c>
      <c r="F636" s="448">
        <v>24168</v>
      </c>
      <c r="G636" s="446" t="s">
        <v>5321</v>
      </c>
      <c r="H636" s="446" t="s">
        <v>5322</v>
      </c>
      <c r="I636" s="446" t="s">
        <v>231</v>
      </c>
      <c r="J636" s="446" t="s">
        <v>746</v>
      </c>
      <c r="K636" s="446" t="s">
        <v>5323</v>
      </c>
      <c r="L636" s="450"/>
      <c r="M636" s="450"/>
      <c r="N636" s="450"/>
      <c r="O636" s="450"/>
      <c r="P636" s="450"/>
      <c r="Q636" s="450"/>
      <c r="R636" s="450"/>
      <c r="S636" s="451"/>
      <c r="T636" s="450"/>
      <c r="U636" s="451"/>
      <c r="V636" s="450"/>
      <c r="W636" s="450"/>
      <c r="X636" s="450"/>
      <c r="Y636" s="450"/>
      <c r="Z636" s="450"/>
    </row>
    <row r="637" spans="1:26" x14ac:dyDescent="0.25">
      <c r="A637" s="446" t="s">
        <v>5324</v>
      </c>
      <c r="B637" s="446"/>
      <c r="C637" s="446" t="s">
        <v>756</v>
      </c>
      <c r="D637" s="446" t="s">
        <v>5325</v>
      </c>
      <c r="E637" s="448" t="s">
        <v>5326</v>
      </c>
      <c r="F637" s="448">
        <v>24502</v>
      </c>
      <c r="G637" s="446" t="s">
        <v>5327</v>
      </c>
      <c r="H637" s="446" t="s">
        <v>2806</v>
      </c>
      <c r="I637" s="446" t="s">
        <v>4632</v>
      </c>
      <c r="J637" s="446" t="s">
        <v>760</v>
      </c>
      <c r="K637" s="446" t="s">
        <v>5328</v>
      </c>
      <c r="L637" s="450"/>
      <c r="M637" s="450"/>
      <c r="N637" s="450"/>
      <c r="O637" s="450"/>
      <c r="P637" s="450"/>
      <c r="Q637" s="450"/>
      <c r="R637" s="450"/>
      <c r="S637" s="451"/>
      <c r="T637" s="450"/>
      <c r="U637" s="451"/>
      <c r="V637" s="450"/>
      <c r="W637" s="450"/>
      <c r="X637" s="450"/>
      <c r="Y637" s="450"/>
      <c r="Z637" s="450"/>
    </row>
    <row r="638" spans="1:26" x14ac:dyDescent="0.25">
      <c r="A638" s="446" t="s">
        <v>5329</v>
      </c>
      <c r="B638" s="446"/>
      <c r="C638" s="446" t="s">
        <v>202</v>
      </c>
      <c r="D638" s="446" t="s">
        <v>5330</v>
      </c>
      <c r="E638" s="448" t="s">
        <v>5331</v>
      </c>
      <c r="F638" s="448">
        <v>24512</v>
      </c>
      <c r="G638" s="446" t="s">
        <v>682</v>
      </c>
      <c r="H638" s="446" t="s">
        <v>683</v>
      </c>
      <c r="I638" s="446" t="s">
        <v>231</v>
      </c>
      <c r="J638" s="446" t="s">
        <v>746</v>
      </c>
      <c r="K638" s="446" t="s">
        <v>5332</v>
      </c>
      <c r="L638" s="450"/>
      <c r="M638" s="450"/>
      <c r="N638" s="450"/>
      <c r="O638" s="450"/>
      <c r="P638" s="450"/>
      <c r="Q638" s="450"/>
      <c r="R638" s="450"/>
      <c r="S638" s="451"/>
      <c r="T638" s="450"/>
      <c r="U638" s="451"/>
      <c r="V638" s="450"/>
      <c r="W638" s="450"/>
      <c r="X638" s="450"/>
      <c r="Y638" s="450"/>
      <c r="Z638" s="450"/>
    </row>
    <row r="639" spans="1:26" x14ac:dyDescent="0.25">
      <c r="A639" s="446" t="s">
        <v>672</v>
      </c>
      <c r="B639" s="446"/>
      <c r="C639" s="446" t="s">
        <v>585</v>
      </c>
      <c r="D639" s="446" t="s">
        <v>5333</v>
      </c>
      <c r="E639" s="448" t="s">
        <v>5334</v>
      </c>
      <c r="F639" s="448">
        <v>24750</v>
      </c>
      <c r="G639" s="446" t="s">
        <v>658</v>
      </c>
      <c r="H639" s="446" t="s">
        <v>5335</v>
      </c>
      <c r="I639" s="446" t="s">
        <v>4632</v>
      </c>
      <c r="J639" s="446" t="s">
        <v>4604</v>
      </c>
      <c r="K639" s="446" t="s">
        <v>5336</v>
      </c>
      <c r="L639" s="450"/>
      <c r="M639" s="450"/>
      <c r="N639" s="450"/>
      <c r="O639" s="450"/>
      <c r="P639" s="450"/>
      <c r="Q639" s="450"/>
      <c r="R639" s="450"/>
      <c r="S639" s="451"/>
      <c r="T639" s="450"/>
      <c r="U639" s="451"/>
      <c r="V639" s="450"/>
      <c r="W639" s="450"/>
      <c r="X639" s="450"/>
      <c r="Y639" s="450"/>
      <c r="Z639" s="450"/>
    </row>
    <row r="640" spans="1:26" x14ac:dyDescent="0.25">
      <c r="A640" s="446" t="s">
        <v>5337</v>
      </c>
      <c r="B640" s="446"/>
      <c r="C640" s="446" t="s">
        <v>1456</v>
      </c>
      <c r="D640" s="446" t="s">
        <v>5338</v>
      </c>
      <c r="E640" s="448" t="s">
        <v>5339</v>
      </c>
      <c r="F640" s="448">
        <v>25176</v>
      </c>
      <c r="G640" s="446" t="s">
        <v>683</v>
      </c>
      <c r="H640" s="446" t="s">
        <v>5340</v>
      </c>
      <c r="I640" s="446" t="s">
        <v>4632</v>
      </c>
      <c r="J640" s="446" t="s">
        <v>746</v>
      </c>
      <c r="K640" s="446" t="s">
        <v>5341</v>
      </c>
      <c r="L640" s="450"/>
      <c r="M640" s="450"/>
      <c r="N640" s="450"/>
      <c r="O640" s="450"/>
      <c r="P640" s="450"/>
      <c r="Q640" s="450"/>
      <c r="R640" s="450"/>
      <c r="S640" s="451"/>
      <c r="T640" s="450"/>
      <c r="U640" s="451"/>
      <c r="V640" s="450"/>
      <c r="W640" s="450"/>
      <c r="X640" s="450"/>
      <c r="Y640" s="450"/>
      <c r="Z640" s="450"/>
    </row>
    <row r="641" spans="1:26" x14ac:dyDescent="0.25">
      <c r="A641" s="446" t="s">
        <v>679</v>
      </c>
      <c r="B641" s="446"/>
      <c r="C641" s="446" t="s">
        <v>680</v>
      </c>
      <c r="D641" s="446" t="s">
        <v>5342</v>
      </c>
      <c r="E641" s="448" t="s">
        <v>5339</v>
      </c>
      <c r="F641" s="448">
        <v>25176</v>
      </c>
      <c r="G641" s="446" t="s">
        <v>682</v>
      </c>
      <c r="H641" s="446" t="s">
        <v>683</v>
      </c>
      <c r="I641" s="446" t="s">
        <v>231</v>
      </c>
      <c r="J641" s="446" t="s">
        <v>746</v>
      </c>
      <c r="K641" s="446" t="s">
        <v>5343</v>
      </c>
      <c r="L641" s="450"/>
      <c r="M641" s="450"/>
      <c r="N641" s="450"/>
      <c r="O641" s="450"/>
      <c r="P641" s="450"/>
      <c r="Q641" s="450"/>
      <c r="R641" s="450"/>
      <c r="S641" s="451"/>
      <c r="T641" s="450"/>
      <c r="U641" s="451"/>
      <c r="V641" s="450"/>
      <c r="W641" s="450"/>
      <c r="X641" s="450"/>
      <c r="Y641" s="450"/>
      <c r="Z641" s="450"/>
    </row>
    <row r="642" spans="1:26" x14ac:dyDescent="0.25">
      <c r="A642" s="446" t="s">
        <v>5344</v>
      </c>
      <c r="B642" s="446"/>
      <c r="C642" s="446" t="s">
        <v>202</v>
      </c>
      <c r="D642" s="446" t="s">
        <v>5345</v>
      </c>
      <c r="E642" s="448" t="s">
        <v>5346</v>
      </c>
      <c r="F642" s="448">
        <v>25743</v>
      </c>
      <c r="G642" s="446" t="s">
        <v>5347</v>
      </c>
      <c r="H642" s="446" t="s">
        <v>5348</v>
      </c>
      <c r="I642" s="446" t="s">
        <v>4632</v>
      </c>
      <c r="J642" s="446" t="s">
        <v>746</v>
      </c>
      <c r="K642" s="446" t="s">
        <v>5349</v>
      </c>
      <c r="L642" s="450"/>
      <c r="M642" s="450"/>
      <c r="N642" s="450"/>
      <c r="O642" s="450"/>
      <c r="P642" s="450"/>
      <c r="Q642" s="450"/>
      <c r="R642" s="450"/>
      <c r="S642" s="451"/>
      <c r="T642" s="450"/>
      <c r="U642" s="451"/>
      <c r="V642" s="450"/>
      <c r="W642" s="450"/>
      <c r="X642" s="450"/>
      <c r="Y642" s="450"/>
      <c r="Z642" s="450"/>
    </row>
    <row r="643" spans="1:26" x14ac:dyDescent="0.25">
      <c r="A643" s="446" t="s">
        <v>5350</v>
      </c>
      <c r="B643" s="446"/>
      <c r="C643" s="446" t="s">
        <v>202</v>
      </c>
      <c r="D643" s="446" t="s">
        <v>5351</v>
      </c>
      <c r="E643" s="448" t="s">
        <v>5352</v>
      </c>
      <c r="F643" s="448">
        <v>25829</v>
      </c>
      <c r="G643" s="446" t="s">
        <v>2895</v>
      </c>
      <c r="H643" s="446" t="s">
        <v>767</v>
      </c>
      <c r="I643" s="446" t="s">
        <v>4632</v>
      </c>
      <c r="J643" s="446" t="s">
        <v>746</v>
      </c>
      <c r="K643" s="446" t="s">
        <v>5353</v>
      </c>
      <c r="L643" s="450"/>
      <c r="M643" s="450"/>
      <c r="N643" s="450"/>
      <c r="O643" s="450"/>
      <c r="P643" s="450"/>
      <c r="Q643" s="450"/>
      <c r="R643" s="450"/>
      <c r="S643" s="451"/>
      <c r="T643" s="450"/>
      <c r="U643" s="451"/>
      <c r="V643" s="450"/>
      <c r="W643" s="450"/>
      <c r="X643" s="450"/>
      <c r="Y643" s="450"/>
      <c r="Z643" s="450"/>
    </row>
    <row r="644" spans="1:26" x14ac:dyDescent="0.25">
      <c r="A644" s="446" t="s">
        <v>5354</v>
      </c>
      <c r="B644" s="446"/>
      <c r="C644" s="446" t="s">
        <v>202</v>
      </c>
      <c r="D644" s="446" t="s">
        <v>5355</v>
      </c>
      <c r="E644" s="448" t="s">
        <v>5352</v>
      </c>
      <c r="F644" s="448">
        <v>25829</v>
      </c>
      <c r="G644" s="446" t="s">
        <v>5356</v>
      </c>
      <c r="H644" s="446" t="s">
        <v>767</v>
      </c>
      <c r="I644" s="446" t="s">
        <v>4632</v>
      </c>
      <c r="J644" s="446" t="s">
        <v>746</v>
      </c>
      <c r="K644" s="446" t="s">
        <v>5357</v>
      </c>
      <c r="L644" s="450"/>
      <c r="M644" s="450"/>
      <c r="N644" s="450"/>
      <c r="O644" s="450"/>
      <c r="P644" s="450"/>
      <c r="Q644" s="450"/>
      <c r="R644" s="450"/>
      <c r="S644" s="451"/>
      <c r="T644" s="450"/>
      <c r="U644" s="451"/>
      <c r="V644" s="450"/>
      <c r="W644" s="450"/>
      <c r="X644" s="450"/>
      <c r="Y644" s="450"/>
      <c r="Z644" s="450"/>
    </row>
    <row r="645" spans="1:26" x14ac:dyDescent="0.25">
      <c r="A645" s="446" t="s">
        <v>5358</v>
      </c>
      <c r="B645" s="446"/>
      <c r="C645" s="446" t="s">
        <v>202</v>
      </c>
      <c r="D645" s="446" t="s">
        <v>5359</v>
      </c>
      <c r="E645" s="448" t="s">
        <v>5352</v>
      </c>
      <c r="F645" s="448">
        <v>25829</v>
      </c>
      <c r="G645" s="446" t="s">
        <v>5244</v>
      </c>
      <c r="H645" s="446" t="s">
        <v>767</v>
      </c>
      <c r="I645" s="446" t="s">
        <v>4632</v>
      </c>
      <c r="J645" s="446" t="s">
        <v>746</v>
      </c>
      <c r="K645" s="446" t="s">
        <v>5360</v>
      </c>
      <c r="L645" s="450"/>
      <c r="M645" s="450"/>
      <c r="N645" s="450"/>
      <c r="O645" s="450"/>
      <c r="P645" s="450"/>
      <c r="Q645" s="450"/>
      <c r="R645" s="450"/>
      <c r="S645" s="451"/>
      <c r="T645" s="450"/>
      <c r="U645" s="451"/>
      <c r="V645" s="450"/>
      <c r="W645" s="450"/>
      <c r="X645" s="450"/>
      <c r="Y645" s="450"/>
      <c r="Z645" s="450"/>
    </row>
    <row r="646" spans="1:26" x14ac:dyDescent="0.25">
      <c r="A646" s="446" t="s">
        <v>5361</v>
      </c>
      <c r="B646" s="446"/>
      <c r="C646" s="446" t="s">
        <v>202</v>
      </c>
      <c r="D646" s="446" t="s">
        <v>5362</v>
      </c>
      <c r="E646" s="448" t="s">
        <v>5363</v>
      </c>
      <c r="F646" s="448">
        <v>25884</v>
      </c>
      <c r="G646" s="446" t="s">
        <v>5364</v>
      </c>
      <c r="H646" s="446" t="s">
        <v>5365</v>
      </c>
      <c r="I646" s="446" t="s">
        <v>4632</v>
      </c>
      <c r="J646" s="446" t="s">
        <v>746</v>
      </c>
      <c r="K646" s="446" t="s">
        <v>5366</v>
      </c>
      <c r="L646" s="450"/>
      <c r="M646" s="450"/>
      <c r="N646" s="450"/>
      <c r="O646" s="450"/>
      <c r="P646" s="450"/>
      <c r="Q646" s="450"/>
      <c r="R646" s="450"/>
      <c r="S646" s="451"/>
      <c r="T646" s="450"/>
      <c r="U646" s="451"/>
      <c r="V646" s="450"/>
      <c r="W646" s="450"/>
      <c r="X646" s="450"/>
      <c r="Y646" s="450"/>
      <c r="Z646" s="450"/>
    </row>
    <row r="647" spans="1:26" x14ac:dyDescent="0.25">
      <c r="A647" s="446" t="s">
        <v>5367</v>
      </c>
      <c r="B647" s="446"/>
      <c r="C647" s="446" t="s">
        <v>1456</v>
      </c>
      <c r="D647" s="446" t="s">
        <v>5368</v>
      </c>
      <c r="E647" s="448" t="s">
        <v>5369</v>
      </c>
      <c r="F647" s="448">
        <v>25885</v>
      </c>
      <c r="G647" s="446" t="s">
        <v>689</v>
      </c>
      <c r="H647" s="446" t="s">
        <v>5370</v>
      </c>
      <c r="I647" s="446" t="s">
        <v>4632</v>
      </c>
      <c r="J647" s="446" t="s">
        <v>746</v>
      </c>
      <c r="K647" s="446" t="s">
        <v>5371</v>
      </c>
      <c r="L647" s="450"/>
      <c r="M647" s="450"/>
      <c r="N647" s="450"/>
      <c r="O647" s="450"/>
      <c r="P647" s="450"/>
      <c r="Q647" s="450"/>
      <c r="R647" s="450"/>
      <c r="S647" s="451"/>
      <c r="T647" s="450"/>
      <c r="U647" s="451"/>
      <c r="V647" s="450"/>
      <c r="W647" s="450"/>
      <c r="X647" s="450"/>
      <c r="Y647" s="450"/>
      <c r="Z647" s="450"/>
    </row>
    <row r="648" spans="1:26" x14ac:dyDescent="0.25">
      <c r="A648" s="446" t="s">
        <v>5372</v>
      </c>
      <c r="B648" s="446"/>
      <c r="C648" s="446" t="s">
        <v>1456</v>
      </c>
      <c r="D648" s="446" t="s">
        <v>5373</v>
      </c>
      <c r="E648" s="448" t="s">
        <v>5369</v>
      </c>
      <c r="F648" s="448">
        <v>25885</v>
      </c>
      <c r="G648" s="446" t="s">
        <v>689</v>
      </c>
      <c r="H648" s="446" t="s">
        <v>5370</v>
      </c>
      <c r="I648" s="446" t="s">
        <v>4632</v>
      </c>
      <c r="J648" s="446" t="s">
        <v>746</v>
      </c>
      <c r="K648" s="446" t="s">
        <v>5374</v>
      </c>
      <c r="L648" s="450"/>
      <c r="M648" s="450"/>
      <c r="N648" s="450"/>
      <c r="O648" s="450"/>
      <c r="P648" s="450"/>
      <c r="Q648" s="450"/>
      <c r="R648" s="450"/>
      <c r="S648" s="451"/>
      <c r="T648" s="450"/>
      <c r="U648" s="451"/>
      <c r="V648" s="450"/>
      <c r="W648" s="450"/>
      <c r="X648" s="450"/>
      <c r="Y648" s="450"/>
      <c r="Z648" s="450"/>
    </row>
    <row r="649" spans="1:26" x14ac:dyDescent="0.25">
      <c r="A649" s="446" t="s">
        <v>5375</v>
      </c>
      <c r="B649" s="446"/>
      <c r="C649" s="446" t="s">
        <v>1456</v>
      </c>
      <c r="D649" s="446" t="s">
        <v>5376</v>
      </c>
      <c r="E649" s="448" t="s">
        <v>5369</v>
      </c>
      <c r="F649" s="448">
        <v>25885</v>
      </c>
      <c r="G649" s="446" t="s">
        <v>689</v>
      </c>
      <c r="H649" s="446" t="s">
        <v>5370</v>
      </c>
      <c r="I649" s="446" t="s">
        <v>4632</v>
      </c>
      <c r="J649" s="446" t="s">
        <v>746</v>
      </c>
      <c r="K649" s="446" t="s">
        <v>5377</v>
      </c>
      <c r="L649" s="450"/>
      <c r="M649" s="450"/>
      <c r="N649" s="450"/>
      <c r="O649" s="450"/>
      <c r="P649" s="450"/>
      <c r="Q649" s="450"/>
      <c r="R649" s="450"/>
      <c r="S649" s="451"/>
      <c r="T649" s="450"/>
      <c r="U649" s="451"/>
      <c r="V649" s="450"/>
      <c r="W649" s="450"/>
      <c r="X649" s="450"/>
      <c r="Y649" s="450"/>
      <c r="Z649" s="450"/>
    </row>
    <row r="650" spans="1:26" x14ac:dyDescent="0.25">
      <c r="A650" s="446" t="s">
        <v>5378</v>
      </c>
      <c r="B650" s="446"/>
      <c r="C650" s="446" t="s">
        <v>1456</v>
      </c>
      <c r="D650" s="446" t="s">
        <v>5379</v>
      </c>
      <c r="E650" s="448" t="s">
        <v>5369</v>
      </c>
      <c r="F650" s="448">
        <v>25885</v>
      </c>
      <c r="G650" s="446" t="s">
        <v>767</v>
      </c>
      <c r="H650" s="446" t="s">
        <v>5370</v>
      </c>
      <c r="I650" s="446" t="s">
        <v>4632</v>
      </c>
      <c r="J650" s="446" t="s">
        <v>746</v>
      </c>
      <c r="K650" s="446" t="s">
        <v>5380</v>
      </c>
      <c r="L650" s="450"/>
      <c r="M650" s="450"/>
      <c r="N650" s="450"/>
      <c r="O650" s="450"/>
      <c r="P650" s="450"/>
      <c r="Q650" s="450"/>
      <c r="R650" s="450"/>
      <c r="S650" s="451"/>
      <c r="T650" s="450"/>
      <c r="U650" s="451"/>
      <c r="V650" s="450"/>
      <c r="W650" s="450"/>
      <c r="X650" s="450"/>
      <c r="Y650" s="450"/>
      <c r="Z650" s="450"/>
    </row>
    <row r="651" spans="1:26" x14ac:dyDescent="0.25">
      <c r="A651" s="446" t="s">
        <v>5381</v>
      </c>
      <c r="B651" s="446"/>
      <c r="C651" s="446" t="s">
        <v>1456</v>
      </c>
      <c r="D651" s="446" t="s">
        <v>5382</v>
      </c>
      <c r="E651" s="448" t="s">
        <v>5369</v>
      </c>
      <c r="F651" s="448">
        <v>25885</v>
      </c>
      <c r="G651" s="446" t="s">
        <v>767</v>
      </c>
      <c r="H651" s="446" t="s">
        <v>5370</v>
      </c>
      <c r="I651" s="446" t="s">
        <v>4632</v>
      </c>
      <c r="J651" s="446" t="s">
        <v>746</v>
      </c>
      <c r="K651" s="446" t="s">
        <v>5383</v>
      </c>
      <c r="L651" s="450"/>
      <c r="M651" s="450"/>
      <c r="N651" s="450"/>
      <c r="O651" s="450"/>
      <c r="P651" s="450"/>
      <c r="Q651" s="450"/>
      <c r="R651" s="450"/>
      <c r="S651" s="451"/>
      <c r="T651" s="450"/>
      <c r="U651" s="451"/>
      <c r="V651" s="450"/>
      <c r="W651" s="450"/>
      <c r="X651" s="450"/>
      <c r="Y651" s="450"/>
      <c r="Z651" s="450"/>
    </row>
    <row r="652" spans="1:26" x14ac:dyDescent="0.25">
      <c r="A652" s="446" t="s">
        <v>5384</v>
      </c>
      <c r="B652" s="446"/>
      <c r="C652" s="446" t="s">
        <v>1456</v>
      </c>
      <c r="D652" s="446" t="s">
        <v>5385</v>
      </c>
      <c r="E652" s="448" t="s">
        <v>5369</v>
      </c>
      <c r="F652" s="448">
        <v>25885</v>
      </c>
      <c r="G652" s="446" t="s">
        <v>767</v>
      </c>
      <c r="H652" s="446" t="s">
        <v>5370</v>
      </c>
      <c r="I652" s="446" t="s">
        <v>4632</v>
      </c>
      <c r="J652" s="446" t="s">
        <v>746</v>
      </c>
      <c r="K652" s="446" t="s">
        <v>5386</v>
      </c>
      <c r="L652" s="450"/>
      <c r="M652" s="450"/>
      <c r="N652" s="450"/>
      <c r="O652" s="450"/>
      <c r="P652" s="450"/>
      <c r="Q652" s="450"/>
      <c r="R652" s="450"/>
      <c r="S652" s="451"/>
      <c r="T652" s="450"/>
      <c r="U652" s="451"/>
      <c r="V652" s="450"/>
      <c r="W652" s="450"/>
      <c r="X652" s="450"/>
      <c r="Y652" s="450"/>
      <c r="Z652" s="450"/>
    </row>
    <row r="653" spans="1:26" x14ac:dyDescent="0.25">
      <c r="A653" s="446" t="s">
        <v>5387</v>
      </c>
      <c r="B653" s="446"/>
      <c r="C653" s="446" t="s">
        <v>1456</v>
      </c>
      <c r="D653" s="446" t="s">
        <v>5388</v>
      </c>
      <c r="E653" s="448" t="s">
        <v>5389</v>
      </c>
      <c r="F653" s="448">
        <v>25905</v>
      </c>
      <c r="G653" s="446" t="s">
        <v>689</v>
      </c>
      <c r="H653" s="446" t="s">
        <v>767</v>
      </c>
      <c r="I653" s="446" t="s">
        <v>4632</v>
      </c>
      <c r="J653" s="446" t="s">
        <v>746</v>
      </c>
      <c r="K653" s="446" t="s">
        <v>5390</v>
      </c>
      <c r="L653" s="450"/>
      <c r="M653" s="450"/>
      <c r="N653" s="450"/>
      <c r="O653" s="450"/>
      <c r="P653" s="450"/>
      <c r="Q653" s="450"/>
      <c r="R653" s="450"/>
      <c r="S653" s="451"/>
      <c r="T653" s="450"/>
      <c r="U653" s="451"/>
      <c r="V653" s="450"/>
      <c r="W653" s="450"/>
      <c r="X653" s="450"/>
      <c r="Y653" s="450"/>
      <c r="Z653" s="450"/>
    </row>
    <row r="654" spans="1:26" x14ac:dyDescent="0.25">
      <c r="A654" s="446" t="s">
        <v>5391</v>
      </c>
      <c r="B654" s="446"/>
      <c r="C654" s="446" t="s">
        <v>1456</v>
      </c>
      <c r="D654" s="446" t="s">
        <v>5392</v>
      </c>
      <c r="E654" s="448" t="s">
        <v>5389</v>
      </c>
      <c r="F654" s="448">
        <v>25905</v>
      </c>
      <c r="G654" s="446" t="s">
        <v>767</v>
      </c>
      <c r="H654" s="446" t="s">
        <v>5370</v>
      </c>
      <c r="I654" s="446" t="s">
        <v>4632</v>
      </c>
      <c r="J654" s="446" t="s">
        <v>746</v>
      </c>
      <c r="K654" s="446" t="s">
        <v>5393</v>
      </c>
      <c r="L654" s="450"/>
      <c r="M654" s="450"/>
      <c r="N654" s="450"/>
      <c r="O654" s="450"/>
      <c r="P654" s="450"/>
      <c r="Q654" s="450"/>
      <c r="R654" s="450"/>
      <c r="S654" s="451"/>
      <c r="T654" s="450"/>
      <c r="U654" s="451"/>
      <c r="V654" s="450"/>
      <c r="W654" s="450"/>
      <c r="X654" s="450"/>
      <c r="Y654" s="450"/>
      <c r="Z654" s="450"/>
    </row>
    <row r="655" spans="1:26" x14ac:dyDescent="0.25">
      <c r="A655" s="446" t="s">
        <v>686</v>
      </c>
      <c r="B655" s="446"/>
      <c r="C655" s="446" t="s">
        <v>680</v>
      </c>
      <c r="D655" s="446" t="s">
        <v>5394</v>
      </c>
      <c r="E655" s="448" t="s">
        <v>5389</v>
      </c>
      <c r="F655" s="448">
        <v>25905</v>
      </c>
      <c r="G655" s="446" t="s">
        <v>688</v>
      </c>
      <c r="H655" s="446" t="s">
        <v>689</v>
      </c>
      <c r="I655" s="446" t="s">
        <v>231</v>
      </c>
      <c r="J655" s="446" t="s">
        <v>746</v>
      </c>
      <c r="K655" s="446" t="s">
        <v>5395</v>
      </c>
      <c r="L655" s="450"/>
      <c r="M655" s="450"/>
      <c r="N655" s="450"/>
      <c r="O655" s="450"/>
      <c r="P655" s="450"/>
      <c r="Q655" s="450"/>
      <c r="R655" s="450"/>
      <c r="S655" s="451"/>
      <c r="T655" s="450"/>
      <c r="U655" s="451"/>
      <c r="V655" s="450"/>
      <c r="W655" s="450"/>
      <c r="X655" s="450"/>
      <c r="Y655" s="450"/>
      <c r="Z655" s="450"/>
    </row>
    <row r="656" spans="1:26" x14ac:dyDescent="0.25">
      <c r="A656" s="446" t="s">
        <v>5396</v>
      </c>
      <c r="B656" s="446"/>
      <c r="C656" s="446" t="s">
        <v>202</v>
      </c>
      <c r="D656" s="446" t="s">
        <v>5397</v>
      </c>
      <c r="E656" s="448" t="s">
        <v>5398</v>
      </c>
      <c r="F656" s="448">
        <v>25910</v>
      </c>
      <c r="G656" s="446" t="s">
        <v>221</v>
      </c>
      <c r="H656" s="446" t="s">
        <v>767</v>
      </c>
      <c r="I656" s="446" t="s">
        <v>4632</v>
      </c>
      <c r="J656" s="446" t="s">
        <v>746</v>
      </c>
      <c r="K656" s="446" t="s">
        <v>5399</v>
      </c>
      <c r="L656" s="450"/>
      <c r="M656" s="450"/>
      <c r="N656" s="450"/>
      <c r="O656" s="450"/>
      <c r="P656" s="450"/>
      <c r="Q656" s="450"/>
      <c r="R656" s="450"/>
      <c r="S656" s="451"/>
      <c r="T656" s="450"/>
      <c r="U656" s="451"/>
      <c r="V656" s="450"/>
      <c r="W656" s="450"/>
      <c r="X656" s="450"/>
      <c r="Y656" s="450"/>
      <c r="Z656" s="450"/>
    </row>
    <row r="657" spans="1:26" x14ac:dyDescent="0.25">
      <c r="A657" s="446" t="s">
        <v>5400</v>
      </c>
      <c r="B657" s="446"/>
      <c r="C657" s="446" t="s">
        <v>1456</v>
      </c>
      <c r="D657" s="446" t="s">
        <v>5401</v>
      </c>
      <c r="E657" s="448" t="s">
        <v>5398</v>
      </c>
      <c r="F657" s="448">
        <v>25910</v>
      </c>
      <c r="G657" s="446" t="s">
        <v>767</v>
      </c>
      <c r="H657" s="446" t="s">
        <v>5370</v>
      </c>
      <c r="I657" s="446" t="s">
        <v>4632</v>
      </c>
      <c r="J657" s="446" t="s">
        <v>746</v>
      </c>
      <c r="K657" s="446" t="s">
        <v>5402</v>
      </c>
      <c r="L657" s="450"/>
      <c r="M657" s="450"/>
      <c r="N657" s="450"/>
      <c r="O657" s="450"/>
      <c r="P657" s="450"/>
      <c r="Q657" s="450"/>
      <c r="R657" s="450"/>
      <c r="S657" s="451"/>
      <c r="T657" s="450"/>
      <c r="U657" s="451"/>
      <c r="V657" s="450"/>
      <c r="W657" s="450"/>
      <c r="X657" s="450"/>
      <c r="Y657" s="450"/>
      <c r="Z657" s="450"/>
    </row>
    <row r="658" spans="1:26" x14ac:dyDescent="0.25">
      <c r="A658" s="446" t="s">
        <v>5403</v>
      </c>
      <c r="B658" s="446"/>
      <c r="C658" s="446" t="s">
        <v>4618</v>
      </c>
      <c r="D658" s="446" t="s">
        <v>5404</v>
      </c>
      <c r="E658" s="448" t="s">
        <v>5405</v>
      </c>
      <c r="F658" s="448">
        <v>26071</v>
      </c>
      <c r="G658" s="446" t="s">
        <v>5370</v>
      </c>
      <c r="H658" s="446" t="s">
        <v>688</v>
      </c>
      <c r="I658" s="446" t="s">
        <v>231</v>
      </c>
      <c r="J658" s="446" t="s">
        <v>746</v>
      </c>
      <c r="K658" s="446" t="s">
        <v>5406</v>
      </c>
      <c r="L658" s="450"/>
      <c r="M658" s="450"/>
      <c r="N658" s="450"/>
      <c r="O658" s="450"/>
      <c r="P658" s="450"/>
      <c r="Q658" s="450"/>
      <c r="R658" s="450"/>
      <c r="S658" s="451"/>
      <c r="T658" s="450"/>
      <c r="U658" s="451"/>
      <c r="V658" s="450"/>
      <c r="W658" s="450"/>
      <c r="X658" s="450"/>
      <c r="Y658" s="450"/>
      <c r="Z658" s="450"/>
    </row>
    <row r="659" spans="1:26" x14ac:dyDescent="0.25">
      <c r="A659" s="446" t="s">
        <v>5407</v>
      </c>
      <c r="B659" s="446"/>
      <c r="C659" s="446" t="s">
        <v>202</v>
      </c>
      <c r="D659" s="446" t="s">
        <v>5408</v>
      </c>
      <c r="E659" s="448" t="s">
        <v>5409</v>
      </c>
      <c r="F659" s="448">
        <v>26130</v>
      </c>
      <c r="G659" s="446" t="s">
        <v>5410</v>
      </c>
      <c r="H659" s="446" t="s">
        <v>689</v>
      </c>
      <c r="I659" s="446" t="s">
        <v>231</v>
      </c>
      <c r="J659" s="446" t="s">
        <v>746</v>
      </c>
      <c r="K659" s="446" t="s">
        <v>5411</v>
      </c>
      <c r="L659" s="450"/>
      <c r="M659" s="450"/>
      <c r="N659" s="450"/>
      <c r="O659" s="450"/>
      <c r="P659" s="450"/>
      <c r="Q659" s="450"/>
      <c r="R659" s="450"/>
      <c r="S659" s="451"/>
      <c r="T659" s="450"/>
      <c r="U659" s="451"/>
      <c r="V659" s="450"/>
      <c r="W659" s="450"/>
      <c r="X659" s="450"/>
      <c r="Y659" s="450"/>
      <c r="Z659" s="450"/>
    </row>
    <row r="660" spans="1:26" x14ac:dyDescent="0.25">
      <c r="A660" s="446" t="s">
        <v>5412</v>
      </c>
      <c r="B660" s="446"/>
      <c r="C660" s="446" t="s">
        <v>1456</v>
      </c>
      <c r="D660" s="446" t="s">
        <v>5413</v>
      </c>
      <c r="E660" s="448" t="s">
        <v>5409</v>
      </c>
      <c r="F660" s="448">
        <v>26130</v>
      </c>
      <c r="G660" s="446" t="s">
        <v>689</v>
      </c>
      <c r="H660" s="446" t="s">
        <v>5370</v>
      </c>
      <c r="I660" s="446" t="s">
        <v>231</v>
      </c>
      <c r="J660" s="446" t="s">
        <v>746</v>
      </c>
      <c r="K660" s="446" t="s">
        <v>5414</v>
      </c>
      <c r="L660" s="450"/>
      <c r="M660" s="450"/>
      <c r="N660" s="450"/>
      <c r="O660" s="450"/>
      <c r="P660" s="450"/>
      <c r="Q660" s="450"/>
      <c r="R660" s="450"/>
      <c r="S660" s="451"/>
      <c r="T660" s="450"/>
      <c r="U660" s="451"/>
      <c r="V660" s="450"/>
      <c r="W660" s="450"/>
      <c r="X660" s="450"/>
      <c r="Y660" s="450"/>
      <c r="Z660" s="450"/>
    </row>
    <row r="661" spans="1:26" x14ac:dyDescent="0.25">
      <c r="A661" s="446" t="s">
        <v>5415</v>
      </c>
      <c r="B661" s="446"/>
      <c r="C661" s="446" t="s">
        <v>202</v>
      </c>
      <c r="D661" s="446" t="s">
        <v>5416</v>
      </c>
      <c r="E661" s="448" t="s">
        <v>5417</v>
      </c>
      <c r="F661" s="448">
        <v>26158</v>
      </c>
      <c r="G661" s="446" t="s">
        <v>5418</v>
      </c>
      <c r="H661" s="446" t="s">
        <v>5419</v>
      </c>
      <c r="I661" s="446" t="s">
        <v>231</v>
      </c>
      <c r="J661" s="446" t="s">
        <v>746</v>
      </c>
      <c r="K661" s="446" t="s">
        <v>5420</v>
      </c>
      <c r="L661" s="450"/>
      <c r="M661" s="450"/>
      <c r="N661" s="450"/>
      <c r="O661" s="450"/>
      <c r="P661" s="450"/>
      <c r="Q661" s="450"/>
      <c r="R661" s="450"/>
      <c r="S661" s="451"/>
      <c r="T661" s="450"/>
      <c r="U661" s="451"/>
      <c r="V661" s="450"/>
      <c r="W661" s="450"/>
      <c r="X661" s="450"/>
      <c r="Y661" s="450"/>
      <c r="Z661" s="450"/>
    </row>
    <row r="662" spans="1:26" x14ac:dyDescent="0.25">
      <c r="A662" s="446" t="s">
        <v>5421</v>
      </c>
      <c r="B662" s="446"/>
      <c r="C662" s="446" t="s">
        <v>1456</v>
      </c>
      <c r="D662" s="446" t="s">
        <v>5422</v>
      </c>
      <c r="E662" s="448" t="s">
        <v>5423</v>
      </c>
      <c r="F662" s="448">
        <v>26193</v>
      </c>
      <c r="G662" s="446" t="s">
        <v>5418</v>
      </c>
      <c r="H662" s="446" t="s">
        <v>5424</v>
      </c>
      <c r="I662" s="446" t="s">
        <v>231</v>
      </c>
      <c r="J662" s="446" t="s">
        <v>746</v>
      </c>
      <c r="K662" s="446" t="s">
        <v>5425</v>
      </c>
      <c r="L662" s="450"/>
      <c r="M662" s="450"/>
      <c r="N662" s="450"/>
      <c r="O662" s="450"/>
      <c r="P662" s="450"/>
      <c r="Q662" s="450"/>
      <c r="R662" s="450"/>
      <c r="S662" s="451"/>
      <c r="T662" s="450"/>
      <c r="U662" s="451"/>
      <c r="V662" s="450"/>
      <c r="W662" s="450"/>
      <c r="X662" s="450"/>
      <c r="Y662" s="450"/>
      <c r="Z662" s="450"/>
    </row>
    <row r="663" spans="1:26" x14ac:dyDescent="0.25">
      <c r="A663" s="446" t="s">
        <v>5426</v>
      </c>
      <c r="B663" s="446"/>
      <c r="C663" s="446" t="s">
        <v>1456</v>
      </c>
      <c r="D663" s="446" t="s">
        <v>5427</v>
      </c>
      <c r="E663" s="448" t="s">
        <v>5428</v>
      </c>
      <c r="F663" s="448">
        <v>26231</v>
      </c>
      <c r="G663" s="446" t="s">
        <v>5370</v>
      </c>
      <c r="H663" s="446" t="s">
        <v>5429</v>
      </c>
      <c r="I663" s="446" t="s">
        <v>5207</v>
      </c>
      <c r="J663" s="446" t="s">
        <v>746</v>
      </c>
      <c r="K663" s="446" t="s">
        <v>5430</v>
      </c>
      <c r="L663" s="450"/>
      <c r="M663" s="450"/>
      <c r="N663" s="450"/>
      <c r="O663" s="450"/>
      <c r="P663" s="450"/>
      <c r="Q663" s="450"/>
      <c r="R663" s="450"/>
      <c r="S663" s="451"/>
      <c r="T663" s="450"/>
      <c r="U663" s="451"/>
      <c r="V663" s="450"/>
      <c r="W663" s="450"/>
      <c r="X663" s="450"/>
      <c r="Y663" s="450"/>
      <c r="Z663" s="450"/>
    </row>
    <row r="664" spans="1:26" x14ac:dyDescent="0.25">
      <c r="A664" s="446" t="s">
        <v>5431</v>
      </c>
      <c r="B664" s="446"/>
      <c r="C664" s="446" t="s">
        <v>1456</v>
      </c>
      <c r="D664" s="446" t="s">
        <v>5432</v>
      </c>
      <c r="E664" s="448" t="s">
        <v>5433</v>
      </c>
      <c r="F664" s="448">
        <v>26287</v>
      </c>
      <c r="G664" s="446" t="s">
        <v>5370</v>
      </c>
      <c r="H664" s="446" t="s">
        <v>5429</v>
      </c>
      <c r="I664" s="446" t="s">
        <v>4632</v>
      </c>
      <c r="J664" s="446" t="s">
        <v>746</v>
      </c>
      <c r="K664" s="446" t="s">
        <v>5434</v>
      </c>
      <c r="L664" s="450"/>
      <c r="M664" s="450"/>
      <c r="N664" s="450"/>
      <c r="O664" s="450"/>
      <c r="P664" s="450"/>
      <c r="Q664" s="450"/>
      <c r="R664" s="450"/>
      <c r="S664" s="451"/>
      <c r="T664" s="450"/>
      <c r="U664" s="451"/>
      <c r="V664" s="450"/>
      <c r="W664" s="450"/>
      <c r="X664" s="450"/>
      <c r="Y664" s="450"/>
      <c r="Z664" s="450"/>
    </row>
    <row r="665" spans="1:26" x14ac:dyDescent="0.25">
      <c r="A665" s="446" t="s">
        <v>5435</v>
      </c>
      <c r="B665" s="446"/>
      <c r="C665" s="446" t="s">
        <v>202</v>
      </c>
      <c r="D665" s="446" t="s">
        <v>5436</v>
      </c>
      <c r="E665" s="448" t="s">
        <v>5437</v>
      </c>
      <c r="F665" s="448">
        <v>26500</v>
      </c>
      <c r="G665" s="446" t="s">
        <v>5438</v>
      </c>
      <c r="H665" s="446" t="s">
        <v>5419</v>
      </c>
      <c r="I665" s="446" t="s">
        <v>4632</v>
      </c>
      <c r="J665" s="446" t="s">
        <v>746</v>
      </c>
      <c r="K665" s="446" t="s">
        <v>5439</v>
      </c>
      <c r="L665" s="450"/>
      <c r="M665" s="450"/>
      <c r="N665" s="450"/>
      <c r="O665" s="450"/>
      <c r="P665" s="450"/>
      <c r="Q665" s="450"/>
      <c r="R665" s="450"/>
      <c r="S665" s="451"/>
      <c r="T665" s="450"/>
      <c r="U665" s="451"/>
      <c r="V665" s="450"/>
      <c r="W665" s="450"/>
      <c r="X665" s="450"/>
      <c r="Y665" s="450"/>
      <c r="Z665" s="450"/>
    </row>
    <row r="666" spans="1:26" x14ac:dyDescent="0.25">
      <c r="A666" s="446" t="s">
        <v>5440</v>
      </c>
      <c r="B666" s="446"/>
      <c r="C666" s="446" t="s">
        <v>1456</v>
      </c>
      <c r="D666" s="446" t="s">
        <v>5441</v>
      </c>
      <c r="E666" s="448" t="s">
        <v>5437</v>
      </c>
      <c r="F666" s="448">
        <v>26500</v>
      </c>
      <c r="G666" s="446" t="s">
        <v>5442</v>
      </c>
      <c r="H666" s="446" t="s">
        <v>5419</v>
      </c>
      <c r="I666" s="446" t="s">
        <v>4632</v>
      </c>
      <c r="J666" s="446" t="s">
        <v>746</v>
      </c>
      <c r="K666" s="446" t="s">
        <v>5443</v>
      </c>
      <c r="L666" s="450"/>
      <c r="M666" s="450"/>
      <c r="N666" s="450"/>
      <c r="O666" s="450"/>
      <c r="P666" s="450"/>
      <c r="Q666" s="450"/>
      <c r="R666" s="450"/>
      <c r="S666" s="451"/>
      <c r="T666" s="450"/>
      <c r="U666" s="451"/>
      <c r="V666" s="450"/>
      <c r="W666" s="450"/>
      <c r="X666" s="450"/>
      <c r="Y666" s="450"/>
      <c r="Z666" s="450"/>
    </row>
    <row r="667" spans="1:26" x14ac:dyDescent="0.25">
      <c r="A667" s="446" t="s">
        <v>5444</v>
      </c>
      <c r="B667" s="446"/>
      <c r="C667" s="446" t="s">
        <v>756</v>
      </c>
      <c r="D667" s="446" t="s">
        <v>5445</v>
      </c>
      <c r="E667" s="448" t="s">
        <v>5437</v>
      </c>
      <c r="F667" s="448">
        <v>26500</v>
      </c>
      <c r="G667" s="446" t="s">
        <v>5446</v>
      </c>
      <c r="H667" s="446" t="s">
        <v>186</v>
      </c>
      <c r="I667" s="446" t="s">
        <v>4632</v>
      </c>
      <c r="J667" s="446" t="s">
        <v>760</v>
      </c>
      <c r="K667" s="446" t="s">
        <v>5447</v>
      </c>
      <c r="L667" s="450"/>
      <c r="M667" s="450"/>
      <c r="N667" s="450"/>
      <c r="O667" s="450"/>
      <c r="P667" s="450"/>
      <c r="Q667" s="450"/>
      <c r="R667" s="450"/>
      <c r="S667" s="451"/>
      <c r="T667" s="450"/>
      <c r="U667" s="451"/>
      <c r="V667" s="450"/>
      <c r="W667" s="450"/>
      <c r="X667" s="450"/>
      <c r="Y667" s="450"/>
      <c r="Z667" s="450"/>
    </row>
    <row r="668" spans="1:26" x14ac:dyDescent="0.25">
      <c r="A668" s="446" t="s">
        <v>5448</v>
      </c>
      <c r="B668" s="446"/>
      <c r="C668" s="446" t="s">
        <v>202</v>
      </c>
      <c r="D668" s="446" t="s">
        <v>5449</v>
      </c>
      <c r="E668" s="448" t="s">
        <v>5437</v>
      </c>
      <c r="F668" s="448">
        <v>26500</v>
      </c>
      <c r="G668" s="446" t="s">
        <v>5450</v>
      </c>
      <c r="H668" s="446" t="s">
        <v>5419</v>
      </c>
      <c r="I668" s="446" t="s">
        <v>4632</v>
      </c>
      <c r="J668" s="446" t="s">
        <v>746</v>
      </c>
      <c r="K668" s="446" t="s">
        <v>5451</v>
      </c>
      <c r="L668" s="450"/>
      <c r="M668" s="450"/>
      <c r="N668" s="450"/>
      <c r="O668" s="450"/>
      <c r="P668" s="450"/>
      <c r="Q668" s="450"/>
      <c r="R668" s="450"/>
      <c r="S668" s="451"/>
      <c r="T668" s="450"/>
      <c r="U668" s="451"/>
      <c r="V668" s="450"/>
      <c r="W668" s="450"/>
      <c r="X668" s="450"/>
      <c r="Y668" s="450"/>
      <c r="Z668" s="450"/>
    </row>
    <row r="669" spans="1:26" x14ac:dyDescent="0.25">
      <c r="A669" s="446" t="s">
        <v>5452</v>
      </c>
      <c r="B669" s="446"/>
      <c r="C669" s="446" t="s">
        <v>756</v>
      </c>
      <c r="D669" s="446" t="s">
        <v>5453</v>
      </c>
      <c r="E669" s="448" t="s">
        <v>5437</v>
      </c>
      <c r="F669" s="448">
        <v>26500</v>
      </c>
      <c r="G669" s="446" t="s">
        <v>5454</v>
      </c>
      <c r="H669" s="446" t="s">
        <v>5455</v>
      </c>
      <c r="I669" s="446" t="s">
        <v>4632</v>
      </c>
      <c r="J669" s="446" t="s">
        <v>760</v>
      </c>
      <c r="K669" s="446" t="s">
        <v>5456</v>
      </c>
      <c r="L669" s="450"/>
      <c r="M669" s="450"/>
      <c r="N669" s="450"/>
      <c r="O669" s="450"/>
      <c r="P669" s="450"/>
      <c r="Q669" s="450"/>
      <c r="R669" s="450"/>
      <c r="S669" s="451"/>
      <c r="T669" s="450"/>
      <c r="U669" s="451"/>
      <c r="V669" s="450"/>
      <c r="W669" s="450"/>
      <c r="X669" s="450"/>
      <c r="Y669" s="450"/>
      <c r="Z669" s="450"/>
    </row>
    <row r="670" spans="1:26" x14ac:dyDescent="0.25">
      <c r="A670" s="446" t="s">
        <v>5457</v>
      </c>
      <c r="B670" s="446"/>
      <c r="C670" s="446" t="s">
        <v>1456</v>
      </c>
      <c r="D670" s="446" t="s">
        <v>5458</v>
      </c>
      <c r="E670" s="448" t="s">
        <v>5437</v>
      </c>
      <c r="F670" s="448">
        <v>26500</v>
      </c>
      <c r="G670" s="446" t="s">
        <v>5459</v>
      </c>
      <c r="H670" s="446" t="s">
        <v>5419</v>
      </c>
      <c r="I670" s="446" t="s">
        <v>4632</v>
      </c>
      <c r="J670" s="446" t="s">
        <v>746</v>
      </c>
      <c r="K670" s="446" t="s">
        <v>5460</v>
      </c>
      <c r="L670" s="450"/>
      <c r="M670" s="450"/>
      <c r="N670" s="450"/>
      <c r="O670" s="450"/>
      <c r="P670" s="450"/>
      <c r="Q670" s="450"/>
      <c r="R670" s="450"/>
      <c r="S670" s="451"/>
      <c r="T670" s="450"/>
      <c r="U670" s="451"/>
      <c r="V670" s="450"/>
      <c r="W670" s="450"/>
      <c r="X670" s="450"/>
      <c r="Y670" s="450"/>
      <c r="Z670" s="450"/>
    </row>
    <row r="671" spans="1:26" x14ac:dyDescent="0.25">
      <c r="A671" s="446" t="s">
        <v>5461</v>
      </c>
      <c r="B671" s="446"/>
      <c r="C671" s="446" t="s">
        <v>202</v>
      </c>
      <c r="D671" s="446" t="s">
        <v>5462</v>
      </c>
      <c r="E671" s="448" t="s">
        <v>5463</v>
      </c>
      <c r="F671" s="448">
        <v>26791</v>
      </c>
      <c r="G671" s="446" t="s">
        <v>5464</v>
      </c>
      <c r="H671" s="446" t="s">
        <v>1183</v>
      </c>
      <c r="I671" s="446" t="s">
        <v>231</v>
      </c>
      <c r="J671" s="446" t="s">
        <v>746</v>
      </c>
      <c r="K671" s="446" t="s">
        <v>5465</v>
      </c>
      <c r="L671" s="450"/>
      <c r="M671" s="450"/>
      <c r="N671" s="450"/>
      <c r="O671" s="450"/>
      <c r="P671" s="450"/>
      <c r="Q671" s="450"/>
      <c r="R671" s="450"/>
      <c r="S671" s="451"/>
      <c r="T671" s="450"/>
      <c r="U671" s="451"/>
      <c r="V671" s="450"/>
      <c r="W671" s="450"/>
      <c r="X671" s="450"/>
      <c r="Y671" s="450"/>
      <c r="Z671" s="450"/>
    </row>
    <row r="672" spans="1:26" x14ac:dyDescent="0.25">
      <c r="A672" s="446" t="s">
        <v>5466</v>
      </c>
      <c r="B672" s="446"/>
      <c r="C672" s="446" t="s">
        <v>202</v>
      </c>
      <c r="D672" s="446" t="s">
        <v>5467</v>
      </c>
      <c r="E672" s="448" t="s">
        <v>5468</v>
      </c>
      <c r="F672" s="448">
        <v>26882</v>
      </c>
      <c r="G672" s="446" t="s">
        <v>5469</v>
      </c>
      <c r="H672" s="446" t="s">
        <v>1183</v>
      </c>
      <c r="I672" s="446" t="s">
        <v>231</v>
      </c>
      <c r="J672" s="446" t="s">
        <v>746</v>
      </c>
      <c r="K672" s="446" t="s">
        <v>5470</v>
      </c>
      <c r="L672" s="450"/>
      <c r="M672" s="450"/>
      <c r="N672" s="450"/>
      <c r="O672" s="450"/>
      <c r="P672" s="450"/>
      <c r="Q672" s="450"/>
      <c r="R672" s="450"/>
      <c r="S672" s="451"/>
      <c r="T672" s="450"/>
      <c r="U672" s="451"/>
      <c r="V672" s="450"/>
      <c r="W672" s="450"/>
      <c r="X672" s="450"/>
      <c r="Y672" s="450"/>
      <c r="Z672" s="450"/>
    </row>
    <row r="673" spans="1:26" x14ac:dyDescent="0.25">
      <c r="A673" s="446" t="s">
        <v>5471</v>
      </c>
      <c r="B673" s="446"/>
      <c r="C673" s="446" t="s">
        <v>202</v>
      </c>
      <c r="D673" s="446" t="s">
        <v>5472</v>
      </c>
      <c r="E673" s="448" t="s">
        <v>5473</v>
      </c>
      <c r="F673" s="448">
        <v>27036</v>
      </c>
      <c r="G673" s="446" t="s">
        <v>5474</v>
      </c>
      <c r="H673" s="446" t="s">
        <v>1183</v>
      </c>
      <c r="I673" s="446" t="s">
        <v>4632</v>
      </c>
      <c r="J673" s="446" t="s">
        <v>746</v>
      </c>
      <c r="K673" s="446" t="s">
        <v>5475</v>
      </c>
      <c r="L673" s="450"/>
      <c r="M673" s="450"/>
      <c r="N673" s="450"/>
      <c r="O673" s="450"/>
      <c r="P673" s="450"/>
      <c r="Q673" s="450"/>
      <c r="R673" s="450"/>
      <c r="S673" s="451"/>
      <c r="T673" s="450"/>
      <c r="U673" s="451"/>
      <c r="V673" s="450"/>
      <c r="W673" s="450"/>
      <c r="X673" s="450"/>
      <c r="Y673" s="450"/>
      <c r="Z673" s="450"/>
    </row>
    <row r="674" spans="1:26" x14ac:dyDescent="0.25">
      <c r="A674" s="446" t="s">
        <v>5476</v>
      </c>
      <c r="B674" s="446"/>
      <c r="C674" s="446" t="s">
        <v>408</v>
      </c>
      <c r="D674" s="446" t="s">
        <v>5477</v>
      </c>
      <c r="E674" s="448" t="s">
        <v>5478</v>
      </c>
      <c r="F674" s="448">
        <v>27121</v>
      </c>
      <c r="G674" s="446" t="s">
        <v>682</v>
      </c>
      <c r="H674" s="446" t="s">
        <v>4333</v>
      </c>
      <c r="I674" s="446" t="s">
        <v>231</v>
      </c>
      <c r="J674" s="446" t="s">
        <v>4604</v>
      </c>
      <c r="K674" s="446" t="s">
        <v>5479</v>
      </c>
      <c r="L674" s="450"/>
      <c r="M674" s="450"/>
      <c r="N674" s="450"/>
      <c r="O674" s="450"/>
      <c r="P674" s="450"/>
      <c r="Q674" s="450"/>
      <c r="R674" s="450"/>
      <c r="S674" s="451"/>
      <c r="T674" s="450"/>
      <c r="U674" s="451"/>
      <c r="V674" s="450"/>
      <c r="W674" s="450"/>
      <c r="X674" s="450"/>
      <c r="Y674" s="450"/>
      <c r="Z674" s="450"/>
    </row>
    <row r="675" spans="1:26" x14ac:dyDescent="0.25">
      <c r="A675" s="446" t="s">
        <v>5480</v>
      </c>
      <c r="B675" s="446"/>
      <c r="C675" s="446" t="s">
        <v>202</v>
      </c>
      <c r="D675" s="446" t="s">
        <v>5481</v>
      </c>
      <c r="E675" s="448" t="s">
        <v>5482</v>
      </c>
      <c r="F675" s="448">
        <v>27148</v>
      </c>
      <c r="G675" s="446" t="s">
        <v>5483</v>
      </c>
      <c r="H675" s="446" t="s">
        <v>5484</v>
      </c>
      <c r="I675" s="446" t="s">
        <v>4632</v>
      </c>
      <c r="J675" s="446" t="s">
        <v>746</v>
      </c>
      <c r="K675" s="446" t="s">
        <v>5485</v>
      </c>
      <c r="L675" s="450"/>
      <c r="M675" s="450"/>
      <c r="N675" s="450"/>
      <c r="O675" s="450"/>
      <c r="P675" s="450"/>
      <c r="Q675" s="450"/>
      <c r="R675" s="450"/>
      <c r="S675" s="451"/>
      <c r="T675" s="450"/>
      <c r="U675" s="451"/>
      <c r="V675" s="450"/>
      <c r="W675" s="450"/>
      <c r="X675" s="450"/>
      <c r="Y675" s="450"/>
      <c r="Z675" s="450"/>
    </row>
    <row r="676" spans="1:26" x14ac:dyDescent="0.25">
      <c r="A676" s="446" t="s">
        <v>691</v>
      </c>
      <c r="B676" s="446"/>
      <c r="C676" s="446" t="s">
        <v>408</v>
      </c>
      <c r="D676" s="446" t="s">
        <v>5486</v>
      </c>
      <c r="E676" s="448" t="s">
        <v>5487</v>
      </c>
      <c r="F676" s="448">
        <v>27163</v>
      </c>
      <c r="G676" s="446" t="s">
        <v>4335</v>
      </c>
      <c r="H676" s="446" t="s">
        <v>694</v>
      </c>
      <c r="I676" s="446" t="s">
        <v>4632</v>
      </c>
      <c r="J676" s="446" t="s">
        <v>4604</v>
      </c>
      <c r="K676" s="446" t="s">
        <v>5488</v>
      </c>
      <c r="L676" s="450"/>
      <c r="M676" s="450"/>
      <c r="N676" s="450"/>
      <c r="O676" s="450"/>
      <c r="P676" s="450"/>
      <c r="Q676" s="450"/>
      <c r="R676" s="450"/>
      <c r="S676" s="451"/>
      <c r="T676" s="450"/>
      <c r="U676" s="451"/>
      <c r="V676" s="450"/>
      <c r="W676" s="450"/>
      <c r="X676" s="450"/>
      <c r="Y676" s="450"/>
      <c r="Z676" s="450"/>
    </row>
    <row r="677" spans="1:26" x14ac:dyDescent="0.25">
      <c r="A677" s="446" t="s">
        <v>696</v>
      </c>
      <c r="B677" s="446"/>
      <c r="C677" s="446" t="s">
        <v>408</v>
      </c>
      <c r="D677" s="446" t="s">
        <v>5489</v>
      </c>
      <c r="E677" s="448" t="s">
        <v>5490</v>
      </c>
      <c r="F677" s="448">
        <v>27171</v>
      </c>
      <c r="G677" s="446" t="s">
        <v>694</v>
      </c>
      <c r="H677" s="446" t="s">
        <v>698</v>
      </c>
      <c r="I677" s="446" t="s">
        <v>4632</v>
      </c>
      <c r="J677" s="446" t="s">
        <v>4604</v>
      </c>
      <c r="K677" s="446" t="s">
        <v>5491</v>
      </c>
      <c r="L677" s="450"/>
      <c r="M677" s="450"/>
      <c r="N677" s="450"/>
      <c r="O677" s="450"/>
      <c r="P677" s="450"/>
      <c r="Q677" s="450"/>
      <c r="R677" s="450"/>
      <c r="S677" s="451"/>
      <c r="T677" s="450"/>
      <c r="U677" s="451"/>
      <c r="V677" s="450"/>
      <c r="W677" s="450"/>
      <c r="X677" s="450"/>
      <c r="Y677" s="450"/>
      <c r="Z677" s="450"/>
    </row>
    <row r="678" spans="1:26" x14ac:dyDescent="0.25">
      <c r="A678" s="446" t="s">
        <v>700</v>
      </c>
      <c r="B678" s="446"/>
      <c r="C678" s="446" t="s">
        <v>408</v>
      </c>
      <c r="D678" s="446" t="s">
        <v>5492</v>
      </c>
      <c r="E678" s="448" t="s">
        <v>5493</v>
      </c>
      <c r="F678" s="448">
        <v>27207</v>
      </c>
      <c r="G678" s="446" t="s">
        <v>694</v>
      </c>
      <c r="H678" s="446" t="s">
        <v>702</v>
      </c>
      <c r="I678" s="446" t="s">
        <v>4632</v>
      </c>
      <c r="J678" s="446" t="s">
        <v>4604</v>
      </c>
      <c r="K678" s="446" t="s">
        <v>5494</v>
      </c>
      <c r="L678" s="450"/>
      <c r="M678" s="450"/>
      <c r="N678" s="450"/>
      <c r="O678" s="450"/>
      <c r="P678" s="450"/>
      <c r="Q678" s="450"/>
      <c r="R678" s="450"/>
      <c r="S678" s="451"/>
      <c r="T678" s="450"/>
      <c r="U678" s="451"/>
      <c r="V678" s="450"/>
      <c r="W678" s="450"/>
      <c r="X678" s="450"/>
      <c r="Y678" s="450"/>
      <c r="Z678" s="450"/>
    </row>
    <row r="679" spans="1:26" x14ac:dyDescent="0.25">
      <c r="A679" s="446" t="s">
        <v>704</v>
      </c>
      <c r="B679" s="446"/>
      <c r="C679" s="446" t="s">
        <v>408</v>
      </c>
      <c r="D679" s="446" t="s">
        <v>5495</v>
      </c>
      <c r="E679" s="448" t="s">
        <v>5496</v>
      </c>
      <c r="F679" s="448">
        <v>27481</v>
      </c>
      <c r="G679" s="446" t="s">
        <v>694</v>
      </c>
      <c r="H679" s="446" t="s">
        <v>706</v>
      </c>
      <c r="I679" s="446" t="s">
        <v>4632</v>
      </c>
      <c r="J679" s="446" t="s">
        <v>4604</v>
      </c>
      <c r="K679" s="446" t="s">
        <v>5497</v>
      </c>
      <c r="L679" s="450"/>
      <c r="M679" s="450"/>
      <c r="N679" s="450"/>
      <c r="O679" s="450"/>
      <c r="P679" s="450"/>
      <c r="Q679" s="450"/>
      <c r="R679" s="450"/>
      <c r="S679" s="451"/>
      <c r="T679" s="450"/>
      <c r="U679" s="451"/>
      <c r="V679" s="450"/>
      <c r="W679" s="450"/>
      <c r="X679" s="450"/>
      <c r="Y679" s="450"/>
      <c r="Z679" s="450"/>
    </row>
    <row r="680" spans="1:26" x14ac:dyDescent="0.25">
      <c r="A680" s="446" t="s">
        <v>5498</v>
      </c>
      <c r="B680" s="446"/>
      <c r="C680" s="446" t="s">
        <v>202</v>
      </c>
      <c r="D680" s="446" t="s">
        <v>5499</v>
      </c>
      <c r="E680" s="448" t="s">
        <v>5500</v>
      </c>
      <c r="F680" s="448">
        <v>27862</v>
      </c>
      <c r="G680" s="446" t="s">
        <v>5501</v>
      </c>
      <c r="H680" s="446" t="s">
        <v>5502</v>
      </c>
      <c r="I680" s="446" t="s">
        <v>231</v>
      </c>
      <c r="J680" s="446" t="s">
        <v>746</v>
      </c>
      <c r="K680" s="446" t="s">
        <v>5503</v>
      </c>
      <c r="L680" s="450"/>
      <c r="M680" s="450"/>
      <c r="N680" s="450"/>
      <c r="O680" s="450"/>
      <c r="P680" s="450"/>
      <c r="Q680" s="450"/>
      <c r="R680" s="450"/>
      <c r="S680" s="451"/>
      <c r="T680" s="450"/>
      <c r="U680" s="451"/>
      <c r="V680" s="450"/>
      <c r="W680" s="450"/>
      <c r="X680" s="450"/>
      <c r="Y680" s="450"/>
      <c r="Z680" s="450"/>
    </row>
    <row r="681" spans="1:26" x14ac:dyDescent="0.25">
      <c r="A681" s="446" t="s">
        <v>707</v>
      </c>
      <c r="B681" s="446"/>
      <c r="C681" s="446" t="s">
        <v>408</v>
      </c>
      <c r="D681" s="446" t="s">
        <v>5504</v>
      </c>
      <c r="E681" s="448" t="s">
        <v>5505</v>
      </c>
      <c r="F681" s="448">
        <v>28005</v>
      </c>
      <c r="G681" s="446" t="s">
        <v>4333</v>
      </c>
      <c r="H681" s="446" t="s">
        <v>710</v>
      </c>
      <c r="I681" s="446" t="s">
        <v>231</v>
      </c>
      <c r="J681" s="446" t="s">
        <v>4604</v>
      </c>
      <c r="K681" s="446" t="s">
        <v>5506</v>
      </c>
      <c r="L681" s="450"/>
      <c r="M681" s="450"/>
      <c r="N681" s="450"/>
      <c r="O681" s="450"/>
      <c r="P681" s="450"/>
      <c r="Q681" s="450"/>
      <c r="R681" s="450"/>
      <c r="S681" s="451"/>
      <c r="T681" s="450"/>
      <c r="U681" s="451"/>
      <c r="V681" s="450"/>
      <c r="W681" s="450"/>
      <c r="X681" s="450"/>
      <c r="Y681" s="450"/>
      <c r="Z681" s="450"/>
    </row>
    <row r="682" spans="1:26" x14ac:dyDescent="0.25">
      <c r="A682" s="446" t="s">
        <v>5507</v>
      </c>
      <c r="B682" s="446"/>
      <c r="C682" s="446" t="s">
        <v>1456</v>
      </c>
      <c r="D682" s="446" t="s">
        <v>5508</v>
      </c>
      <c r="E682" s="448" t="s">
        <v>5509</v>
      </c>
      <c r="F682" s="448">
        <v>27964</v>
      </c>
      <c r="G682" s="446" t="s">
        <v>5502</v>
      </c>
      <c r="H682" s="446" t="s">
        <v>5510</v>
      </c>
      <c r="I682" s="446" t="s">
        <v>5511</v>
      </c>
      <c r="J682" s="446" t="s">
        <v>746</v>
      </c>
      <c r="K682" s="446" t="s">
        <v>5512</v>
      </c>
      <c r="L682" s="450"/>
      <c r="M682" s="450"/>
      <c r="N682" s="450"/>
      <c r="O682" s="450"/>
      <c r="P682" s="450"/>
      <c r="Q682" s="450"/>
      <c r="R682" s="450"/>
      <c r="S682" s="451"/>
      <c r="T682" s="450"/>
      <c r="U682" s="451"/>
      <c r="V682" s="450"/>
      <c r="W682" s="450"/>
      <c r="X682" s="450"/>
      <c r="Y682" s="450"/>
      <c r="Z682" s="450"/>
    </row>
    <row r="683" spans="1:26" x14ac:dyDescent="0.25">
      <c r="A683" s="446" t="s">
        <v>5513</v>
      </c>
      <c r="B683" s="446"/>
      <c r="C683" s="446" t="s">
        <v>1456</v>
      </c>
      <c r="D683" s="446" t="s">
        <v>5514</v>
      </c>
      <c r="E683" s="448" t="s">
        <v>5515</v>
      </c>
      <c r="F683" s="448">
        <v>27962</v>
      </c>
      <c r="G683" s="446" t="s">
        <v>5502</v>
      </c>
      <c r="H683" s="446" t="s">
        <v>5429</v>
      </c>
      <c r="I683" s="446" t="s">
        <v>5511</v>
      </c>
      <c r="J683" s="446" t="s">
        <v>746</v>
      </c>
      <c r="K683" s="446" t="s">
        <v>5516</v>
      </c>
      <c r="L683" s="450"/>
      <c r="M683" s="450"/>
      <c r="N683" s="450"/>
      <c r="O683" s="450"/>
      <c r="P683" s="450"/>
      <c r="Q683" s="450"/>
      <c r="R683" s="450"/>
      <c r="S683" s="451"/>
      <c r="T683" s="450"/>
      <c r="U683" s="451"/>
      <c r="V683" s="450"/>
      <c r="W683" s="450"/>
      <c r="X683" s="450"/>
      <c r="Y683" s="450"/>
      <c r="Z683" s="450"/>
    </row>
    <row r="684" spans="1:26" x14ac:dyDescent="0.25">
      <c r="A684" s="446" t="s">
        <v>5517</v>
      </c>
      <c r="B684" s="446"/>
      <c r="C684" s="446" t="s">
        <v>202</v>
      </c>
      <c r="D684" s="446" t="s">
        <v>5518</v>
      </c>
      <c r="E684" s="448" t="s">
        <v>5515</v>
      </c>
      <c r="F684" s="448">
        <v>28167</v>
      </c>
      <c r="G684" s="446" t="s">
        <v>5519</v>
      </c>
      <c r="H684" s="446" t="s">
        <v>5520</v>
      </c>
      <c r="I684" s="446" t="s">
        <v>4632</v>
      </c>
      <c r="J684" s="446" t="s">
        <v>746</v>
      </c>
      <c r="K684" s="446" t="s">
        <v>5521</v>
      </c>
      <c r="L684" s="450"/>
      <c r="M684" s="450"/>
      <c r="N684" s="450"/>
      <c r="O684" s="450"/>
      <c r="P684" s="450"/>
      <c r="Q684" s="450"/>
      <c r="R684" s="450"/>
      <c r="S684" s="451"/>
      <c r="T684" s="450"/>
      <c r="U684" s="451"/>
      <c r="V684" s="450"/>
      <c r="W684" s="450"/>
      <c r="X684" s="450"/>
      <c r="Y684" s="450"/>
      <c r="Z684" s="450"/>
    </row>
    <row r="685" spans="1:26" x14ac:dyDescent="0.25">
      <c r="A685" s="446" t="s">
        <v>5522</v>
      </c>
      <c r="B685" s="446"/>
      <c r="C685" s="446" t="s">
        <v>1456</v>
      </c>
      <c r="D685" s="446" t="s">
        <v>5523</v>
      </c>
      <c r="E685" s="448" t="s">
        <v>5524</v>
      </c>
      <c r="F685" s="448">
        <v>28412</v>
      </c>
      <c r="G685" s="446" t="s">
        <v>5429</v>
      </c>
      <c r="H685" s="446" t="s">
        <v>5502</v>
      </c>
      <c r="I685" s="446" t="s">
        <v>4632</v>
      </c>
      <c r="J685" s="446" t="s">
        <v>746</v>
      </c>
      <c r="K685" s="446" t="s">
        <v>5525</v>
      </c>
      <c r="L685" s="450"/>
      <c r="M685" s="450"/>
      <c r="N685" s="450"/>
      <c r="O685" s="450"/>
      <c r="P685" s="450"/>
      <c r="Q685" s="450"/>
      <c r="R685" s="450"/>
      <c r="S685" s="451"/>
      <c r="T685" s="450"/>
      <c r="U685" s="451"/>
      <c r="V685" s="450"/>
      <c r="W685" s="450"/>
      <c r="X685" s="450"/>
      <c r="Y685" s="450"/>
      <c r="Z685" s="450"/>
    </row>
    <row r="686" spans="1:26" x14ac:dyDescent="0.25">
      <c r="A686" s="446" t="s">
        <v>713</v>
      </c>
      <c r="B686" s="446"/>
      <c r="C686" s="446" t="s">
        <v>408</v>
      </c>
      <c r="D686" s="446" t="s">
        <v>5526</v>
      </c>
      <c r="E686" s="448" t="s">
        <v>5527</v>
      </c>
      <c r="F686" s="448">
        <v>28445</v>
      </c>
      <c r="G686" s="446" t="s">
        <v>710</v>
      </c>
      <c r="H686" s="446" t="s">
        <v>4342</v>
      </c>
      <c r="I686" s="446" t="s">
        <v>231</v>
      </c>
      <c r="J686" s="446" t="s">
        <v>4604</v>
      </c>
      <c r="K686" s="446" t="s">
        <v>5528</v>
      </c>
      <c r="L686" s="450"/>
      <c r="M686" s="450"/>
      <c r="N686" s="450"/>
      <c r="O686" s="450"/>
      <c r="P686" s="450"/>
      <c r="Q686" s="450"/>
      <c r="R686" s="450"/>
      <c r="S686" s="451"/>
      <c r="T686" s="450"/>
      <c r="U686" s="451"/>
      <c r="V686" s="450"/>
      <c r="W686" s="450"/>
      <c r="X686" s="450"/>
      <c r="Y686" s="450"/>
      <c r="Z686" s="450"/>
    </row>
    <row r="687" spans="1:26" x14ac:dyDescent="0.25">
      <c r="A687" s="446" t="s">
        <v>5529</v>
      </c>
      <c r="B687" s="446"/>
      <c r="C687" s="446" t="s">
        <v>202</v>
      </c>
      <c r="D687" s="446" t="s">
        <v>5530</v>
      </c>
      <c r="E687" s="448" t="s">
        <v>5531</v>
      </c>
      <c r="F687" s="448">
        <v>28447</v>
      </c>
      <c r="G687" s="446" t="s">
        <v>5532</v>
      </c>
      <c r="H687" s="446" t="s">
        <v>5533</v>
      </c>
      <c r="I687" s="446" t="s">
        <v>4632</v>
      </c>
      <c r="J687" s="446" t="s">
        <v>746</v>
      </c>
      <c r="K687" s="446" t="s">
        <v>5534</v>
      </c>
      <c r="L687" s="450"/>
      <c r="M687" s="450"/>
      <c r="N687" s="450"/>
      <c r="O687" s="450"/>
      <c r="P687" s="450"/>
      <c r="Q687" s="450"/>
      <c r="R687" s="450"/>
      <c r="S687" s="451"/>
      <c r="T687" s="450"/>
      <c r="U687" s="451"/>
      <c r="V687" s="450"/>
      <c r="W687" s="450"/>
      <c r="X687" s="450"/>
      <c r="Y687" s="450"/>
      <c r="Z687" s="450"/>
    </row>
    <row r="688" spans="1:26" x14ac:dyDescent="0.25">
      <c r="A688" s="446" t="s">
        <v>5535</v>
      </c>
      <c r="B688" s="446"/>
      <c r="C688" s="446" t="s">
        <v>202</v>
      </c>
      <c r="D688" s="446" t="s">
        <v>5536</v>
      </c>
      <c r="E688" s="448" t="s">
        <v>5537</v>
      </c>
      <c r="F688" s="448">
        <v>28583</v>
      </c>
      <c r="G688" s="446" t="s">
        <v>5538</v>
      </c>
      <c r="H688" s="446" t="s">
        <v>5340</v>
      </c>
      <c r="I688" s="446" t="s">
        <v>231</v>
      </c>
      <c r="J688" s="446" t="s">
        <v>746</v>
      </c>
      <c r="K688" s="446" t="s">
        <v>5539</v>
      </c>
      <c r="L688" s="450"/>
      <c r="M688" s="450"/>
      <c r="N688" s="450"/>
      <c r="O688" s="450"/>
      <c r="P688" s="450"/>
      <c r="Q688" s="450"/>
      <c r="R688" s="450"/>
      <c r="S688" s="451"/>
      <c r="T688" s="450"/>
      <c r="U688" s="451"/>
      <c r="V688" s="450"/>
      <c r="W688" s="450"/>
      <c r="X688" s="450"/>
      <c r="Y688" s="450"/>
      <c r="Z688" s="450"/>
    </row>
    <row r="689" spans="1:26" x14ac:dyDescent="0.25">
      <c r="A689" s="446" t="s">
        <v>718</v>
      </c>
      <c r="B689" s="446"/>
      <c r="C689" s="446" t="s">
        <v>408</v>
      </c>
      <c r="D689" s="446" t="s">
        <v>5540</v>
      </c>
      <c r="E689" s="448" t="s">
        <v>5537</v>
      </c>
      <c r="F689" s="448">
        <v>28583</v>
      </c>
      <c r="G689" s="446" t="s">
        <v>4344</v>
      </c>
      <c r="H689" s="446" t="s">
        <v>721</v>
      </c>
      <c r="I689" s="446" t="s">
        <v>4632</v>
      </c>
      <c r="J689" s="446" t="s">
        <v>4604</v>
      </c>
      <c r="K689" s="446" t="s">
        <v>5541</v>
      </c>
      <c r="L689" s="450"/>
      <c r="M689" s="450"/>
      <c r="N689" s="450"/>
      <c r="O689" s="450"/>
      <c r="P689" s="450"/>
      <c r="Q689" s="450"/>
      <c r="R689" s="450"/>
      <c r="S689" s="451"/>
      <c r="T689" s="450"/>
      <c r="U689" s="451"/>
      <c r="V689" s="450"/>
      <c r="W689" s="450"/>
      <c r="X689" s="450"/>
      <c r="Y689" s="450"/>
      <c r="Z689" s="450"/>
    </row>
    <row r="690" spans="1:26" x14ac:dyDescent="0.25">
      <c r="A690" s="446" t="s">
        <v>724</v>
      </c>
      <c r="B690" s="446"/>
      <c r="C690" s="446" t="s">
        <v>408</v>
      </c>
      <c r="D690" s="446" t="s">
        <v>5542</v>
      </c>
      <c r="E690" s="448" t="s">
        <v>5537</v>
      </c>
      <c r="F690" s="448">
        <v>28583</v>
      </c>
      <c r="G690" s="446" t="s">
        <v>4344</v>
      </c>
      <c r="H690" s="446" t="s">
        <v>726</v>
      </c>
      <c r="I690" s="446" t="s">
        <v>4632</v>
      </c>
      <c r="J690" s="446" t="s">
        <v>4604</v>
      </c>
      <c r="K690" s="446" t="s">
        <v>5543</v>
      </c>
      <c r="L690" s="450"/>
      <c r="M690" s="450"/>
      <c r="N690" s="450"/>
      <c r="O690" s="450"/>
      <c r="P690" s="450"/>
      <c r="Q690" s="450"/>
      <c r="R690" s="450"/>
      <c r="S690" s="451"/>
      <c r="T690" s="450"/>
      <c r="U690" s="451"/>
      <c r="V690" s="450"/>
      <c r="W690" s="450"/>
      <c r="X690" s="450"/>
      <c r="Y690" s="450"/>
      <c r="Z690" s="450"/>
    </row>
    <row r="691" spans="1:26" x14ac:dyDescent="0.25">
      <c r="A691" s="446" t="s">
        <v>727</v>
      </c>
      <c r="B691" s="446"/>
      <c r="C691" s="446" t="s">
        <v>408</v>
      </c>
      <c r="D691" s="446" t="s">
        <v>5544</v>
      </c>
      <c r="E691" s="448" t="s">
        <v>5537</v>
      </c>
      <c r="F691" s="448">
        <v>28583</v>
      </c>
      <c r="G691" s="446" t="s">
        <v>4344</v>
      </c>
      <c r="H691" s="446" t="s">
        <v>355</v>
      </c>
      <c r="I691" s="446" t="s">
        <v>4632</v>
      </c>
      <c r="J691" s="446" t="s">
        <v>4604</v>
      </c>
      <c r="K691" s="446" t="s">
        <v>5545</v>
      </c>
      <c r="L691" s="450"/>
      <c r="M691" s="450"/>
      <c r="N691" s="450"/>
      <c r="O691" s="450"/>
      <c r="P691" s="450"/>
      <c r="Q691" s="450"/>
      <c r="R691" s="450"/>
      <c r="S691" s="451"/>
      <c r="T691" s="450"/>
      <c r="U691" s="451"/>
      <c r="V691" s="450"/>
      <c r="W691" s="450"/>
      <c r="X691" s="450"/>
      <c r="Y691" s="450"/>
      <c r="Z691" s="450"/>
    </row>
    <row r="692" spans="1:26" x14ac:dyDescent="0.25">
      <c r="A692" s="446" t="s">
        <v>729</v>
      </c>
      <c r="B692" s="446"/>
      <c r="C692" s="446" t="s">
        <v>408</v>
      </c>
      <c r="D692" s="446" t="s">
        <v>5546</v>
      </c>
      <c r="E692" s="448" t="s">
        <v>5537</v>
      </c>
      <c r="F692" s="448">
        <v>28583</v>
      </c>
      <c r="G692" s="446" t="s">
        <v>4344</v>
      </c>
      <c r="H692" s="446" t="s">
        <v>731</v>
      </c>
      <c r="I692" s="446" t="s">
        <v>4632</v>
      </c>
      <c r="J692" s="446" t="s">
        <v>4604</v>
      </c>
      <c r="K692" s="446" t="s">
        <v>5547</v>
      </c>
      <c r="L692" s="450"/>
      <c r="M692" s="450"/>
      <c r="N692" s="450"/>
      <c r="O692" s="450"/>
      <c r="P692" s="450"/>
      <c r="Q692" s="450"/>
      <c r="R692" s="450"/>
      <c r="S692" s="451"/>
      <c r="T692" s="450"/>
      <c r="U692" s="451"/>
      <c r="V692" s="450"/>
      <c r="W692" s="450"/>
      <c r="X692" s="450"/>
      <c r="Y692" s="450"/>
      <c r="Z692" s="450"/>
    </row>
    <row r="693" spans="1:26" x14ac:dyDescent="0.25">
      <c r="A693" s="446" t="s">
        <v>732</v>
      </c>
      <c r="B693" s="446"/>
      <c r="C693" s="446" t="s">
        <v>408</v>
      </c>
      <c r="D693" s="446" t="s">
        <v>5548</v>
      </c>
      <c r="E693" s="448" t="s">
        <v>5537</v>
      </c>
      <c r="F693" s="448">
        <v>28583</v>
      </c>
      <c r="G693" s="446" t="s">
        <v>4344</v>
      </c>
      <c r="H693" s="446" t="s">
        <v>214</v>
      </c>
      <c r="I693" s="446" t="s">
        <v>4632</v>
      </c>
      <c r="J693" s="446" t="s">
        <v>4604</v>
      </c>
      <c r="K693" s="446" t="s">
        <v>5549</v>
      </c>
      <c r="L693" s="450"/>
      <c r="M693" s="450"/>
      <c r="N693" s="450"/>
      <c r="O693" s="450"/>
      <c r="P693" s="450"/>
      <c r="Q693" s="450"/>
      <c r="R693" s="450"/>
      <c r="S693" s="451"/>
      <c r="T693" s="450"/>
      <c r="U693" s="451"/>
      <c r="V693" s="450"/>
      <c r="W693" s="450"/>
      <c r="X693" s="450"/>
      <c r="Y693" s="450"/>
      <c r="Z693" s="450"/>
    </row>
    <row r="694" spans="1:26" x14ac:dyDescent="0.25">
      <c r="A694" s="446" t="s">
        <v>734</v>
      </c>
      <c r="B694" s="446"/>
      <c r="C694" s="446" t="s">
        <v>408</v>
      </c>
      <c r="D694" s="446" t="s">
        <v>5550</v>
      </c>
      <c r="E694" s="448" t="s">
        <v>5537</v>
      </c>
      <c r="F694" s="448">
        <v>28583</v>
      </c>
      <c r="G694" s="446" t="s">
        <v>4344</v>
      </c>
      <c r="H694" s="446" t="s">
        <v>1396</v>
      </c>
      <c r="I694" s="446" t="s">
        <v>4632</v>
      </c>
      <c r="J694" s="446" t="s">
        <v>4604</v>
      </c>
      <c r="K694" s="446" t="s">
        <v>5551</v>
      </c>
      <c r="L694" s="450"/>
      <c r="M694" s="450"/>
      <c r="N694" s="450"/>
      <c r="O694" s="450"/>
      <c r="P694" s="450"/>
      <c r="Q694" s="450"/>
      <c r="R694" s="450"/>
      <c r="S694" s="451"/>
      <c r="T694" s="450"/>
      <c r="U694" s="451"/>
      <c r="V694" s="450"/>
      <c r="W694" s="450"/>
      <c r="X694" s="450"/>
      <c r="Y694" s="450"/>
      <c r="Z694" s="450"/>
    </row>
    <row r="695" spans="1:26" x14ac:dyDescent="0.25">
      <c r="A695" s="446" t="s">
        <v>737</v>
      </c>
      <c r="B695" s="446"/>
      <c r="C695" s="446" t="s">
        <v>408</v>
      </c>
      <c r="D695" s="446" t="s">
        <v>5552</v>
      </c>
      <c r="E695" s="448" t="s">
        <v>5537</v>
      </c>
      <c r="F695" s="448">
        <v>28583</v>
      </c>
      <c r="G695" s="446" t="s">
        <v>4344</v>
      </c>
      <c r="H695" s="446" t="s">
        <v>739</v>
      </c>
      <c r="I695" s="446" t="s">
        <v>4632</v>
      </c>
      <c r="J695" s="446" t="s">
        <v>4604</v>
      </c>
      <c r="K695" s="446" t="s">
        <v>5553</v>
      </c>
      <c r="L695" s="450"/>
      <c r="M695" s="450"/>
      <c r="N695" s="450"/>
      <c r="O695" s="450"/>
      <c r="P695" s="450"/>
      <c r="Q695" s="450"/>
      <c r="R695" s="450"/>
      <c r="S695" s="451"/>
      <c r="T695" s="450"/>
      <c r="U695" s="451"/>
      <c r="V695" s="450"/>
      <c r="W695" s="450"/>
      <c r="X695" s="450"/>
      <c r="Y695" s="450"/>
      <c r="Z695" s="450"/>
    </row>
    <row r="696" spans="1:26" x14ac:dyDescent="0.25">
      <c r="A696" s="446" t="s">
        <v>2994</v>
      </c>
      <c r="B696" s="446"/>
      <c r="C696" s="446" t="s">
        <v>408</v>
      </c>
      <c r="D696" s="446" t="s">
        <v>5554</v>
      </c>
      <c r="E696" s="448" t="s">
        <v>5537</v>
      </c>
      <c r="F696" s="448">
        <v>28583</v>
      </c>
      <c r="G696" s="446" t="s">
        <v>4353</v>
      </c>
      <c r="H696" s="446" t="s">
        <v>4354</v>
      </c>
      <c r="I696" s="446" t="s">
        <v>4632</v>
      </c>
      <c r="J696" s="446" t="s">
        <v>4604</v>
      </c>
      <c r="K696" s="446" t="s">
        <v>5555</v>
      </c>
      <c r="L696" s="450"/>
      <c r="M696" s="450"/>
      <c r="N696" s="450"/>
      <c r="O696" s="450"/>
      <c r="P696" s="450"/>
      <c r="Q696" s="450"/>
      <c r="R696" s="450"/>
      <c r="S696" s="451"/>
      <c r="T696" s="450"/>
      <c r="U696" s="451"/>
      <c r="V696" s="450"/>
      <c r="W696" s="450"/>
      <c r="X696" s="450"/>
      <c r="Y696" s="450"/>
      <c r="Z696" s="450"/>
    </row>
    <row r="697" spans="1:26" x14ac:dyDescent="0.25">
      <c r="A697" s="446" t="s">
        <v>740</v>
      </c>
      <c r="B697" s="446"/>
      <c r="C697" s="446" t="s">
        <v>619</v>
      </c>
      <c r="D697" s="446" t="s">
        <v>5556</v>
      </c>
      <c r="E697" s="448" t="s">
        <v>5557</v>
      </c>
      <c r="F697" s="448">
        <v>28584</v>
      </c>
      <c r="G697" s="446" t="s">
        <v>4344</v>
      </c>
      <c r="H697" s="446" t="s">
        <v>353</v>
      </c>
      <c r="I697" s="446" t="s">
        <v>4632</v>
      </c>
      <c r="J697" s="446" t="s">
        <v>404</v>
      </c>
      <c r="K697" s="446" t="s">
        <v>5558</v>
      </c>
      <c r="L697" s="450"/>
      <c r="M697" s="450"/>
      <c r="N697" s="450"/>
      <c r="O697" s="450"/>
      <c r="P697" s="450"/>
      <c r="Q697" s="450"/>
      <c r="R697" s="450"/>
      <c r="S697" s="451"/>
      <c r="T697" s="450"/>
      <c r="U697" s="451"/>
      <c r="V697" s="450"/>
      <c r="W697" s="450"/>
      <c r="X697" s="450"/>
      <c r="Y697" s="450"/>
      <c r="Z697" s="450"/>
    </row>
    <row r="698" spans="1:26" x14ac:dyDescent="0.25">
      <c r="A698" s="446" t="s">
        <v>5559</v>
      </c>
      <c r="B698" s="446"/>
      <c r="C698" s="446" t="s">
        <v>1456</v>
      </c>
      <c r="D698" s="446" t="s">
        <v>5560</v>
      </c>
      <c r="E698" s="448" t="s">
        <v>5561</v>
      </c>
      <c r="F698" s="448">
        <v>28596</v>
      </c>
      <c r="G698" s="446" t="s">
        <v>5562</v>
      </c>
      <c r="H698" s="446" t="s">
        <v>5563</v>
      </c>
      <c r="I698" s="446" t="s">
        <v>4632</v>
      </c>
      <c r="J698" s="446" t="s">
        <v>746</v>
      </c>
      <c r="K698" s="446" t="s">
        <v>5564</v>
      </c>
      <c r="L698" s="450"/>
      <c r="M698" s="450"/>
      <c r="N698" s="450"/>
      <c r="O698" s="450"/>
      <c r="P698" s="450"/>
      <c r="Q698" s="450"/>
      <c r="R698" s="450"/>
      <c r="S698" s="451"/>
      <c r="T698" s="450"/>
      <c r="U698" s="451"/>
      <c r="V698" s="450"/>
      <c r="W698" s="450"/>
      <c r="X698" s="450"/>
      <c r="Y698" s="450"/>
      <c r="Z698" s="450"/>
    </row>
    <row r="699" spans="1:26" x14ac:dyDescent="0.25">
      <c r="A699" s="446" t="s">
        <v>5565</v>
      </c>
      <c r="B699" s="446"/>
      <c r="C699" s="446" t="s">
        <v>202</v>
      </c>
      <c r="D699" s="446" t="s">
        <v>5566</v>
      </c>
      <c r="E699" s="448" t="s">
        <v>5567</v>
      </c>
      <c r="F699" s="448">
        <v>28599</v>
      </c>
      <c r="G699" s="446" t="s">
        <v>214</v>
      </c>
      <c r="H699" s="446" t="s">
        <v>5568</v>
      </c>
      <c r="I699" s="446" t="s">
        <v>231</v>
      </c>
      <c r="J699" s="446" t="s">
        <v>746</v>
      </c>
      <c r="K699" s="446" t="s">
        <v>5569</v>
      </c>
      <c r="L699" s="450"/>
      <c r="M699" s="450"/>
      <c r="N699" s="450"/>
      <c r="O699" s="450"/>
      <c r="P699" s="450"/>
      <c r="Q699" s="450"/>
      <c r="R699" s="450"/>
      <c r="S699" s="451"/>
      <c r="T699" s="450"/>
      <c r="U699" s="451"/>
      <c r="V699" s="450"/>
      <c r="W699" s="450"/>
      <c r="X699" s="450"/>
      <c r="Y699" s="450"/>
      <c r="Z699" s="450"/>
    </row>
    <row r="700" spans="1:26" x14ac:dyDescent="0.25">
      <c r="A700" s="446" t="s">
        <v>5570</v>
      </c>
      <c r="B700" s="446"/>
      <c r="C700" s="446" t="s">
        <v>202</v>
      </c>
      <c r="D700" s="446" t="s">
        <v>5571</v>
      </c>
      <c r="E700" s="448" t="s">
        <v>5567</v>
      </c>
      <c r="F700" s="448">
        <v>28599</v>
      </c>
      <c r="G700" s="446" t="s">
        <v>234</v>
      </c>
      <c r="H700" s="446" t="s">
        <v>5568</v>
      </c>
      <c r="I700" s="446" t="s">
        <v>231</v>
      </c>
      <c r="J700" s="446" t="s">
        <v>746</v>
      </c>
      <c r="K700" s="446" t="s">
        <v>5572</v>
      </c>
      <c r="L700" s="450"/>
      <c r="M700" s="450"/>
      <c r="N700" s="450"/>
      <c r="O700" s="450"/>
      <c r="P700" s="450"/>
      <c r="Q700" s="450"/>
      <c r="R700" s="450"/>
      <c r="S700" s="451"/>
      <c r="T700" s="450"/>
      <c r="U700" s="451"/>
      <c r="V700" s="450"/>
      <c r="W700" s="450"/>
      <c r="X700" s="450"/>
      <c r="Y700" s="450"/>
      <c r="Z700" s="450"/>
    </row>
    <row r="701" spans="1:26" x14ac:dyDescent="0.25">
      <c r="A701" s="446" t="s">
        <v>5573</v>
      </c>
      <c r="B701" s="446"/>
      <c r="C701" s="446" t="s">
        <v>202</v>
      </c>
      <c r="D701" s="446" t="s">
        <v>5574</v>
      </c>
      <c r="E701" s="448" t="s">
        <v>5567</v>
      </c>
      <c r="F701" s="448">
        <v>28599</v>
      </c>
      <c r="G701" s="446" t="s">
        <v>726</v>
      </c>
      <c r="H701" s="446" t="s">
        <v>5568</v>
      </c>
      <c r="I701" s="446" t="s">
        <v>231</v>
      </c>
      <c r="J701" s="446" t="s">
        <v>746</v>
      </c>
      <c r="K701" s="446" t="s">
        <v>5575</v>
      </c>
      <c r="L701" s="450"/>
      <c r="M701" s="450"/>
      <c r="N701" s="450"/>
      <c r="O701" s="450"/>
      <c r="P701" s="450"/>
      <c r="Q701" s="450"/>
      <c r="R701" s="450"/>
      <c r="S701" s="451"/>
      <c r="T701" s="450"/>
      <c r="U701" s="451"/>
      <c r="V701" s="450"/>
      <c r="W701" s="450"/>
      <c r="X701" s="450"/>
      <c r="Y701" s="450"/>
      <c r="Z701" s="450"/>
    </row>
    <row r="702" spans="1:26" x14ac:dyDescent="0.25">
      <c r="A702" s="446" t="s">
        <v>5576</v>
      </c>
      <c r="B702" s="446"/>
      <c r="C702" s="446" t="s">
        <v>202</v>
      </c>
      <c r="D702" s="446" t="s">
        <v>5577</v>
      </c>
      <c r="E702" s="448" t="s">
        <v>5578</v>
      </c>
      <c r="F702" s="448">
        <v>28607</v>
      </c>
      <c r="G702" s="446" t="s">
        <v>355</v>
      </c>
      <c r="H702" s="446" t="s">
        <v>5568</v>
      </c>
      <c r="I702" s="446" t="s">
        <v>231</v>
      </c>
      <c r="J702" s="446" t="s">
        <v>746</v>
      </c>
      <c r="K702" s="446" t="s">
        <v>5579</v>
      </c>
      <c r="L702" s="450"/>
      <c r="M702" s="450"/>
      <c r="N702" s="450"/>
      <c r="O702" s="450"/>
      <c r="P702" s="450"/>
      <c r="Q702" s="450"/>
      <c r="R702" s="450"/>
      <c r="S702" s="451"/>
      <c r="T702" s="450"/>
      <c r="U702" s="451"/>
      <c r="V702" s="450"/>
      <c r="W702" s="450"/>
      <c r="X702" s="450"/>
      <c r="Y702" s="450"/>
      <c r="Z702" s="450"/>
    </row>
    <row r="703" spans="1:26" x14ac:dyDescent="0.25">
      <c r="A703" s="446" t="s">
        <v>5580</v>
      </c>
      <c r="B703" s="446"/>
      <c r="C703" s="446" t="s">
        <v>202</v>
      </c>
      <c r="D703" s="446" t="s">
        <v>5581</v>
      </c>
      <c r="E703" s="448" t="s">
        <v>5578</v>
      </c>
      <c r="F703" s="448">
        <v>28607</v>
      </c>
      <c r="G703" s="446" t="s">
        <v>731</v>
      </c>
      <c r="H703" s="446" t="s">
        <v>5568</v>
      </c>
      <c r="I703" s="446" t="s">
        <v>231</v>
      </c>
      <c r="J703" s="446" t="s">
        <v>746</v>
      </c>
      <c r="K703" s="446" t="s">
        <v>5582</v>
      </c>
      <c r="L703" s="450"/>
      <c r="M703" s="450"/>
      <c r="N703" s="450"/>
      <c r="O703" s="450"/>
      <c r="P703" s="450"/>
      <c r="Q703" s="450"/>
      <c r="R703" s="450"/>
      <c r="S703" s="451"/>
      <c r="T703" s="450"/>
      <c r="U703" s="451"/>
      <c r="V703" s="450"/>
      <c r="W703" s="450"/>
      <c r="X703" s="450"/>
      <c r="Y703" s="450"/>
      <c r="Z703" s="450"/>
    </row>
    <row r="704" spans="1:26" x14ac:dyDescent="0.25">
      <c r="A704" s="446" t="s">
        <v>5583</v>
      </c>
      <c r="B704" s="446"/>
      <c r="C704" s="446" t="s">
        <v>202</v>
      </c>
      <c r="D704" s="446" t="s">
        <v>5584</v>
      </c>
      <c r="E704" s="448" t="s">
        <v>5578</v>
      </c>
      <c r="F704" s="448">
        <v>28607</v>
      </c>
      <c r="G704" s="446" t="s">
        <v>5585</v>
      </c>
      <c r="H704" s="446" t="s">
        <v>5586</v>
      </c>
      <c r="I704" s="446" t="s">
        <v>4632</v>
      </c>
      <c r="J704" s="446" t="s">
        <v>746</v>
      </c>
      <c r="K704" s="446" t="s">
        <v>5587</v>
      </c>
      <c r="L704" s="450"/>
      <c r="M704" s="450"/>
      <c r="N704" s="450"/>
      <c r="O704" s="450"/>
      <c r="P704" s="450"/>
      <c r="Q704" s="450"/>
      <c r="R704" s="450"/>
      <c r="S704" s="451"/>
      <c r="T704" s="450"/>
      <c r="U704" s="451"/>
      <c r="V704" s="450"/>
      <c r="W704" s="450"/>
      <c r="X704" s="450"/>
      <c r="Y704" s="450"/>
      <c r="Z704" s="450"/>
    </row>
    <row r="705" spans="1:26" x14ac:dyDescent="0.25">
      <c r="A705" s="446" t="s">
        <v>5588</v>
      </c>
      <c r="B705" s="446"/>
      <c r="C705" s="446" t="s">
        <v>4618</v>
      </c>
      <c r="D705" s="446" t="s">
        <v>5589</v>
      </c>
      <c r="E705" s="448" t="s">
        <v>5590</v>
      </c>
      <c r="F705" s="448">
        <v>28618</v>
      </c>
      <c r="G705" s="446" t="s">
        <v>5591</v>
      </c>
      <c r="H705" s="446" t="s">
        <v>5592</v>
      </c>
      <c r="I705" s="446" t="s">
        <v>4632</v>
      </c>
      <c r="J705" s="446" t="s">
        <v>746</v>
      </c>
      <c r="K705" s="446" t="s">
        <v>5593</v>
      </c>
      <c r="L705" s="450"/>
      <c r="M705" s="450"/>
      <c r="N705" s="450"/>
      <c r="O705" s="450"/>
      <c r="P705" s="450"/>
      <c r="Q705" s="450"/>
      <c r="R705" s="450"/>
      <c r="S705" s="451"/>
      <c r="T705" s="450"/>
      <c r="U705" s="451"/>
      <c r="V705" s="450"/>
      <c r="W705" s="450"/>
      <c r="X705" s="450"/>
      <c r="Y705" s="450"/>
      <c r="Z705" s="450"/>
    </row>
    <row r="706" spans="1:26" x14ac:dyDescent="0.25">
      <c r="A706" s="446" t="s">
        <v>5594</v>
      </c>
      <c r="B706" s="446"/>
      <c r="C706" s="446" t="s">
        <v>202</v>
      </c>
      <c r="D706" s="446" t="s">
        <v>5595</v>
      </c>
      <c r="E706" s="448" t="s">
        <v>5590</v>
      </c>
      <c r="F706" s="448">
        <v>28618</v>
      </c>
      <c r="G706" s="446" t="s">
        <v>353</v>
      </c>
      <c r="H706" s="446" t="s">
        <v>5568</v>
      </c>
      <c r="I706" s="446" t="s">
        <v>231</v>
      </c>
      <c r="J706" s="446" t="s">
        <v>746</v>
      </c>
      <c r="K706" s="446" t="s">
        <v>5596</v>
      </c>
      <c r="L706" s="450"/>
      <c r="M706" s="450"/>
      <c r="N706" s="450"/>
      <c r="O706" s="450"/>
      <c r="P706" s="450"/>
      <c r="Q706" s="450"/>
      <c r="R706" s="450"/>
      <c r="S706" s="451"/>
      <c r="T706" s="450"/>
      <c r="U706" s="451"/>
      <c r="V706" s="450"/>
      <c r="W706" s="450"/>
      <c r="X706" s="450"/>
      <c r="Y706" s="450"/>
      <c r="Z706" s="450"/>
    </row>
    <row r="707" spans="1:26" x14ac:dyDescent="0.25">
      <c r="A707" s="446" t="s">
        <v>5597</v>
      </c>
      <c r="B707" s="446"/>
      <c r="C707" s="446" t="s">
        <v>202</v>
      </c>
      <c r="D707" s="446" t="s">
        <v>5598</v>
      </c>
      <c r="E707" s="448" t="s">
        <v>5590</v>
      </c>
      <c r="F707" s="448">
        <v>28618</v>
      </c>
      <c r="G707" s="446" t="s">
        <v>781</v>
      </c>
      <c r="H707" s="446" t="s">
        <v>5568</v>
      </c>
      <c r="I707" s="446" t="s">
        <v>231</v>
      </c>
      <c r="J707" s="446" t="s">
        <v>746</v>
      </c>
      <c r="K707" s="446" t="s">
        <v>5599</v>
      </c>
      <c r="L707" s="450"/>
      <c r="M707" s="450"/>
      <c r="N707" s="450"/>
      <c r="O707" s="450"/>
      <c r="P707" s="450"/>
      <c r="Q707" s="450"/>
      <c r="R707" s="450"/>
      <c r="S707" s="451"/>
      <c r="T707" s="450"/>
      <c r="U707" s="451"/>
      <c r="V707" s="450"/>
      <c r="W707" s="450"/>
      <c r="X707" s="450"/>
      <c r="Y707" s="450"/>
      <c r="Z707" s="450"/>
    </row>
    <row r="708" spans="1:26" x14ac:dyDescent="0.25">
      <c r="A708" s="446" t="s">
        <v>5600</v>
      </c>
      <c r="B708" s="446"/>
      <c r="C708" s="446" t="s">
        <v>202</v>
      </c>
      <c r="D708" s="446" t="s">
        <v>5601</v>
      </c>
      <c r="E708" s="448" t="s">
        <v>5590</v>
      </c>
      <c r="F708" s="448">
        <v>28618</v>
      </c>
      <c r="G708" s="446" t="s">
        <v>5410</v>
      </c>
      <c r="H708" s="446" t="s">
        <v>5568</v>
      </c>
      <c r="I708" s="446" t="s">
        <v>231</v>
      </c>
      <c r="J708" s="446" t="s">
        <v>746</v>
      </c>
      <c r="K708" s="446" t="s">
        <v>5602</v>
      </c>
      <c r="L708" s="450"/>
      <c r="M708" s="450"/>
      <c r="N708" s="450"/>
      <c r="O708" s="450"/>
      <c r="P708" s="450"/>
      <c r="Q708" s="450"/>
      <c r="R708" s="450"/>
      <c r="S708" s="451"/>
      <c r="T708" s="450"/>
      <c r="U708" s="451"/>
      <c r="V708" s="450"/>
      <c r="W708" s="450"/>
      <c r="X708" s="450"/>
      <c r="Y708" s="450"/>
      <c r="Z708" s="450"/>
    </row>
    <row r="709" spans="1:26" x14ac:dyDescent="0.25">
      <c r="A709" s="446" t="s">
        <v>5603</v>
      </c>
      <c r="B709" s="446"/>
      <c r="C709" s="446" t="s">
        <v>202</v>
      </c>
      <c r="D709" s="446" t="s">
        <v>5604</v>
      </c>
      <c r="E709" s="448" t="s">
        <v>5605</v>
      </c>
      <c r="F709" s="448">
        <v>28620</v>
      </c>
      <c r="G709" s="446" t="s">
        <v>5606</v>
      </c>
      <c r="H709" s="446" t="s">
        <v>5568</v>
      </c>
      <c r="I709" s="446" t="s">
        <v>4632</v>
      </c>
      <c r="J709" s="446" t="s">
        <v>746</v>
      </c>
      <c r="K709" s="446" t="s">
        <v>5607</v>
      </c>
      <c r="L709" s="450"/>
      <c r="M709" s="450"/>
      <c r="N709" s="450"/>
      <c r="O709" s="450"/>
      <c r="P709" s="450"/>
      <c r="Q709" s="450"/>
      <c r="R709" s="450"/>
      <c r="S709" s="451"/>
      <c r="T709" s="450"/>
      <c r="U709" s="451"/>
      <c r="V709" s="450"/>
      <c r="W709" s="450"/>
      <c r="X709" s="450"/>
      <c r="Y709" s="450"/>
      <c r="Z709" s="450"/>
    </row>
    <row r="710" spans="1:26" x14ac:dyDescent="0.25">
      <c r="A710" s="446" t="s">
        <v>5608</v>
      </c>
      <c r="B710" s="446"/>
      <c r="C710" s="446" t="s">
        <v>202</v>
      </c>
      <c r="D710" s="446" t="s">
        <v>5609</v>
      </c>
      <c r="E710" s="448" t="s">
        <v>5610</v>
      </c>
      <c r="F710" s="448">
        <v>28640</v>
      </c>
      <c r="G710" s="446" t="s">
        <v>5611</v>
      </c>
      <c r="H710" s="446" t="s">
        <v>1183</v>
      </c>
      <c r="I710" s="446" t="s">
        <v>231</v>
      </c>
      <c r="J710" s="446" t="s">
        <v>746</v>
      </c>
      <c r="K710" s="446" t="s">
        <v>5612</v>
      </c>
      <c r="L710" s="450"/>
      <c r="M710" s="450"/>
      <c r="N710" s="450"/>
      <c r="O710" s="450"/>
      <c r="P710" s="450"/>
      <c r="Q710" s="450"/>
      <c r="R710" s="450"/>
      <c r="S710" s="451"/>
      <c r="T710" s="450"/>
      <c r="U710" s="451"/>
      <c r="V710" s="450"/>
      <c r="W710" s="450"/>
      <c r="X710" s="450"/>
      <c r="Y710" s="450"/>
      <c r="Z710" s="450"/>
    </row>
    <row r="711" spans="1:26" x14ac:dyDescent="0.25">
      <c r="A711" s="446" t="s">
        <v>5613</v>
      </c>
      <c r="B711" s="446"/>
      <c r="C711" s="446" t="s">
        <v>202</v>
      </c>
      <c r="D711" s="446" t="s">
        <v>5614</v>
      </c>
      <c r="E711" s="448" t="s">
        <v>5610</v>
      </c>
      <c r="F711" s="448">
        <v>28640</v>
      </c>
      <c r="G711" s="446" t="s">
        <v>824</v>
      </c>
      <c r="H711" s="446" t="s">
        <v>1183</v>
      </c>
      <c r="I711" s="446" t="s">
        <v>231</v>
      </c>
      <c r="J711" s="446" t="s">
        <v>746</v>
      </c>
      <c r="K711" s="446" t="s">
        <v>5615</v>
      </c>
      <c r="L711" s="450"/>
      <c r="M711" s="450"/>
      <c r="N711" s="450"/>
      <c r="O711" s="450"/>
      <c r="P711" s="450"/>
      <c r="Q711" s="450"/>
      <c r="R711" s="450"/>
      <c r="S711" s="451"/>
      <c r="T711" s="450"/>
      <c r="U711" s="451"/>
      <c r="V711" s="450"/>
      <c r="W711" s="450"/>
      <c r="X711" s="450"/>
      <c r="Y711" s="450"/>
      <c r="Z711" s="450"/>
    </row>
    <row r="712" spans="1:26" x14ac:dyDescent="0.25">
      <c r="A712" s="446" t="s">
        <v>5616</v>
      </c>
      <c r="B712" s="446"/>
      <c r="C712" s="446" t="s">
        <v>1456</v>
      </c>
      <c r="D712" s="446" t="s">
        <v>5617</v>
      </c>
      <c r="E712" s="448" t="s">
        <v>5618</v>
      </c>
      <c r="F712" s="448">
        <v>28648</v>
      </c>
      <c r="G712" s="446" t="s">
        <v>5562</v>
      </c>
      <c r="H712" s="446" t="s">
        <v>5510</v>
      </c>
      <c r="I712" s="446" t="s">
        <v>4632</v>
      </c>
      <c r="J712" s="446" t="s">
        <v>746</v>
      </c>
      <c r="K712" s="446" t="s">
        <v>5619</v>
      </c>
      <c r="L712" s="450"/>
      <c r="M712" s="450"/>
      <c r="N712" s="450"/>
      <c r="O712" s="450"/>
      <c r="P712" s="450"/>
      <c r="Q712" s="450"/>
      <c r="R712" s="450"/>
      <c r="S712" s="451"/>
      <c r="T712" s="450"/>
      <c r="U712" s="451"/>
      <c r="V712" s="450"/>
      <c r="W712" s="450"/>
      <c r="X712" s="450"/>
      <c r="Y712" s="450"/>
      <c r="Z712" s="450"/>
    </row>
    <row r="713" spans="1:26" x14ac:dyDescent="0.25">
      <c r="A713" s="446" t="s">
        <v>5620</v>
      </c>
      <c r="B713" s="446"/>
      <c r="C713" s="446" t="s">
        <v>1456</v>
      </c>
      <c r="D713" s="446" t="s">
        <v>5621</v>
      </c>
      <c r="E713" s="448" t="s">
        <v>5622</v>
      </c>
      <c r="F713" s="448">
        <v>28683</v>
      </c>
      <c r="G713" s="446" t="s">
        <v>484</v>
      </c>
      <c r="H713" s="446" t="s">
        <v>5484</v>
      </c>
      <c r="I713" s="446" t="s">
        <v>231</v>
      </c>
      <c r="J713" s="446" t="s">
        <v>746</v>
      </c>
      <c r="K713" s="446" t="s">
        <v>5623</v>
      </c>
      <c r="L713" s="450"/>
      <c r="M713" s="450"/>
      <c r="N713" s="450"/>
      <c r="O713" s="450"/>
      <c r="P713" s="450"/>
      <c r="Q713" s="450"/>
      <c r="R713" s="450"/>
      <c r="S713" s="451"/>
      <c r="T713" s="450"/>
      <c r="U713" s="451"/>
      <c r="V713" s="450"/>
      <c r="W713" s="450"/>
      <c r="X713" s="450"/>
      <c r="Y713" s="450"/>
      <c r="Z713" s="450"/>
    </row>
    <row r="714" spans="1:26" x14ac:dyDescent="0.25">
      <c r="A714" s="446" t="s">
        <v>5624</v>
      </c>
      <c r="B714" s="446"/>
      <c r="C714" s="446" t="s">
        <v>1456</v>
      </c>
      <c r="D714" s="446" t="s">
        <v>5625</v>
      </c>
      <c r="E714" s="448" t="s">
        <v>5622</v>
      </c>
      <c r="F714" s="448">
        <v>28683</v>
      </c>
      <c r="G714" s="446" t="s">
        <v>781</v>
      </c>
      <c r="H714" s="446" t="s">
        <v>5484</v>
      </c>
      <c r="I714" s="446" t="s">
        <v>231</v>
      </c>
      <c r="J714" s="446" t="s">
        <v>746</v>
      </c>
      <c r="K714" s="446" t="s">
        <v>5626</v>
      </c>
      <c r="L714" s="450"/>
      <c r="M714" s="450"/>
      <c r="N714" s="450"/>
      <c r="O714" s="450"/>
      <c r="P714" s="450"/>
      <c r="Q714" s="450"/>
      <c r="R714" s="450"/>
      <c r="S714" s="451"/>
      <c r="T714" s="450"/>
      <c r="U714" s="451"/>
      <c r="V714" s="450"/>
      <c r="W714" s="450"/>
      <c r="X714" s="450"/>
      <c r="Y714" s="450"/>
      <c r="Z714" s="450"/>
    </row>
    <row r="715" spans="1:26" x14ac:dyDescent="0.25">
      <c r="A715" s="446" t="s">
        <v>5627</v>
      </c>
      <c r="B715" s="446"/>
      <c r="C715" s="446" t="s">
        <v>1456</v>
      </c>
      <c r="D715" s="446" t="s">
        <v>5628</v>
      </c>
      <c r="E715" s="448" t="s">
        <v>5622</v>
      </c>
      <c r="F715" s="448">
        <v>28683</v>
      </c>
      <c r="G715" s="446" t="s">
        <v>1396</v>
      </c>
      <c r="H715" s="446" t="s">
        <v>5484</v>
      </c>
      <c r="I715" s="446" t="s">
        <v>231</v>
      </c>
      <c r="J715" s="446" t="s">
        <v>746</v>
      </c>
      <c r="K715" s="446" t="s">
        <v>5629</v>
      </c>
      <c r="L715" s="450"/>
      <c r="M715" s="450"/>
      <c r="N715" s="450"/>
      <c r="O715" s="450"/>
      <c r="P715" s="450"/>
      <c r="Q715" s="450"/>
      <c r="R715" s="450"/>
      <c r="S715" s="451"/>
      <c r="T715" s="450"/>
      <c r="U715" s="451"/>
      <c r="V715" s="450"/>
      <c r="W715" s="450"/>
      <c r="X715" s="450"/>
      <c r="Y715" s="450"/>
      <c r="Z715" s="450"/>
    </row>
    <row r="716" spans="1:26" x14ac:dyDescent="0.25">
      <c r="A716" s="446" t="s">
        <v>5630</v>
      </c>
      <c r="B716" s="446"/>
      <c r="C716" s="446" t="s">
        <v>1456</v>
      </c>
      <c r="D716" s="446" t="s">
        <v>5631</v>
      </c>
      <c r="E716" s="448" t="s">
        <v>5622</v>
      </c>
      <c r="F716" s="448">
        <v>28683</v>
      </c>
      <c r="G716" s="446" t="s">
        <v>214</v>
      </c>
      <c r="H716" s="446" t="s">
        <v>5484</v>
      </c>
      <c r="I716" s="446" t="s">
        <v>231</v>
      </c>
      <c r="J716" s="446" t="s">
        <v>746</v>
      </c>
      <c r="K716" s="446" t="s">
        <v>5632</v>
      </c>
      <c r="L716" s="450"/>
      <c r="M716" s="450"/>
      <c r="N716" s="450"/>
      <c r="O716" s="450"/>
      <c r="P716" s="450"/>
      <c r="Q716" s="450"/>
      <c r="R716" s="450"/>
      <c r="S716" s="451"/>
      <c r="T716" s="450"/>
      <c r="U716" s="451"/>
      <c r="V716" s="450"/>
      <c r="W716" s="450"/>
      <c r="X716" s="450"/>
      <c r="Y716" s="450"/>
      <c r="Z716" s="450"/>
    </row>
    <row r="717" spans="1:26" x14ac:dyDescent="0.25">
      <c r="A717" s="446" t="s">
        <v>5633</v>
      </c>
      <c r="B717" s="446"/>
      <c r="C717" s="446" t="s">
        <v>1456</v>
      </c>
      <c r="D717" s="446" t="s">
        <v>5634</v>
      </c>
      <c r="E717" s="448" t="s">
        <v>5622</v>
      </c>
      <c r="F717" s="448">
        <v>28683</v>
      </c>
      <c r="G717" s="446" t="s">
        <v>731</v>
      </c>
      <c r="H717" s="446" t="s">
        <v>5484</v>
      </c>
      <c r="I717" s="446" t="s">
        <v>231</v>
      </c>
      <c r="J717" s="446" t="s">
        <v>746</v>
      </c>
      <c r="K717" s="446" t="s">
        <v>5635</v>
      </c>
      <c r="L717" s="450"/>
      <c r="M717" s="450"/>
      <c r="N717" s="450"/>
      <c r="O717" s="450"/>
      <c r="P717" s="450"/>
      <c r="Q717" s="450"/>
      <c r="R717" s="450"/>
      <c r="S717" s="451"/>
      <c r="T717" s="450"/>
      <c r="U717" s="451"/>
      <c r="V717" s="450"/>
      <c r="W717" s="450"/>
      <c r="X717" s="450"/>
      <c r="Y717" s="450"/>
      <c r="Z717" s="450"/>
    </row>
    <row r="718" spans="1:26" x14ac:dyDescent="0.25">
      <c r="A718" s="446" t="s">
        <v>5636</v>
      </c>
      <c r="B718" s="446"/>
      <c r="C718" s="446" t="s">
        <v>1456</v>
      </c>
      <c r="D718" s="446" t="s">
        <v>5637</v>
      </c>
      <c r="E718" s="448" t="s">
        <v>5622</v>
      </c>
      <c r="F718" s="448">
        <v>28683</v>
      </c>
      <c r="G718" s="446" t="s">
        <v>355</v>
      </c>
      <c r="H718" s="446" t="s">
        <v>5484</v>
      </c>
      <c r="I718" s="446" t="s">
        <v>231</v>
      </c>
      <c r="J718" s="446" t="s">
        <v>746</v>
      </c>
      <c r="K718" s="446" t="s">
        <v>5638</v>
      </c>
      <c r="L718" s="450"/>
      <c r="M718" s="450"/>
      <c r="N718" s="450"/>
      <c r="O718" s="450"/>
      <c r="P718" s="450"/>
      <c r="Q718" s="450"/>
      <c r="R718" s="450"/>
      <c r="S718" s="451"/>
      <c r="T718" s="450"/>
      <c r="U718" s="451"/>
      <c r="V718" s="450"/>
      <c r="W718" s="450"/>
      <c r="X718" s="450"/>
      <c r="Y718" s="450"/>
      <c r="Z718" s="450"/>
    </row>
    <row r="719" spans="1:26" x14ac:dyDescent="0.25">
      <c r="A719" s="446" t="s">
        <v>5639</v>
      </c>
      <c r="B719" s="446"/>
      <c r="C719" s="446" t="s">
        <v>1456</v>
      </c>
      <c r="D719" s="446" t="s">
        <v>5640</v>
      </c>
      <c r="E719" s="448" t="s">
        <v>5622</v>
      </c>
      <c r="F719" s="448">
        <v>28683</v>
      </c>
      <c r="G719" s="446" t="s">
        <v>234</v>
      </c>
      <c r="H719" s="446" t="s">
        <v>5484</v>
      </c>
      <c r="I719" s="446" t="s">
        <v>231</v>
      </c>
      <c r="J719" s="446" t="s">
        <v>746</v>
      </c>
      <c r="K719" s="446" t="s">
        <v>5641</v>
      </c>
      <c r="L719" s="450"/>
      <c r="M719" s="450"/>
      <c r="N719" s="450"/>
      <c r="O719" s="450"/>
      <c r="P719" s="450"/>
      <c r="Q719" s="450"/>
      <c r="R719" s="450"/>
      <c r="S719" s="451"/>
      <c r="T719" s="450"/>
      <c r="U719" s="451"/>
      <c r="V719" s="450"/>
      <c r="W719" s="450"/>
      <c r="X719" s="450"/>
      <c r="Y719" s="450"/>
      <c r="Z719" s="450"/>
    </row>
    <row r="720" spans="1:26" x14ac:dyDescent="0.25">
      <c r="A720" s="446" t="s">
        <v>5642</v>
      </c>
      <c r="B720" s="446"/>
      <c r="C720" s="446" t="s">
        <v>1456</v>
      </c>
      <c r="D720" s="446" t="s">
        <v>5643</v>
      </c>
      <c r="E720" s="448" t="s">
        <v>5622</v>
      </c>
      <c r="F720" s="448">
        <v>28683</v>
      </c>
      <c r="G720" s="446" t="s">
        <v>726</v>
      </c>
      <c r="H720" s="446" t="s">
        <v>5484</v>
      </c>
      <c r="I720" s="446" t="s">
        <v>231</v>
      </c>
      <c r="J720" s="446" t="s">
        <v>746</v>
      </c>
      <c r="K720" s="446" t="s">
        <v>5644</v>
      </c>
      <c r="L720" s="450"/>
      <c r="M720" s="450"/>
      <c r="N720" s="450"/>
      <c r="O720" s="450"/>
      <c r="P720" s="450"/>
      <c r="Q720" s="450"/>
      <c r="R720" s="450"/>
      <c r="S720" s="451"/>
      <c r="T720" s="450"/>
      <c r="U720" s="451"/>
      <c r="V720" s="450"/>
      <c r="W720" s="450"/>
      <c r="X720" s="450"/>
      <c r="Y720" s="450"/>
      <c r="Z720" s="450"/>
    </row>
    <row r="721" spans="1:26" x14ac:dyDescent="0.25">
      <c r="A721" s="446" t="s">
        <v>5645</v>
      </c>
      <c r="B721" s="446"/>
      <c r="C721" s="446" t="s">
        <v>1456</v>
      </c>
      <c r="D721" s="446" t="s">
        <v>5646</v>
      </c>
      <c r="E721" s="448" t="s">
        <v>5622</v>
      </c>
      <c r="F721" s="448">
        <v>28683</v>
      </c>
      <c r="G721" s="446" t="s">
        <v>739</v>
      </c>
      <c r="H721" s="446" t="s">
        <v>5484</v>
      </c>
      <c r="I721" s="446" t="s">
        <v>231</v>
      </c>
      <c r="J721" s="446" t="s">
        <v>746</v>
      </c>
      <c r="K721" s="446" t="s">
        <v>5647</v>
      </c>
      <c r="L721" s="450"/>
      <c r="M721" s="450"/>
      <c r="N721" s="450"/>
      <c r="O721" s="450"/>
      <c r="P721" s="450"/>
      <c r="Q721" s="450"/>
      <c r="R721" s="450"/>
      <c r="S721" s="451"/>
      <c r="T721" s="450"/>
      <c r="U721" s="451"/>
      <c r="V721" s="450"/>
      <c r="W721" s="450"/>
      <c r="X721" s="450"/>
      <c r="Y721" s="450"/>
      <c r="Z721" s="450"/>
    </row>
    <row r="722" spans="1:26" x14ac:dyDescent="0.25">
      <c r="A722" s="446" t="s">
        <v>5648</v>
      </c>
      <c r="B722" s="446"/>
      <c r="C722" s="446" t="s">
        <v>1456</v>
      </c>
      <c r="D722" s="446" t="s">
        <v>5649</v>
      </c>
      <c r="E722" s="448" t="s">
        <v>5622</v>
      </c>
      <c r="F722" s="448">
        <v>28683</v>
      </c>
      <c r="G722" s="446" t="s">
        <v>5650</v>
      </c>
      <c r="H722" s="446" t="s">
        <v>5484</v>
      </c>
      <c r="I722" s="446" t="s">
        <v>231</v>
      </c>
      <c r="J722" s="446" t="s">
        <v>746</v>
      </c>
      <c r="K722" s="446" t="s">
        <v>5651</v>
      </c>
      <c r="L722" s="450"/>
      <c r="M722" s="450"/>
      <c r="N722" s="450"/>
      <c r="O722" s="450"/>
      <c r="P722" s="450"/>
      <c r="Q722" s="450"/>
      <c r="R722" s="450"/>
      <c r="S722" s="451"/>
      <c r="T722" s="450"/>
      <c r="U722" s="451"/>
      <c r="V722" s="450"/>
      <c r="W722" s="450"/>
      <c r="X722" s="450"/>
      <c r="Y722" s="450"/>
      <c r="Z722" s="450"/>
    </row>
    <row r="723" spans="1:26" x14ac:dyDescent="0.25">
      <c r="A723" s="446" t="s">
        <v>5652</v>
      </c>
      <c r="B723" s="446"/>
      <c r="C723" s="446" t="s">
        <v>1456</v>
      </c>
      <c r="D723" s="446" t="s">
        <v>5653</v>
      </c>
      <c r="E723" s="448" t="s">
        <v>5654</v>
      </c>
      <c r="F723" s="448">
        <v>28688</v>
      </c>
      <c r="G723" s="446" t="s">
        <v>721</v>
      </c>
      <c r="H723" s="446" t="s">
        <v>5484</v>
      </c>
      <c r="I723" s="446" t="s">
        <v>231</v>
      </c>
      <c r="J723" s="446" t="s">
        <v>746</v>
      </c>
      <c r="K723" s="446" t="s">
        <v>5655</v>
      </c>
      <c r="L723" s="450"/>
      <c r="M723" s="450"/>
      <c r="N723" s="450"/>
      <c r="O723" s="450"/>
      <c r="P723" s="450"/>
      <c r="Q723" s="450"/>
      <c r="R723" s="450"/>
      <c r="S723" s="451"/>
      <c r="T723" s="450"/>
      <c r="U723" s="451"/>
      <c r="V723" s="450"/>
      <c r="W723" s="450"/>
      <c r="X723" s="450"/>
      <c r="Y723" s="450"/>
      <c r="Z723" s="450"/>
    </row>
    <row r="724" spans="1:26" x14ac:dyDescent="0.25">
      <c r="A724" s="446" t="s">
        <v>5656</v>
      </c>
      <c r="B724" s="446"/>
      <c r="C724" s="446" t="s">
        <v>202</v>
      </c>
      <c r="D724" s="446" t="s">
        <v>5657</v>
      </c>
      <c r="E724" s="448" t="s">
        <v>5658</v>
      </c>
      <c r="F724" s="448">
        <v>28689</v>
      </c>
      <c r="G724" s="446" t="s">
        <v>744</v>
      </c>
      <c r="H724" s="446" t="s">
        <v>745</v>
      </c>
      <c r="I724" s="446" t="s">
        <v>231</v>
      </c>
      <c r="J724" s="446" t="s">
        <v>746</v>
      </c>
      <c r="K724" s="446" t="s">
        <v>5659</v>
      </c>
      <c r="L724" s="450"/>
      <c r="M724" s="450"/>
      <c r="N724" s="450"/>
      <c r="O724" s="450"/>
      <c r="P724" s="450"/>
      <c r="Q724" s="450"/>
      <c r="R724" s="450"/>
      <c r="S724" s="451"/>
      <c r="T724" s="450"/>
      <c r="U724" s="451"/>
      <c r="V724" s="450"/>
      <c r="W724" s="450"/>
      <c r="X724" s="450"/>
      <c r="Y724" s="450"/>
      <c r="Z724" s="450"/>
    </row>
    <row r="725" spans="1:26" x14ac:dyDescent="0.25">
      <c r="A725" s="446" t="s">
        <v>5660</v>
      </c>
      <c r="B725" s="446"/>
      <c r="C725" s="446" t="s">
        <v>1456</v>
      </c>
      <c r="D725" s="446" t="s">
        <v>5661</v>
      </c>
      <c r="E725" s="448" t="s">
        <v>5662</v>
      </c>
      <c r="F725" s="448">
        <v>28691</v>
      </c>
      <c r="G725" s="446" t="s">
        <v>745</v>
      </c>
      <c r="H725" s="446" t="s">
        <v>5520</v>
      </c>
      <c r="I725" s="446" t="s">
        <v>5663</v>
      </c>
      <c r="J725" s="446" t="s">
        <v>746</v>
      </c>
      <c r="K725" s="446" t="s">
        <v>5664</v>
      </c>
      <c r="L725" s="450"/>
      <c r="M725" s="450"/>
      <c r="N725" s="450"/>
      <c r="O725" s="450"/>
      <c r="P725" s="450"/>
      <c r="Q725" s="450"/>
      <c r="R725" s="450"/>
      <c r="S725" s="451"/>
      <c r="T725" s="450"/>
      <c r="U725" s="451"/>
      <c r="V725" s="450"/>
      <c r="W725" s="450"/>
      <c r="X725" s="450"/>
      <c r="Y725" s="450"/>
      <c r="Z725" s="450"/>
    </row>
    <row r="726" spans="1:26" x14ac:dyDescent="0.25">
      <c r="A726" s="446" t="s">
        <v>742</v>
      </c>
      <c r="B726" s="446"/>
      <c r="C726" s="446" t="s">
        <v>680</v>
      </c>
      <c r="D726" s="446" t="s">
        <v>5665</v>
      </c>
      <c r="E726" s="448" t="s">
        <v>5662</v>
      </c>
      <c r="F726" s="448">
        <v>28711</v>
      </c>
      <c r="G726" s="446" t="s">
        <v>744</v>
      </c>
      <c r="H726" s="446" t="s">
        <v>745</v>
      </c>
      <c r="I726" s="446" t="s">
        <v>231</v>
      </c>
      <c r="J726" s="446" t="s">
        <v>746</v>
      </c>
      <c r="K726" s="446" t="s">
        <v>5666</v>
      </c>
      <c r="L726" s="450"/>
      <c r="M726" s="450"/>
      <c r="N726" s="450"/>
      <c r="O726" s="450"/>
      <c r="P726" s="450"/>
      <c r="Q726" s="450"/>
      <c r="R726" s="450"/>
      <c r="S726" s="451"/>
      <c r="T726" s="450"/>
      <c r="U726" s="451"/>
      <c r="V726" s="450"/>
      <c r="W726" s="450"/>
      <c r="X726" s="450"/>
      <c r="Y726" s="450"/>
      <c r="Z726" s="450"/>
    </row>
    <row r="727" spans="1:26" x14ac:dyDescent="0.25">
      <c r="A727" s="446" t="s">
        <v>5667</v>
      </c>
      <c r="B727" s="446"/>
      <c r="C727" s="446" t="s">
        <v>1456</v>
      </c>
      <c r="D727" s="446" t="s">
        <v>5668</v>
      </c>
      <c r="E727" s="448" t="s">
        <v>5669</v>
      </c>
      <c r="F727" s="448">
        <v>28814</v>
      </c>
      <c r="G727" s="446" t="s">
        <v>5429</v>
      </c>
      <c r="H727" s="446" t="s">
        <v>5562</v>
      </c>
      <c r="I727" s="446" t="s">
        <v>4632</v>
      </c>
      <c r="J727" s="446" t="s">
        <v>746</v>
      </c>
      <c r="K727" s="446" t="s">
        <v>5670</v>
      </c>
      <c r="L727" s="450"/>
      <c r="M727" s="450"/>
      <c r="N727" s="450"/>
      <c r="O727" s="450"/>
      <c r="P727" s="450"/>
      <c r="Q727" s="450"/>
      <c r="R727" s="450"/>
      <c r="S727" s="451"/>
      <c r="T727" s="450"/>
      <c r="U727" s="451"/>
      <c r="V727" s="450"/>
      <c r="W727" s="450"/>
      <c r="X727" s="450"/>
      <c r="Y727" s="450"/>
      <c r="Z727" s="450"/>
    </row>
    <row r="728" spans="1:26" x14ac:dyDescent="0.25">
      <c r="A728" s="446" t="s">
        <v>5671</v>
      </c>
      <c r="B728" s="446"/>
      <c r="C728" s="446" t="s">
        <v>408</v>
      </c>
      <c r="D728" s="446" t="s">
        <v>5672</v>
      </c>
      <c r="E728" s="448" t="s">
        <v>5673</v>
      </c>
      <c r="F728" s="448">
        <v>28923</v>
      </c>
      <c r="G728" s="446" t="s">
        <v>4357</v>
      </c>
      <c r="H728" s="446" t="s">
        <v>4358</v>
      </c>
      <c r="I728" s="446" t="s">
        <v>231</v>
      </c>
      <c r="J728" s="446" t="s">
        <v>4604</v>
      </c>
      <c r="K728" s="446" t="s">
        <v>5674</v>
      </c>
      <c r="L728" s="450"/>
      <c r="M728" s="450"/>
      <c r="N728" s="450"/>
      <c r="O728" s="450"/>
      <c r="P728" s="450"/>
      <c r="Q728" s="450"/>
      <c r="R728" s="450"/>
      <c r="S728" s="451"/>
      <c r="T728" s="450"/>
      <c r="U728" s="451"/>
      <c r="V728" s="450"/>
      <c r="W728" s="450"/>
      <c r="X728" s="450"/>
      <c r="Y728" s="450"/>
      <c r="Z728" s="450"/>
    </row>
    <row r="729" spans="1:26" x14ac:dyDescent="0.25">
      <c r="A729" s="446" t="s">
        <v>748</v>
      </c>
      <c r="B729" s="446"/>
      <c r="C729" s="446" t="s">
        <v>585</v>
      </c>
      <c r="D729" s="446" t="s">
        <v>5675</v>
      </c>
      <c r="E729" s="448" t="s">
        <v>5676</v>
      </c>
      <c r="F729" s="448">
        <v>28961</v>
      </c>
      <c r="G729" s="446" t="s">
        <v>4360</v>
      </c>
      <c r="H729" s="446" t="s">
        <v>4361</v>
      </c>
      <c r="I729" s="446" t="s">
        <v>4632</v>
      </c>
      <c r="J729" s="446" t="s">
        <v>4604</v>
      </c>
      <c r="K729" s="446" t="s">
        <v>5677</v>
      </c>
      <c r="L729" s="450"/>
      <c r="M729" s="450"/>
      <c r="N729" s="450"/>
      <c r="O729" s="450"/>
      <c r="P729" s="450"/>
      <c r="Q729" s="450"/>
      <c r="R729" s="450"/>
      <c r="S729" s="451"/>
      <c r="T729" s="450"/>
      <c r="U729" s="451"/>
      <c r="V729" s="450"/>
      <c r="W729" s="450"/>
      <c r="X729" s="450"/>
      <c r="Y729" s="450"/>
      <c r="Z729" s="450"/>
    </row>
    <row r="730" spans="1:26" x14ac:dyDescent="0.25">
      <c r="A730" s="446" t="s">
        <v>755</v>
      </c>
      <c r="B730" s="446"/>
      <c r="C730" s="446" t="s">
        <v>756</v>
      </c>
      <c r="D730" s="446" t="s">
        <v>5678</v>
      </c>
      <c r="E730" s="448" t="s">
        <v>5676</v>
      </c>
      <c r="F730" s="448">
        <v>28961</v>
      </c>
      <c r="G730" s="446" t="s">
        <v>758</v>
      </c>
      <c r="H730" s="446" t="s">
        <v>759</v>
      </c>
      <c r="I730" s="446" t="s">
        <v>4632</v>
      </c>
      <c r="J730" s="446" t="s">
        <v>760</v>
      </c>
      <c r="K730" s="446" t="s">
        <v>5679</v>
      </c>
      <c r="L730" s="450"/>
      <c r="M730" s="450"/>
      <c r="N730" s="450"/>
      <c r="O730" s="450"/>
      <c r="P730" s="450"/>
      <c r="Q730" s="450"/>
      <c r="R730" s="450"/>
      <c r="S730" s="451"/>
      <c r="T730" s="450"/>
      <c r="U730" s="451"/>
      <c r="V730" s="450"/>
      <c r="W730" s="450"/>
      <c r="X730" s="450"/>
      <c r="Y730" s="450"/>
      <c r="Z730" s="450"/>
    </row>
    <row r="731" spans="1:26" x14ac:dyDescent="0.25">
      <c r="A731" s="446" t="s">
        <v>5680</v>
      </c>
      <c r="B731" s="446"/>
      <c r="C731" s="446" t="s">
        <v>1456</v>
      </c>
      <c r="D731" s="446" t="s">
        <v>5681</v>
      </c>
      <c r="E731" s="448" t="s">
        <v>5682</v>
      </c>
      <c r="F731" s="448">
        <v>28970</v>
      </c>
      <c r="G731" s="446" t="s">
        <v>5429</v>
      </c>
      <c r="H731" s="446" t="s">
        <v>5562</v>
      </c>
      <c r="I731" s="446" t="s">
        <v>231</v>
      </c>
      <c r="J731" s="446" t="s">
        <v>746</v>
      </c>
      <c r="K731" s="446" t="s">
        <v>5683</v>
      </c>
      <c r="L731" s="450"/>
      <c r="M731" s="450"/>
      <c r="N731" s="450"/>
      <c r="O731" s="450"/>
      <c r="P731" s="450"/>
      <c r="Q731" s="450"/>
      <c r="R731" s="450"/>
      <c r="S731" s="451"/>
      <c r="T731" s="450"/>
      <c r="U731" s="451"/>
      <c r="V731" s="450"/>
      <c r="W731" s="450"/>
      <c r="X731" s="450"/>
      <c r="Y731" s="450"/>
      <c r="Z731" s="450"/>
    </row>
    <row r="732" spans="1:26" x14ac:dyDescent="0.25">
      <c r="A732" s="446" t="s">
        <v>5684</v>
      </c>
      <c r="B732" s="446"/>
      <c r="C732" s="446" t="s">
        <v>4618</v>
      </c>
      <c r="D732" s="446" t="s">
        <v>5685</v>
      </c>
      <c r="E732" s="448" t="s">
        <v>5686</v>
      </c>
      <c r="F732" s="448">
        <v>29047</v>
      </c>
      <c r="G732" s="446" t="s">
        <v>5687</v>
      </c>
      <c r="H732" s="446" t="s">
        <v>4333</v>
      </c>
      <c r="I732" s="446" t="s">
        <v>231</v>
      </c>
      <c r="J732" s="446" t="s">
        <v>746</v>
      </c>
      <c r="K732" s="446" t="s">
        <v>5688</v>
      </c>
      <c r="L732" s="450"/>
      <c r="M732" s="450"/>
      <c r="N732" s="450"/>
      <c r="O732" s="450"/>
      <c r="P732" s="450"/>
      <c r="Q732" s="450"/>
      <c r="R732" s="450"/>
      <c r="S732" s="451"/>
      <c r="T732" s="450"/>
      <c r="U732" s="451"/>
      <c r="V732" s="450"/>
      <c r="W732" s="450"/>
      <c r="X732" s="450"/>
      <c r="Y732" s="450"/>
      <c r="Z732" s="450"/>
    </row>
    <row r="733" spans="1:26" x14ac:dyDescent="0.25">
      <c r="A733" s="446" t="s">
        <v>5689</v>
      </c>
      <c r="B733" s="446"/>
      <c r="C733" s="446" t="s">
        <v>585</v>
      </c>
      <c r="D733" s="446" t="s">
        <v>5690</v>
      </c>
      <c r="E733" s="448" t="s">
        <v>5691</v>
      </c>
      <c r="F733" s="448">
        <v>29049</v>
      </c>
      <c r="G733" s="446" t="s">
        <v>4363</v>
      </c>
      <c r="H733" s="446" t="s">
        <v>4364</v>
      </c>
      <c r="I733" s="446" t="s">
        <v>231</v>
      </c>
      <c r="J733" s="446" t="s">
        <v>4604</v>
      </c>
      <c r="K733" s="446" t="s">
        <v>5692</v>
      </c>
      <c r="L733" s="450"/>
      <c r="M733" s="450"/>
      <c r="N733" s="450"/>
      <c r="O733" s="450"/>
      <c r="P733" s="450"/>
      <c r="Q733" s="450"/>
      <c r="R733" s="450"/>
      <c r="S733" s="451"/>
      <c r="T733" s="450"/>
      <c r="U733" s="451"/>
      <c r="V733" s="450"/>
      <c r="W733" s="450"/>
      <c r="X733" s="450"/>
      <c r="Y733" s="450"/>
      <c r="Z733" s="450"/>
    </row>
    <row r="734" spans="1:26" x14ac:dyDescent="0.25">
      <c r="A734" s="446" t="s">
        <v>5693</v>
      </c>
      <c r="B734" s="446"/>
      <c r="C734" s="446" t="s">
        <v>408</v>
      </c>
      <c r="D734" s="446" t="s">
        <v>5694</v>
      </c>
      <c r="E734" s="448" t="s">
        <v>5691</v>
      </c>
      <c r="F734" s="448">
        <v>29049</v>
      </c>
      <c r="G734" s="446" t="s">
        <v>4358</v>
      </c>
      <c r="H734" s="446" t="s">
        <v>4366</v>
      </c>
      <c r="I734" s="446" t="s">
        <v>231</v>
      </c>
      <c r="J734" s="446" t="s">
        <v>4604</v>
      </c>
      <c r="K734" s="446" t="s">
        <v>5695</v>
      </c>
      <c r="L734" s="450"/>
      <c r="M734" s="450"/>
      <c r="N734" s="450"/>
      <c r="O734" s="450"/>
      <c r="P734" s="450"/>
      <c r="Q734" s="450"/>
      <c r="R734" s="450"/>
      <c r="S734" s="451"/>
      <c r="T734" s="450"/>
      <c r="U734" s="451"/>
      <c r="V734" s="450"/>
      <c r="W734" s="450"/>
      <c r="X734" s="450"/>
      <c r="Y734" s="450"/>
      <c r="Z734" s="450"/>
    </row>
    <row r="735" spans="1:26" x14ac:dyDescent="0.25">
      <c r="A735" s="446" t="s">
        <v>5696</v>
      </c>
      <c r="B735" s="446"/>
      <c r="C735" s="446" t="s">
        <v>1456</v>
      </c>
      <c r="D735" s="446" t="s">
        <v>5697</v>
      </c>
      <c r="E735" s="448" t="s">
        <v>5698</v>
      </c>
      <c r="F735" s="448">
        <v>29052</v>
      </c>
      <c r="G735" s="446" t="s">
        <v>5562</v>
      </c>
      <c r="H735" s="446" t="s">
        <v>5699</v>
      </c>
      <c r="I735" s="446" t="s">
        <v>4632</v>
      </c>
      <c r="J735" s="446" t="s">
        <v>746</v>
      </c>
      <c r="K735" s="446" t="s">
        <v>5700</v>
      </c>
      <c r="L735" s="450"/>
      <c r="M735" s="450"/>
      <c r="N735" s="450"/>
      <c r="O735" s="450"/>
      <c r="P735" s="450"/>
      <c r="Q735" s="450"/>
      <c r="R735" s="450"/>
      <c r="S735" s="451"/>
      <c r="T735" s="450"/>
      <c r="U735" s="451"/>
      <c r="V735" s="450"/>
      <c r="W735" s="450"/>
      <c r="X735" s="450"/>
      <c r="Y735" s="450"/>
      <c r="Z735" s="450"/>
    </row>
    <row r="736" spans="1:26" x14ac:dyDescent="0.25">
      <c r="A736" s="446" t="s">
        <v>5701</v>
      </c>
      <c r="B736" s="446"/>
      <c r="C736" s="446" t="s">
        <v>408</v>
      </c>
      <c r="D736" s="446" t="s">
        <v>5702</v>
      </c>
      <c r="E736" s="448" t="s">
        <v>5703</v>
      </c>
      <c r="F736" s="448">
        <v>29063</v>
      </c>
      <c r="G736" s="446" t="s">
        <v>4358</v>
      </c>
      <c r="H736" s="446" t="s">
        <v>918</v>
      </c>
      <c r="I736" s="446" t="s">
        <v>231</v>
      </c>
      <c r="J736" s="446" t="s">
        <v>4604</v>
      </c>
      <c r="K736" s="446" t="s">
        <v>5704</v>
      </c>
      <c r="L736" s="450"/>
      <c r="M736" s="450"/>
      <c r="N736" s="450"/>
      <c r="O736" s="450"/>
      <c r="P736" s="450"/>
      <c r="Q736" s="450"/>
      <c r="R736" s="450"/>
      <c r="S736" s="451"/>
      <c r="T736" s="450"/>
      <c r="U736" s="451"/>
      <c r="V736" s="450"/>
      <c r="W736" s="450"/>
      <c r="X736" s="450"/>
      <c r="Y736" s="450"/>
      <c r="Z736" s="450"/>
    </row>
    <row r="737" spans="1:26" x14ac:dyDescent="0.25">
      <c r="A737" s="446" t="s">
        <v>761</v>
      </c>
      <c r="B737" s="446"/>
      <c r="C737" s="446" t="s">
        <v>619</v>
      </c>
      <c r="D737" s="446" t="s">
        <v>5705</v>
      </c>
      <c r="E737" s="448" t="s">
        <v>5706</v>
      </c>
      <c r="F737" s="448">
        <v>29094</v>
      </c>
      <c r="G737" s="446" t="s">
        <v>353</v>
      </c>
      <c r="H737" s="446" t="s">
        <v>763</v>
      </c>
      <c r="I737" s="446" t="s">
        <v>4632</v>
      </c>
      <c r="J737" s="446" t="s">
        <v>404</v>
      </c>
      <c r="K737" s="446" t="s">
        <v>5707</v>
      </c>
      <c r="L737" s="450"/>
      <c r="M737" s="450"/>
      <c r="N737" s="450"/>
      <c r="O737" s="450"/>
      <c r="P737" s="450"/>
      <c r="Q737" s="450"/>
      <c r="R737" s="450"/>
      <c r="S737" s="451"/>
      <c r="T737" s="450"/>
      <c r="U737" s="451"/>
      <c r="V737" s="450"/>
      <c r="W737" s="450"/>
      <c r="X737" s="450"/>
      <c r="Y737" s="450"/>
      <c r="Z737" s="450"/>
    </row>
    <row r="738" spans="1:26" x14ac:dyDescent="0.25">
      <c r="A738" s="446" t="s">
        <v>765</v>
      </c>
      <c r="B738" s="446"/>
      <c r="C738" s="446" t="s">
        <v>680</v>
      </c>
      <c r="D738" s="446" t="s">
        <v>5708</v>
      </c>
      <c r="E738" s="448" t="s">
        <v>5709</v>
      </c>
      <c r="F738" s="448">
        <v>29102</v>
      </c>
      <c r="G738" s="446" t="s">
        <v>221</v>
      </c>
      <c r="H738" s="446" t="s">
        <v>767</v>
      </c>
      <c r="I738" s="446" t="s">
        <v>4632</v>
      </c>
      <c r="J738" s="446" t="s">
        <v>746</v>
      </c>
      <c r="K738" s="446" t="s">
        <v>5710</v>
      </c>
      <c r="L738" s="450"/>
      <c r="M738" s="450"/>
      <c r="N738" s="450"/>
      <c r="O738" s="450"/>
      <c r="P738" s="450"/>
      <c r="Q738" s="450"/>
      <c r="R738" s="450"/>
      <c r="S738" s="451"/>
      <c r="T738" s="450"/>
      <c r="U738" s="451"/>
      <c r="V738" s="450"/>
      <c r="W738" s="450"/>
      <c r="X738" s="450"/>
      <c r="Y738" s="450"/>
      <c r="Z738" s="450"/>
    </row>
    <row r="739" spans="1:26" x14ac:dyDescent="0.25">
      <c r="A739" s="446" t="s">
        <v>769</v>
      </c>
      <c r="B739" s="446"/>
      <c r="C739" s="446" t="s">
        <v>680</v>
      </c>
      <c r="D739" s="446" t="s">
        <v>5711</v>
      </c>
      <c r="E739" s="448" t="s">
        <v>5709</v>
      </c>
      <c r="F739" s="448">
        <v>29102</v>
      </c>
      <c r="G739" s="446" t="s">
        <v>221</v>
      </c>
      <c r="H739" s="446" t="s">
        <v>767</v>
      </c>
      <c r="I739" s="446" t="s">
        <v>4632</v>
      </c>
      <c r="J739" s="446" t="s">
        <v>746</v>
      </c>
      <c r="K739" s="446" t="s">
        <v>5712</v>
      </c>
      <c r="L739" s="450"/>
      <c r="M739" s="450"/>
      <c r="N739" s="450"/>
      <c r="O739" s="450"/>
      <c r="P739" s="450"/>
      <c r="Q739" s="450"/>
      <c r="R739" s="450"/>
      <c r="S739" s="451"/>
      <c r="T739" s="450"/>
      <c r="U739" s="451"/>
      <c r="V739" s="450"/>
      <c r="W739" s="450"/>
      <c r="X739" s="450"/>
      <c r="Y739" s="450"/>
      <c r="Z739" s="450"/>
    </row>
    <row r="740" spans="1:26" x14ac:dyDescent="0.25">
      <c r="A740" s="446" t="s">
        <v>772</v>
      </c>
      <c r="B740" s="446"/>
      <c r="C740" s="446" t="s">
        <v>619</v>
      </c>
      <c r="D740" s="446" t="s">
        <v>5713</v>
      </c>
      <c r="E740" s="448" t="s">
        <v>5714</v>
      </c>
      <c r="F740" s="448">
        <v>29126</v>
      </c>
      <c r="G740" s="446" t="s">
        <v>5715</v>
      </c>
      <c r="H740" s="446" t="s">
        <v>5716</v>
      </c>
      <c r="I740" s="446" t="s">
        <v>5207</v>
      </c>
      <c r="J740" s="446" t="s">
        <v>404</v>
      </c>
      <c r="K740" s="446" t="s">
        <v>5717</v>
      </c>
      <c r="L740" s="450"/>
      <c r="M740" s="450"/>
      <c r="N740" s="450"/>
      <c r="O740" s="450"/>
      <c r="P740" s="450"/>
      <c r="Q740" s="450"/>
      <c r="R740" s="450"/>
      <c r="S740" s="451"/>
      <c r="T740" s="450"/>
      <c r="U740" s="451"/>
      <c r="V740" s="450"/>
      <c r="W740" s="450"/>
      <c r="X740" s="450"/>
      <c r="Y740" s="450"/>
      <c r="Z740" s="450"/>
    </row>
    <row r="741" spans="1:26" x14ac:dyDescent="0.25">
      <c r="A741" s="446" t="s">
        <v>779</v>
      </c>
      <c r="B741" s="446"/>
      <c r="C741" s="446" t="s">
        <v>521</v>
      </c>
      <c r="D741" s="446" t="s">
        <v>5718</v>
      </c>
      <c r="E741" s="448" t="s">
        <v>5719</v>
      </c>
      <c r="F741" s="448">
        <v>29172</v>
      </c>
      <c r="G741" s="446" t="s">
        <v>781</v>
      </c>
      <c r="H741" s="446" t="s">
        <v>1080</v>
      </c>
      <c r="I741" s="446" t="s">
        <v>231</v>
      </c>
      <c r="J741" s="446" t="s">
        <v>760</v>
      </c>
      <c r="K741" s="446" t="s">
        <v>5720</v>
      </c>
      <c r="L741" s="450"/>
      <c r="M741" s="450"/>
      <c r="N741" s="450"/>
      <c r="O741" s="450"/>
      <c r="P741" s="450"/>
      <c r="Q741" s="450"/>
      <c r="R741" s="450"/>
      <c r="S741" s="451"/>
      <c r="T741" s="450"/>
      <c r="U741" s="451"/>
      <c r="V741" s="450"/>
      <c r="W741" s="450"/>
      <c r="X741" s="450"/>
      <c r="Y741" s="450"/>
      <c r="Z741" s="450"/>
    </row>
    <row r="742" spans="1:26" x14ac:dyDescent="0.25">
      <c r="A742" s="446" t="s">
        <v>5721</v>
      </c>
      <c r="B742" s="446"/>
      <c r="C742" s="446" t="s">
        <v>1456</v>
      </c>
      <c r="D742" s="446" t="s">
        <v>5722</v>
      </c>
      <c r="E742" s="448" t="s">
        <v>5723</v>
      </c>
      <c r="F742" s="448">
        <v>29189</v>
      </c>
      <c r="G742" s="446" t="s">
        <v>5562</v>
      </c>
      <c r="H742" s="446" t="s">
        <v>5502</v>
      </c>
      <c r="I742" s="446" t="s">
        <v>4632</v>
      </c>
      <c r="J742" s="446" t="s">
        <v>746</v>
      </c>
      <c r="K742" s="446" t="s">
        <v>5724</v>
      </c>
      <c r="L742" s="450"/>
      <c r="M742" s="450"/>
      <c r="N742" s="450"/>
      <c r="O742" s="450"/>
      <c r="P742" s="450"/>
      <c r="Q742" s="450"/>
      <c r="R742" s="450"/>
      <c r="S742" s="451"/>
      <c r="T742" s="450"/>
      <c r="U742" s="451"/>
      <c r="V742" s="450"/>
      <c r="W742" s="450"/>
      <c r="X742" s="450"/>
      <c r="Y742" s="450"/>
      <c r="Z742" s="450"/>
    </row>
    <row r="743" spans="1:26" x14ac:dyDescent="0.25">
      <c r="A743" s="446" t="s">
        <v>5725</v>
      </c>
      <c r="B743" s="446"/>
      <c r="C743" s="446" t="s">
        <v>202</v>
      </c>
      <c r="D743" s="446" t="s">
        <v>5726</v>
      </c>
      <c r="E743" s="448" t="s">
        <v>5727</v>
      </c>
      <c r="F743" s="448">
        <v>29299</v>
      </c>
      <c r="G743" s="446" t="s">
        <v>775</v>
      </c>
      <c r="H743" s="446" t="s">
        <v>5728</v>
      </c>
      <c r="I743" s="446" t="s">
        <v>231</v>
      </c>
      <c r="J743" s="446" t="s">
        <v>746</v>
      </c>
      <c r="K743" s="446" t="s">
        <v>5729</v>
      </c>
      <c r="L743" s="450"/>
      <c r="M743" s="450"/>
      <c r="N743" s="450"/>
      <c r="O743" s="450"/>
      <c r="P743" s="450"/>
      <c r="Q743" s="450"/>
      <c r="R743" s="450"/>
      <c r="S743" s="451"/>
      <c r="T743" s="450"/>
      <c r="U743" s="451"/>
      <c r="V743" s="450"/>
      <c r="W743" s="450"/>
      <c r="X743" s="450"/>
      <c r="Y743" s="450"/>
      <c r="Z743" s="450"/>
    </row>
    <row r="744" spans="1:26" x14ac:dyDescent="0.25">
      <c r="A744" s="446" t="s">
        <v>5730</v>
      </c>
      <c r="B744" s="446"/>
      <c r="C744" s="446" t="s">
        <v>1456</v>
      </c>
      <c r="D744" s="446" t="s">
        <v>5731</v>
      </c>
      <c r="E744" s="448" t="s">
        <v>5732</v>
      </c>
      <c r="F744" s="448">
        <v>29312</v>
      </c>
      <c r="G744" s="446" t="s">
        <v>5728</v>
      </c>
      <c r="H744" s="446" t="s">
        <v>5733</v>
      </c>
      <c r="I744" s="446" t="s">
        <v>231</v>
      </c>
      <c r="J744" s="446" t="s">
        <v>746</v>
      </c>
      <c r="K744" s="446" t="s">
        <v>5734</v>
      </c>
      <c r="L744" s="450"/>
      <c r="M744" s="450"/>
      <c r="N744" s="450"/>
      <c r="O744" s="450"/>
      <c r="P744" s="450"/>
      <c r="Q744" s="450"/>
      <c r="R744" s="450"/>
      <c r="S744" s="451"/>
      <c r="T744" s="450"/>
      <c r="U744" s="451"/>
      <c r="V744" s="450"/>
      <c r="W744" s="450"/>
      <c r="X744" s="450"/>
      <c r="Y744" s="450"/>
      <c r="Z744" s="450"/>
    </row>
    <row r="745" spans="1:26" x14ac:dyDescent="0.25">
      <c r="A745" s="446" t="s">
        <v>5735</v>
      </c>
      <c r="B745" s="446"/>
      <c r="C745" s="446" t="s">
        <v>4618</v>
      </c>
      <c r="D745" s="446" t="s">
        <v>5736</v>
      </c>
      <c r="E745" s="448" t="s">
        <v>5737</v>
      </c>
      <c r="F745" s="448">
        <v>29369</v>
      </c>
      <c r="G745" s="446" t="s">
        <v>5562</v>
      </c>
      <c r="H745" s="446" t="s">
        <v>5738</v>
      </c>
      <c r="I745" s="446" t="s">
        <v>231</v>
      </c>
      <c r="J745" s="446" t="s">
        <v>746</v>
      </c>
      <c r="K745" s="446" t="s">
        <v>5739</v>
      </c>
      <c r="L745" s="450"/>
      <c r="M745" s="450"/>
      <c r="N745" s="450"/>
      <c r="O745" s="450"/>
      <c r="P745" s="450"/>
      <c r="Q745" s="450"/>
      <c r="R745" s="450"/>
      <c r="S745" s="451"/>
      <c r="T745" s="450"/>
      <c r="U745" s="451"/>
      <c r="V745" s="450"/>
      <c r="W745" s="450"/>
      <c r="X745" s="450"/>
      <c r="Y745" s="450"/>
      <c r="Z745" s="450"/>
    </row>
    <row r="746" spans="1:26" x14ac:dyDescent="0.25">
      <c r="A746" s="446" t="s">
        <v>5740</v>
      </c>
      <c r="B746" s="446"/>
      <c r="C746" s="446" t="s">
        <v>1456</v>
      </c>
      <c r="D746" s="446" t="s">
        <v>5741</v>
      </c>
      <c r="E746" s="448" t="s">
        <v>5742</v>
      </c>
      <c r="F746" s="448">
        <v>27964</v>
      </c>
      <c r="G746" s="446" t="s">
        <v>5502</v>
      </c>
      <c r="H746" s="446" t="s">
        <v>5743</v>
      </c>
      <c r="I746" s="446" t="s">
        <v>5511</v>
      </c>
      <c r="J746" s="446" t="s">
        <v>746</v>
      </c>
      <c r="K746" s="446" t="s">
        <v>5744</v>
      </c>
      <c r="L746" s="450"/>
      <c r="M746" s="450"/>
      <c r="N746" s="450"/>
      <c r="O746" s="450"/>
      <c r="P746" s="450"/>
      <c r="Q746" s="450"/>
      <c r="R746" s="450"/>
      <c r="S746" s="451"/>
      <c r="T746" s="450"/>
      <c r="U746" s="451"/>
      <c r="V746" s="450"/>
      <c r="W746" s="450"/>
      <c r="X746" s="450"/>
      <c r="Y746" s="450"/>
      <c r="Z746" s="450"/>
    </row>
    <row r="747" spans="1:26" x14ac:dyDescent="0.25">
      <c r="A747" s="446" t="s">
        <v>5745</v>
      </c>
      <c r="B747" s="446"/>
      <c r="C747" s="446" t="s">
        <v>408</v>
      </c>
      <c r="D747" s="446" t="s">
        <v>5746</v>
      </c>
      <c r="E747" s="448" t="s">
        <v>5747</v>
      </c>
      <c r="F747" s="448">
        <v>29438</v>
      </c>
      <c r="G747" s="446" t="s">
        <v>4372</v>
      </c>
      <c r="H747" s="446" t="s">
        <v>4357</v>
      </c>
      <c r="I747" s="446" t="s">
        <v>231</v>
      </c>
      <c r="J747" s="446" t="s">
        <v>4604</v>
      </c>
      <c r="K747" s="446" t="s">
        <v>5748</v>
      </c>
      <c r="L747" s="450"/>
      <c r="M747" s="450"/>
      <c r="N747" s="450"/>
      <c r="O747" s="450"/>
      <c r="P747" s="450"/>
      <c r="Q747" s="450"/>
      <c r="R747" s="450"/>
      <c r="S747" s="451"/>
      <c r="T747" s="450"/>
      <c r="U747" s="451"/>
      <c r="V747" s="450"/>
      <c r="W747" s="450"/>
      <c r="X747" s="450"/>
      <c r="Y747" s="450"/>
      <c r="Z747" s="450"/>
    </row>
    <row r="748" spans="1:26" x14ac:dyDescent="0.25">
      <c r="A748" s="446" t="s">
        <v>5749</v>
      </c>
      <c r="B748" s="446"/>
      <c r="C748" s="446" t="s">
        <v>408</v>
      </c>
      <c r="D748" s="446" t="s">
        <v>5750</v>
      </c>
      <c r="E748" s="448" t="s">
        <v>5747</v>
      </c>
      <c r="F748" s="448">
        <v>29438</v>
      </c>
      <c r="G748" s="446" t="s">
        <v>4357</v>
      </c>
      <c r="H748" s="446" t="s">
        <v>710</v>
      </c>
      <c r="I748" s="446" t="s">
        <v>231</v>
      </c>
      <c r="J748" s="446" t="s">
        <v>4604</v>
      </c>
      <c r="K748" s="446" t="s">
        <v>5751</v>
      </c>
      <c r="L748" s="450"/>
      <c r="M748" s="450"/>
      <c r="N748" s="450"/>
      <c r="O748" s="450"/>
      <c r="P748" s="450"/>
      <c r="Q748" s="450"/>
      <c r="R748" s="450"/>
      <c r="S748" s="451"/>
      <c r="T748" s="450"/>
      <c r="U748" s="451"/>
      <c r="V748" s="450"/>
      <c r="W748" s="450"/>
      <c r="X748" s="450"/>
      <c r="Y748" s="450"/>
      <c r="Z748" s="450"/>
    </row>
    <row r="749" spans="1:26" x14ac:dyDescent="0.25">
      <c r="A749" s="446" t="s">
        <v>5752</v>
      </c>
      <c r="B749" s="446"/>
      <c r="C749" s="446" t="s">
        <v>1456</v>
      </c>
      <c r="D749" s="446" t="s">
        <v>5753</v>
      </c>
      <c r="E749" s="448" t="s">
        <v>5754</v>
      </c>
      <c r="F749" s="448">
        <v>29444</v>
      </c>
      <c r="G749" s="446" t="s">
        <v>5562</v>
      </c>
      <c r="H749" s="446" t="s">
        <v>5502</v>
      </c>
      <c r="I749" s="446" t="s">
        <v>4632</v>
      </c>
      <c r="J749" s="446" t="s">
        <v>746</v>
      </c>
      <c r="K749" s="446" t="s">
        <v>5755</v>
      </c>
      <c r="L749" s="450"/>
      <c r="M749" s="450"/>
      <c r="N749" s="450"/>
      <c r="O749" s="450"/>
      <c r="P749" s="450"/>
      <c r="Q749" s="450"/>
      <c r="R749" s="450"/>
      <c r="S749" s="451"/>
      <c r="T749" s="450"/>
      <c r="U749" s="451"/>
      <c r="V749" s="450"/>
      <c r="W749" s="450"/>
      <c r="X749" s="450"/>
      <c r="Y749" s="450"/>
      <c r="Z749" s="450"/>
    </row>
    <row r="750" spans="1:26" x14ac:dyDescent="0.25">
      <c r="A750" s="446" t="s">
        <v>5756</v>
      </c>
      <c r="B750" s="446"/>
      <c r="C750" s="446" t="s">
        <v>202</v>
      </c>
      <c r="D750" s="446" t="s">
        <v>5757</v>
      </c>
      <c r="E750" s="448" t="s">
        <v>5758</v>
      </c>
      <c r="F750" s="448">
        <v>29669</v>
      </c>
      <c r="G750" s="446" t="s">
        <v>5759</v>
      </c>
      <c r="H750" s="446" t="s">
        <v>5760</v>
      </c>
      <c r="I750" s="446" t="s">
        <v>4632</v>
      </c>
      <c r="J750" s="446" t="s">
        <v>746</v>
      </c>
      <c r="K750" s="446" t="s">
        <v>5761</v>
      </c>
      <c r="L750" s="450"/>
      <c r="M750" s="450"/>
      <c r="N750" s="450"/>
      <c r="O750" s="450"/>
      <c r="P750" s="450"/>
      <c r="Q750" s="450"/>
      <c r="R750" s="450"/>
      <c r="S750" s="451"/>
      <c r="T750" s="450"/>
      <c r="U750" s="451"/>
      <c r="V750" s="450"/>
      <c r="W750" s="450"/>
      <c r="X750" s="450"/>
      <c r="Y750" s="450"/>
      <c r="Z750" s="450"/>
    </row>
    <row r="751" spans="1:26" x14ac:dyDescent="0.25">
      <c r="A751" s="446" t="s">
        <v>784</v>
      </c>
      <c r="B751" s="446"/>
      <c r="C751" s="446" t="s">
        <v>408</v>
      </c>
      <c r="D751" s="446" t="s">
        <v>5762</v>
      </c>
      <c r="E751" s="448" t="s">
        <v>5763</v>
      </c>
      <c r="F751" s="448">
        <v>29675</v>
      </c>
      <c r="G751" s="446" t="s">
        <v>221</v>
      </c>
      <c r="H751" s="446" t="s">
        <v>5764</v>
      </c>
      <c r="I751" s="446" t="s">
        <v>231</v>
      </c>
      <c r="J751" s="446" t="s">
        <v>4604</v>
      </c>
      <c r="K751" s="446" t="s">
        <v>5765</v>
      </c>
      <c r="L751" s="450"/>
      <c r="M751" s="450"/>
      <c r="N751" s="450"/>
      <c r="O751" s="450"/>
      <c r="P751" s="450"/>
      <c r="Q751" s="450"/>
      <c r="R751" s="450"/>
      <c r="S751" s="451"/>
      <c r="T751" s="450"/>
      <c r="U751" s="451"/>
      <c r="V751" s="450"/>
      <c r="W751" s="450"/>
      <c r="X751" s="450"/>
      <c r="Y751" s="450"/>
      <c r="Z751" s="450"/>
    </row>
    <row r="752" spans="1:26" x14ac:dyDescent="0.25">
      <c r="A752" s="446" t="s">
        <v>789</v>
      </c>
      <c r="B752" s="446"/>
      <c r="C752" s="446" t="s">
        <v>408</v>
      </c>
      <c r="D752" s="446" t="s">
        <v>5766</v>
      </c>
      <c r="E752" s="448" t="s">
        <v>5767</v>
      </c>
      <c r="F752" s="448">
        <v>29714</v>
      </c>
      <c r="G752" s="446" t="s">
        <v>4377</v>
      </c>
      <c r="H752" s="446" t="s">
        <v>792</v>
      </c>
      <c r="I752" s="446" t="s">
        <v>4632</v>
      </c>
      <c r="J752" s="446" t="s">
        <v>4604</v>
      </c>
      <c r="K752" s="446" t="s">
        <v>5768</v>
      </c>
      <c r="L752" s="450"/>
      <c r="M752" s="450"/>
      <c r="N752" s="450"/>
      <c r="O752" s="450"/>
      <c r="P752" s="450"/>
      <c r="Q752" s="450"/>
      <c r="R752" s="450"/>
      <c r="S752" s="451"/>
      <c r="T752" s="450"/>
      <c r="U752" s="451"/>
      <c r="V752" s="450"/>
      <c r="W752" s="450"/>
      <c r="X752" s="450"/>
      <c r="Y752" s="450"/>
      <c r="Z752" s="450"/>
    </row>
    <row r="753" spans="1:26" x14ac:dyDescent="0.25">
      <c r="A753" s="446" t="s">
        <v>793</v>
      </c>
      <c r="B753" s="446"/>
      <c r="C753" s="446" t="s">
        <v>408</v>
      </c>
      <c r="D753" s="446" t="s">
        <v>5769</v>
      </c>
      <c r="E753" s="448" t="s">
        <v>5767</v>
      </c>
      <c r="F753" s="448">
        <v>29714</v>
      </c>
      <c r="G753" s="446" t="s">
        <v>792</v>
      </c>
      <c r="H753" s="446" t="s">
        <v>795</v>
      </c>
      <c r="I753" s="446" t="s">
        <v>4632</v>
      </c>
      <c r="J753" s="446" t="s">
        <v>4604</v>
      </c>
      <c r="K753" s="446" t="s">
        <v>5770</v>
      </c>
      <c r="L753" s="450"/>
      <c r="M753" s="450"/>
      <c r="N753" s="450"/>
      <c r="O753" s="450"/>
      <c r="P753" s="450"/>
      <c r="Q753" s="450"/>
      <c r="R753" s="450"/>
      <c r="S753" s="451"/>
      <c r="T753" s="450"/>
      <c r="U753" s="451"/>
      <c r="V753" s="450"/>
      <c r="W753" s="450"/>
      <c r="X753" s="450"/>
      <c r="Y753" s="450"/>
      <c r="Z753" s="450"/>
    </row>
    <row r="754" spans="1:26" x14ac:dyDescent="0.25">
      <c r="A754" s="446" t="s">
        <v>797</v>
      </c>
      <c r="B754" s="446"/>
      <c r="C754" s="446" t="s">
        <v>408</v>
      </c>
      <c r="D754" s="446" t="s">
        <v>5771</v>
      </c>
      <c r="E754" s="448" t="s">
        <v>5772</v>
      </c>
      <c r="F754" s="448">
        <v>29767</v>
      </c>
      <c r="G754" s="446" t="s">
        <v>5764</v>
      </c>
      <c r="H754" s="446" t="s">
        <v>799</v>
      </c>
      <c r="I754" s="446" t="s">
        <v>231</v>
      </c>
      <c r="J754" s="446" t="s">
        <v>4604</v>
      </c>
      <c r="K754" s="446" t="s">
        <v>5773</v>
      </c>
      <c r="L754" s="450"/>
      <c r="M754" s="450"/>
      <c r="N754" s="450"/>
      <c r="O754" s="450"/>
      <c r="P754" s="450"/>
      <c r="Q754" s="450"/>
      <c r="R754" s="450"/>
      <c r="S754" s="451"/>
      <c r="T754" s="450"/>
      <c r="U754" s="451"/>
      <c r="V754" s="450"/>
      <c r="W754" s="450"/>
      <c r="X754" s="450"/>
      <c r="Y754" s="450"/>
      <c r="Z754" s="450"/>
    </row>
    <row r="755" spans="1:26" x14ac:dyDescent="0.25">
      <c r="A755" s="446" t="s">
        <v>802</v>
      </c>
      <c r="B755" s="446"/>
      <c r="C755" s="446" t="s">
        <v>408</v>
      </c>
      <c r="D755" s="446" t="s">
        <v>5774</v>
      </c>
      <c r="E755" s="448" t="s">
        <v>5775</v>
      </c>
      <c r="F755" s="448">
        <v>29812</v>
      </c>
      <c r="G755" s="446" t="s">
        <v>5764</v>
      </c>
      <c r="H755" s="446" t="s">
        <v>804</v>
      </c>
      <c r="I755" s="446" t="s">
        <v>231</v>
      </c>
      <c r="J755" s="446" t="s">
        <v>4604</v>
      </c>
      <c r="K755" s="446" t="s">
        <v>5776</v>
      </c>
      <c r="L755" s="450"/>
      <c r="M755" s="450"/>
      <c r="N755" s="450"/>
      <c r="O755" s="450"/>
      <c r="P755" s="450"/>
      <c r="Q755" s="450"/>
      <c r="R755" s="450"/>
      <c r="S755" s="451"/>
      <c r="T755" s="450"/>
      <c r="U755" s="451"/>
      <c r="V755" s="450"/>
      <c r="W755" s="450"/>
      <c r="X755" s="450"/>
      <c r="Y755" s="450"/>
      <c r="Z755" s="450"/>
    </row>
    <row r="756" spans="1:26" x14ac:dyDescent="0.25">
      <c r="A756" s="446" t="s">
        <v>5777</v>
      </c>
      <c r="B756" s="446"/>
      <c r="C756" s="446" t="s">
        <v>1456</v>
      </c>
      <c r="D756" s="446" t="s">
        <v>5778</v>
      </c>
      <c r="E756" s="448" t="s">
        <v>5779</v>
      </c>
      <c r="F756" s="448">
        <v>29857</v>
      </c>
      <c r="G756" s="446" t="s">
        <v>5760</v>
      </c>
      <c r="H756" s="446" t="s">
        <v>799</v>
      </c>
      <c r="I756" s="446" t="s">
        <v>231</v>
      </c>
      <c r="J756" s="446" t="s">
        <v>746</v>
      </c>
      <c r="K756" s="446" t="s">
        <v>5780</v>
      </c>
      <c r="L756" s="450"/>
      <c r="M756" s="450"/>
      <c r="N756" s="450"/>
      <c r="O756" s="450"/>
      <c r="P756" s="450"/>
      <c r="Q756" s="450"/>
      <c r="R756" s="450"/>
      <c r="S756" s="451"/>
      <c r="T756" s="450"/>
      <c r="U756" s="451"/>
      <c r="V756" s="450"/>
      <c r="W756" s="450"/>
      <c r="X756" s="450"/>
      <c r="Y756" s="450"/>
      <c r="Z756" s="450"/>
    </row>
    <row r="757" spans="1:26" x14ac:dyDescent="0.25">
      <c r="A757" s="446" t="s">
        <v>5781</v>
      </c>
      <c r="B757" s="446"/>
      <c r="C757" s="446" t="s">
        <v>1456</v>
      </c>
      <c r="D757" s="446" t="s">
        <v>5782</v>
      </c>
      <c r="E757" s="448" t="s">
        <v>5779</v>
      </c>
      <c r="F757" s="448">
        <v>29857</v>
      </c>
      <c r="G757" s="446" t="s">
        <v>5760</v>
      </c>
      <c r="H757" s="446" t="s">
        <v>804</v>
      </c>
      <c r="I757" s="446" t="s">
        <v>231</v>
      </c>
      <c r="J757" s="446" t="s">
        <v>746</v>
      </c>
      <c r="K757" s="446" t="s">
        <v>5783</v>
      </c>
      <c r="L757" s="450"/>
      <c r="M757" s="450"/>
      <c r="N757" s="450"/>
      <c r="O757" s="450"/>
      <c r="P757" s="450"/>
      <c r="Q757" s="450"/>
      <c r="R757" s="450"/>
      <c r="S757" s="451"/>
      <c r="T757" s="450"/>
      <c r="U757" s="451"/>
      <c r="V757" s="450"/>
      <c r="W757" s="450"/>
      <c r="X757" s="450"/>
      <c r="Y757" s="450"/>
      <c r="Z757" s="450"/>
    </row>
    <row r="758" spans="1:26" x14ac:dyDescent="0.25">
      <c r="A758" s="446" t="s">
        <v>5784</v>
      </c>
      <c r="B758" s="446"/>
      <c r="C758" s="446" t="s">
        <v>202</v>
      </c>
      <c r="D758" s="446" t="s">
        <v>5785</v>
      </c>
      <c r="E758" s="448" t="s">
        <v>5786</v>
      </c>
      <c r="F758" s="448">
        <v>29861</v>
      </c>
      <c r="G758" s="446" t="s">
        <v>824</v>
      </c>
      <c r="H758" s="446" t="s">
        <v>5484</v>
      </c>
      <c r="I758" s="446" t="s">
        <v>231</v>
      </c>
      <c r="J758" s="446" t="s">
        <v>746</v>
      </c>
      <c r="K758" s="446" t="s">
        <v>5787</v>
      </c>
      <c r="L758" s="450"/>
      <c r="M758" s="450"/>
      <c r="N758" s="450"/>
      <c r="O758" s="450"/>
      <c r="P758" s="450"/>
      <c r="Q758" s="450"/>
      <c r="R758" s="450"/>
      <c r="S758" s="451"/>
      <c r="T758" s="450"/>
      <c r="U758" s="451"/>
      <c r="V758" s="450"/>
      <c r="W758" s="450"/>
      <c r="X758" s="450"/>
      <c r="Y758" s="450"/>
      <c r="Z758" s="450"/>
    </row>
    <row r="759" spans="1:26" x14ac:dyDescent="0.25">
      <c r="A759" s="446" t="s">
        <v>5788</v>
      </c>
      <c r="B759" s="446"/>
      <c r="C759" s="446" t="s">
        <v>1456</v>
      </c>
      <c r="D759" s="446" t="s">
        <v>5789</v>
      </c>
      <c r="E759" s="448" t="s">
        <v>5790</v>
      </c>
      <c r="F759" s="448">
        <v>29844</v>
      </c>
      <c r="G759" s="446" t="s">
        <v>5429</v>
      </c>
      <c r="H759" s="446" t="s">
        <v>5791</v>
      </c>
      <c r="I759" s="446" t="s">
        <v>5207</v>
      </c>
      <c r="J759" s="446" t="s">
        <v>746</v>
      </c>
      <c r="K759" s="446" t="s">
        <v>5792</v>
      </c>
      <c r="L759" s="450"/>
      <c r="M759" s="450"/>
      <c r="N759" s="450"/>
      <c r="O759" s="450"/>
      <c r="P759" s="450"/>
      <c r="Q759" s="450"/>
      <c r="R759" s="450"/>
      <c r="S759" s="451"/>
      <c r="T759" s="450"/>
      <c r="U759" s="451"/>
      <c r="V759" s="450"/>
      <c r="W759" s="450"/>
      <c r="X759" s="450"/>
      <c r="Y759" s="450"/>
      <c r="Z759" s="450"/>
    </row>
    <row r="760" spans="1:26" x14ac:dyDescent="0.25">
      <c r="A760" s="446" t="s">
        <v>5793</v>
      </c>
      <c r="B760" s="446"/>
      <c r="C760" s="446" t="s">
        <v>202</v>
      </c>
      <c r="D760" s="446" t="s">
        <v>5794</v>
      </c>
      <c r="E760" s="448" t="s">
        <v>5795</v>
      </c>
      <c r="F760" s="448">
        <v>29915</v>
      </c>
      <c r="G760" s="446" t="s">
        <v>4342</v>
      </c>
      <c r="H760" s="446" t="s">
        <v>5796</v>
      </c>
      <c r="I760" s="446" t="s">
        <v>231</v>
      </c>
      <c r="J760" s="446" t="s">
        <v>746</v>
      </c>
      <c r="K760" s="446" t="s">
        <v>5797</v>
      </c>
      <c r="L760" s="450"/>
      <c r="M760" s="450"/>
      <c r="N760" s="450"/>
      <c r="O760" s="450"/>
      <c r="P760" s="450"/>
      <c r="Q760" s="450"/>
      <c r="R760" s="450"/>
      <c r="S760" s="451"/>
      <c r="T760" s="450"/>
      <c r="U760" s="451"/>
      <c r="V760" s="450"/>
      <c r="W760" s="450"/>
      <c r="X760" s="450"/>
      <c r="Y760" s="450"/>
      <c r="Z760" s="450"/>
    </row>
    <row r="761" spans="1:26" x14ac:dyDescent="0.25">
      <c r="A761" s="446" t="s">
        <v>5798</v>
      </c>
      <c r="B761" s="446"/>
      <c r="C761" s="446" t="s">
        <v>202</v>
      </c>
      <c r="D761" s="446" t="s">
        <v>5799</v>
      </c>
      <c r="E761" s="448" t="s">
        <v>5800</v>
      </c>
      <c r="F761" s="448">
        <v>29969</v>
      </c>
      <c r="G761" s="446" t="s">
        <v>5801</v>
      </c>
      <c r="H761" s="446" t="s">
        <v>5802</v>
      </c>
      <c r="I761" s="446" t="s">
        <v>231</v>
      </c>
      <c r="J761" s="446" t="s">
        <v>746</v>
      </c>
      <c r="K761" s="446" t="s">
        <v>5803</v>
      </c>
      <c r="L761" s="450"/>
      <c r="M761" s="450"/>
      <c r="N761" s="450"/>
      <c r="O761" s="450"/>
      <c r="P761" s="450"/>
      <c r="Q761" s="450"/>
      <c r="R761" s="450"/>
      <c r="S761" s="451"/>
      <c r="T761" s="450"/>
      <c r="U761" s="451"/>
      <c r="V761" s="450"/>
      <c r="W761" s="450"/>
      <c r="X761" s="450"/>
      <c r="Y761" s="450"/>
      <c r="Z761" s="450"/>
    </row>
    <row r="762" spans="1:26" x14ac:dyDescent="0.25">
      <c r="A762" s="446" t="s">
        <v>5804</v>
      </c>
      <c r="B762" s="446"/>
      <c r="C762" s="446" t="s">
        <v>1456</v>
      </c>
      <c r="D762" s="446" t="s">
        <v>5805</v>
      </c>
      <c r="E762" s="448" t="s">
        <v>5806</v>
      </c>
      <c r="F762" s="448">
        <v>29977</v>
      </c>
      <c r="G762" s="446" t="s">
        <v>804</v>
      </c>
      <c r="H762" s="446" t="s">
        <v>5760</v>
      </c>
      <c r="I762" s="446" t="s">
        <v>231</v>
      </c>
      <c r="J762" s="446" t="s">
        <v>746</v>
      </c>
      <c r="K762" s="446" t="s">
        <v>5807</v>
      </c>
      <c r="L762" s="450"/>
      <c r="M762" s="450"/>
      <c r="N762" s="450"/>
      <c r="O762" s="450"/>
      <c r="P762" s="450"/>
      <c r="Q762" s="450"/>
      <c r="R762" s="450"/>
      <c r="S762" s="451"/>
      <c r="T762" s="450"/>
      <c r="U762" s="451"/>
      <c r="V762" s="450"/>
      <c r="W762" s="450"/>
      <c r="X762" s="450"/>
      <c r="Y762" s="450"/>
      <c r="Z762" s="450"/>
    </row>
    <row r="763" spans="1:26" x14ac:dyDescent="0.25">
      <c r="A763" s="446" t="s">
        <v>5808</v>
      </c>
      <c r="B763" s="446"/>
      <c r="C763" s="446" t="s">
        <v>202</v>
      </c>
      <c r="D763" s="446" t="s">
        <v>5809</v>
      </c>
      <c r="E763" s="448" t="s">
        <v>5810</v>
      </c>
      <c r="F763" s="448">
        <v>29992</v>
      </c>
      <c r="G763" s="446" t="s">
        <v>221</v>
      </c>
      <c r="H763" s="446" t="s">
        <v>5811</v>
      </c>
      <c r="I763" s="446" t="s">
        <v>231</v>
      </c>
      <c r="J763" s="446" t="s">
        <v>746</v>
      </c>
      <c r="K763" s="446" t="s">
        <v>5812</v>
      </c>
      <c r="L763" s="450"/>
      <c r="M763" s="450"/>
      <c r="N763" s="450"/>
      <c r="O763" s="450"/>
      <c r="P763" s="450"/>
      <c r="Q763" s="450"/>
      <c r="R763" s="450"/>
      <c r="S763" s="451"/>
      <c r="T763" s="450"/>
      <c r="U763" s="451"/>
      <c r="V763" s="450"/>
      <c r="W763" s="450"/>
      <c r="X763" s="450"/>
      <c r="Y763" s="450"/>
      <c r="Z763" s="450"/>
    </row>
    <row r="764" spans="1:26" x14ac:dyDescent="0.25">
      <c r="A764" s="446" t="s">
        <v>5813</v>
      </c>
      <c r="B764" s="446"/>
      <c r="C764" s="446" t="s">
        <v>408</v>
      </c>
      <c r="D764" s="446" t="s">
        <v>5814</v>
      </c>
      <c r="E764" s="448" t="s">
        <v>5815</v>
      </c>
      <c r="F764" s="448">
        <v>30015</v>
      </c>
      <c r="G764" s="446" t="s">
        <v>710</v>
      </c>
      <c r="H764" s="446" t="s">
        <v>4342</v>
      </c>
      <c r="I764" s="446" t="s">
        <v>231</v>
      </c>
      <c r="J764" s="446" t="s">
        <v>4604</v>
      </c>
      <c r="K764" s="446" t="s">
        <v>5816</v>
      </c>
      <c r="L764" s="450"/>
      <c r="M764" s="450"/>
      <c r="N764" s="450"/>
      <c r="O764" s="450"/>
      <c r="P764" s="450"/>
      <c r="Q764" s="450"/>
      <c r="R764" s="450"/>
      <c r="S764" s="451"/>
      <c r="T764" s="450"/>
      <c r="U764" s="451"/>
      <c r="V764" s="450"/>
      <c r="W764" s="450"/>
      <c r="X764" s="450"/>
      <c r="Y764" s="450"/>
      <c r="Z764" s="450"/>
    </row>
    <row r="765" spans="1:26" x14ac:dyDescent="0.25">
      <c r="A765" s="446" t="s">
        <v>5817</v>
      </c>
      <c r="B765" s="446"/>
      <c r="C765" s="446" t="s">
        <v>202</v>
      </c>
      <c r="D765" s="446" t="s">
        <v>5818</v>
      </c>
      <c r="E765" s="448" t="s">
        <v>5819</v>
      </c>
      <c r="F765" s="448">
        <v>30028</v>
      </c>
      <c r="G765" s="446" t="s">
        <v>706</v>
      </c>
      <c r="H765" s="446" t="s">
        <v>5811</v>
      </c>
      <c r="I765" s="446" t="s">
        <v>231</v>
      </c>
      <c r="J765" s="446" t="s">
        <v>746</v>
      </c>
      <c r="K765" s="446" t="s">
        <v>5820</v>
      </c>
      <c r="L765" s="450"/>
      <c r="M765" s="450"/>
      <c r="N765" s="450"/>
      <c r="O765" s="450"/>
      <c r="P765" s="450"/>
      <c r="Q765" s="450"/>
      <c r="R765" s="450"/>
      <c r="S765" s="451"/>
      <c r="T765" s="450"/>
      <c r="U765" s="451"/>
      <c r="V765" s="450"/>
      <c r="W765" s="450"/>
      <c r="X765" s="450"/>
      <c r="Y765" s="450"/>
      <c r="Z765" s="450"/>
    </row>
    <row r="766" spans="1:26" x14ac:dyDescent="0.25">
      <c r="A766" s="446" t="s">
        <v>5821</v>
      </c>
      <c r="B766" s="446"/>
      <c r="C766" s="446" t="s">
        <v>202</v>
      </c>
      <c r="D766" s="446" t="s">
        <v>5822</v>
      </c>
      <c r="E766" s="448" t="s">
        <v>5823</v>
      </c>
      <c r="F766" s="448">
        <v>30039</v>
      </c>
      <c r="G766" s="446" t="s">
        <v>5824</v>
      </c>
      <c r="H766" s="446" t="s">
        <v>5811</v>
      </c>
      <c r="I766" s="446" t="s">
        <v>231</v>
      </c>
      <c r="J766" s="446" t="s">
        <v>746</v>
      </c>
      <c r="K766" s="446" t="s">
        <v>5825</v>
      </c>
      <c r="L766" s="450"/>
      <c r="M766" s="450"/>
      <c r="N766" s="450"/>
      <c r="O766" s="450"/>
      <c r="P766" s="450"/>
      <c r="Q766" s="450"/>
      <c r="R766" s="450"/>
      <c r="S766" s="451"/>
      <c r="T766" s="450"/>
      <c r="U766" s="451"/>
      <c r="V766" s="450"/>
      <c r="W766" s="450"/>
      <c r="X766" s="450"/>
      <c r="Y766" s="450"/>
      <c r="Z766" s="450"/>
    </row>
    <row r="767" spans="1:26" x14ac:dyDescent="0.25">
      <c r="A767" s="446" t="s">
        <v>807</v>
      </c>
      <c r="B767" s="446"/>
      <c r="C767" s="446" t="s">
        <v>408</v>
      </c>
      <c r="D767" s="446" t="s">
        <v>5826</v>
      </c>
      <c r="E767" s="448" t="s">
        <v>5827</v>
      </c>
      <c r="F767" s="448">
        <v>30054</v>
      </c>
      <c r="G767" s="446" t="s">
        <v>698</v>
      </c>
      <c r="H767" s="446" t="s">
        <v>5828</v>
      </c>
      <c r="I767" s="446" t="s">
        <v>231</v>
      </c>
      <c r="J767" s="446" t="s">
        <v>4604</v>
      </c>
      <c r="K767" s="446" t="s">
        <v>5829</v>
      </c>
      <c r="L767" s="450"/>
      <c r="M767" s="450"/>
      <c r="N767" s="450"/>
      <c r="O767" s="450"/>
      <c r="P767" s="450"/>
      <c r="Q767" s="450"/>
      <c r="R767" s="450"/>
      <c r="S767" s="451"/>
      <c r="T767" s="450"/>
      <c r="U767" s="451"/>
      <c r="V767" s="450"/>
      <c r="W767" s="450"/>
      <c r="X767" s="450"/>
      <c r="Y767" s="450"/>
      <c r="Z767" s="450"/>
    </row>
    <row r="768" spans="1:26" x14ac:dyDescent="0.25">
      <c r="A768" s="446" t="s">
        <v>810</v>
      </c>
      <c r="B768" s="446"/>
      <c r="C768" s="446" t="s">
        <v>756</v>
      </c>
      <c r="D768" s="446" t="s">
        <v>5830</v>
      </c>
      <c r="E768" s="448" t="s">
        <v>5831</v>
      </c>
      <c r="F768" s="448">
        <v>30061</v>
      </c>
      <c r="G768" s="446" t="s">
        <v>812</v>
      </c>
      <c r="H768" s="446" t="s">
        <v>646</v>
      </c>
      <c r="I768" s="446" t="s">
        <v>4632</v>
      </c>
      <c r="J768" s="446" t="s">
        <v>760</v>
      </c>
      <c r="K768" s="446" t="s">
        <v>5832</v>
      </c>
      <c r="L768" s="450"/>
      <c r="M768" s="450"/>
      <c r="N768" s="450"/>
      <c r="O768" s="450"/>
      <c r="P768" s="450"/>
      <c r="Q768" s="450"/>
      <c r="R768" s="450"/>
      <c r="S768" s="451"/>
      <c r="T768" s="450"/>
      <c r="U768" s="451"/>
      <c r="V768" s="450"/>
      <c r="W768" s="450"/>
      <c r="X768" s="450"/>
      <c r="Y768" s="450"/>
      <c r="Z768" s="450"/>
    </row>
    <row r="769" spans="1:26" x14ac:dyDescent="0.25">
      <c r="A769" s="446" t="s">
        <v>5833</v>
      </c>
      <c r="B769" s="446"/>
      <c r="C769" s="446" t="s">
        <v>4618</v>
      </c>
      <c r="D769" s="446" t="s">
        <v>5834</v>
      </c>
      <c r="E769" s="448" t="s">
        <v>5835</v>
      </c>
      <c r="F769" s="448">
        <v>30076</v>
      </c>
      <c r="G769" s="446" t="s">
        <v>106</v>
      </c>
      <c r="H769" s="446" t="s">
        <v>5836</v>
      </c>
      <c r="I769" s="446" t="s">
        <v>231</v>
      </c>
      <c r="J769" s="446" t="s">
        <v>746</v>
      </c>
      <c r="K769" s="446" t="s">
        <v>5837</v>
      </c>
      <c r="L769" s="450"/>
      <c r="M769" s="450"/>
      <c r="N769" s="450"/>
      <c r="O769" s="450"/>
      <c r="P769" s="450"/>
      <c r="Q769" s="450"/>
      <c r="R769" s="450"/>
      <c r="S769" s="451"/>
      <c r="T769" s="450"/>
      <c r="U769" s="451"/>
      <c r="V769" s="450"/>
      <c r="W769" s="450"/>
      <c r="X769" s="450"/>
      <c r="Y769" s="450"/>
      <c r="Z769" s="450"/>
    </row>
    <row r="770" spans="1:26" x14ac:dyDescent="0.25">
      <c r="A770" s="446" t="s">
        <v>813</v>
      </c>
      <c r="B770" s="446"/>
      <c r="C770" s="446" t="s">
        <v>408</v>
      </c>
      <c r="D770" s="446" t="s">
        <v>5838</v>
      </c>
      <c r="E770" s="448" t="s">
        <v>5839</v>
      </c>
      <c r="F770" s="448">
        <v>30081</v>
      </c>
      <c r="G770" s="446" t="s">
        <v>5760</v>
      </c>
      <c r="H770" s="446" t="s">
        <v>799</v>
      </c>
      <c r="I770" s="446" t="s">
        <v>231</v>
      </c>
      <c r="J770" s="446" t="s">
        <v>4604</v>
      </c>
      <c r="K770" s="446" t="s">
        <v>5840</v>
      </c>
      <c r="L770" s="450"/>
      <c r="M770" s="450"/>
      <c r="N770" s="450"/>
      <c r="O770" s="450"/>
      <c r="P770" s="450"/>
      <c r="Q770" s="450"/>
      <c r="R770" s="450"/>
      <c r="S770" s="451"/>
      <c r="T770" s="450"/>
      <c r="U770" s="451"/>
      <c r="V770" s="450"/>
      <c r="W770" s="450"/>
      <c r="X770" s="450"/>
      <c r="Y770" s="450"/>
      <c r="Z770" s="450"/>
    </row>
    <row r="771" spans="1:26" x14ac:dyDescent="0.25">
      <c r="A771" s="446" t="s">
        <v>5841</v>
      </c>
      <c r="B771" s="446"/>
      <c r="C771" s="446" t="s">
        <v>1456</v>
      </c>
      <c r="D771" s="446" t="s">
        <v>5842</v>
      </c>
      <c r="E771" s="448" t="s">
        <v>5839</v>
      </c>
      <c r="F771" s="448">
        <v>30081</v>
      </c>
      <c r="G771" s="446" t="s">
        <v>5760</v>
      </c>
      <c r="H771" s="446" t="s">
        <v>799</v>
      </c>
      <c r="I771" s="446" t="s">
        <v>231</v>
      </c>
      <c r="J771" s="446" t="s">
        <v>746</v>
      </c>
      <c r="K771" s="446" t="s">
        <v>5843</v>
      </c>
      <c r="L771" s="450"/>
      <c r="M771" s="450"/>
      <c r="N771" s="450"/>
      <c r="O771" s="450"/>
      <c r="P771" s="450"/>
      <c r="Q771" s="450"/>
      <c r="R771" s="450"/>
      <c r="S771" s="451"/>
      <c r="T771" s="450"/>
      <c r="U771" s="451"/>
      <c r="V771" s="450"/>
      <c r="W771" s="450"/>
      <c r="X771" s="450"/>
      <c r="Y771" s="450"/>
      <c r="Z771" s="450"/>
    </row>
    <row r="772" spans="1:26" x14ac:dyDescent="0.25">
      <c r="A772" s="446" t="s">
        <v>5844</v>
      </c>
      <c r="B772" s="446"/>
      <c r="C772" s="446" t="s">
        <v>408</v>
      </c>
      <c r="D772" s="446" t="s">
        <v>5845</v>
      </c>
      <c r="E772" s="448" t="s">
        <v>5846</v>
      </c>
      <c r="F772" s="448">
        <v>30088</v>
      </c>
      <c r="G772" s="446" t="s">
        <v>4342</v>
      </c>
      <c r="H772" s="446" t="s">
        <v>2838</v>
      </c>
      <c r="I772" s="446" t="s">
        <v>231</v>
      </c>
      <c r="J772" s="446" t="s">
        <v>4604</v>
      </c>
      <c r="K772" s="446" t="s">
        <v>5847</v>
      </c>
      <c r="L772" s="450"/>
      <c r="M772" s="450"/>
      <c r="N772" s="450"/>
      <c r="O772" s="450"/>
      <c r="P772" s="450"/>
      <c r="Q772" s="450"/>
      <c r="R772" s="450"/>
      <c r="S772" s="451"/>
      <c r="T772" s="450"/>
      <c r="U772" s="451"/>
      <c r="V772" s="450"/>
      <c r="W772" s="450"/>
      <c r="X772" s="450"/>
      <c r="Y772" s="450"/>
      <c r="Z772" s="450"/>
    </row>
    <row r="773" spans="1:26" x14ac:dyDescent="0.25">
      <c r="A773" s="446" t="s">
        <v>5848</v>
      </c>
      <c r="B773" s="446"/>
      <c r="C773" s="446" t="s">
        <v>202</v>
      </c>
      <c r="D773" s="446" t="s">
        <v>5849</v>
      </c>
      <c r="E773" s="448" t="s">
        <v>5850</v>
      </c>
      <c r="F773" s="448">
        <v>30095</v>
      </c>
      <c r="G773" s="446" t="s">
        <v>5851</v>
      </c>
      <c r="H773" s="446" t="s">
        <v>5811</v>
      </c>
      <c r="I773" s="446" t="s">
        <v>231</v>
      </c>
      <c r="J773" s="446" t="s">
        <v>746</v>
      </c>
      <c r="K773" s="446" t="s">
        <v>5852</v>
      </c>
      <c r="L773" s="450"/>
      <c r="M773" s="450"/>
      <c r="N773" s="450"/>
      <c r="O773" s="450"/>
      <c r="P773" s="450"/>
      <c r="Q773" s="450"/>
      <c r="R773" s="450"/>
      <c r="S773" s="451"/>
      <c r="T773" s="450"/>
      <c r="U773" s="451"/>
      <c r="V773" s="450"/>
      <c r="W773" s="450"/>
      <c r="X773" s="450"/>
      <c r="Y773" s="450"/>
      <c r="Z773" s="450"/>
    </row>
    <row r="774" spans="1:26" x14ac:dyDescent="0.25">
      <c r="A774" s="446" t="s">
        <v>5853</v>
      </c>
      <c r="B774" s="446"/>
      <c r="C774" s="446" t="s">
        <v>1456</v>
      </c>
      <c r="D774" s="446" t="s">
        <v>5854</v>
      </c>
      <c r="E774" s="448" t="s">
        <v>5850</v>
      </c>
      <c r="F774" s="448">
        <v>30095</v>
      </c>
      <c r="G774" s="446" t="s">
        <v>5855</v>
      </c>
      <c r="H774" s="446" t="s">
        <v>5856</v>
      </c>
      <c r="I774" s="446" t="s">
        <v>231</v>
      </c>
      <c r="J774" s="446" t="s">
        <v>746</v>
      </c>
      <c r="K774" s="446" t="s">
        <v>5857</v>
      </c>
      <c r="L774" s="450"/>
      <c r="M774" s="450"/>
      <c r="N774" s="450"/>
      <c r="O774" s="450"/>
      <c r="P774" s="450"/>
      <c r="Q774" s="450"/>
      <c r="R774" s="450"/>
      <c r="S774" s="451"/>
      <c r="T774" s="450"/>
      <c r="U774" s="451"/>
      <c r="V774" s="450"/>
      <c r="W774" s="450"/>
      <c r="X774" s="450"/>
      <c r="Y774" s="450"/>
      <c r="Z774" s="450"/>
    </row>
    <row r="775" spans="1:26" x14ac:dyDescent="0.25">
      <c r="A775" s="446" t="s">
        <v>5858</v>
      </c>
      <c r="B775" s="446"/>
      <c r="C775" s="446" t="s">
        <v>1456</v>
      </c>
      <c r="D775" s="446" t="s">
        <v>5859</v>
      </c>
      <c r="E775" s="448" t="s">
        <v>5850</v>
      </c>
      <c r="F775" s="448">
        <v>30095</v>
      </c>
      <c r="G775" s="446" t="s">
        <v>5855</v>
      </c>
      <c r="H775" s="446" t="s">
        <v>5856</v>
      </c>
      <c r="I775" s="446" t="s">
        <v>231</v>
      </c>
      <c r="J775" s="446" t="s">
        <v>746</v>
      </c>
      <c r="K775" s="446" t="s">
        <v>5860</v>
      </c>
      <c r="L775" s="450"/>
      <c r="M775" s="450"/>
      <c r="N775" s="450"/>
      <c r="O775" s="450"/>
      <c r="P775" s="450"/>
      <c r="Q775" s="450"/>
      <c r="R775" s="450"/>
      <c r="S775" s="451"/>
      <c r="T775" s="450"/>
      <c r="U775" s="451"/>
      <c r="V775" s="450"/>
      <c r="W775" s="450"/>
      <c r="X775" s="450"/>
      <c r="Y775" s="450"/>
      <c r="Z775" s="450"/>
    </row>
    <row r="776" spans="1:26" x14ac:dyDescent="0.25">
      <c r="A776" s="446" t="s">
        <v>5861</v>
      </c>
      <c r="B776" s="446"/>
      <c r="C776" s="446" t="s">
        <v>1456</v>
      </c>
      <c r="D776" s="446" t="s">
        <v>5862</v>
      </c>
      <c r="E776" s="448" t="s">
        <v>5850</v>
      </c>
      <c r="F776" s="448">
        <v>30095</v>
      </c>
      <c r="G776" s="446" t="s">
        <v>5855</v>
      </c>
      <c r="H776" s="446" t="s">
        <v>5856</v>
      </c>
      <c r="I776" s="446" t="s">
        <v>231</v>
      </c>
      <c r="J776" s="446" t="s">
        <v>746</v>
      </c>
      <c r="K776" s="446" t="s">
        <v>5863</v>
      </c>
      <c r="L776" s="450"/>
      <c r="M776" s="450"/>
      <c r="N776" s="450"/>
      <c r="O776" s="450"/>
      <c r="P776" s="450"/>
      <c r="Q776" s="450"/>
      <c r="R776" s="450"/>
      <c r="S776" s="451"/>
      <c r="T776" s="450"/>
      <c r="U776" s="451"/>
      <c r="V776" s="450"/>
      <c r="W776" s="450"/>
      <c r="X776" s="450"/>
      <c r="Y776" s="450"/>
      <c r="Z776" s="450"/>
    </row>
    <row r="777" spans="1:26" x14ac:dyDescent="0.25">
      <c r="A777" s="446" t="s">
        <v>817</v>
      </c>
      <c r="B777" s="446"/>
      <c r="C777" s="446" t="s">
        <v>604</v>
      </c>
      <c r="D777" s="446" t="s">
        <v>5864</v>
      </c>
      <c r="E777" s="448" t="s">
        <v>5865</v>
      </c>
      <c r="F777" s="448">
        <v>30099</v>
      </c>
      <c r="G777" s="446" t="s">
        <v>819</v>
      </c>
      <c r="H777" s="446" t="s">
        <v>102</v>
      </c>
      <c r="I777" s="446" t="s">
        <v>231</v>
      </c>
      <c r="J777" s="446" t="s">
        <v>760</v>
      </c>
      <c r="K777" s="446" t="s">
        <v>5866</v>
      </c>
      <c r="L777" s="450"/>
      <c r="M777" s="450"/>
      <c r="N777" s="450"/>
      <c r="O777" s="450"/>
      <c r="P777" s="450"/>
      <c r="Q777" s="450"/>
      <c r="R777" s="450"/>
      <c r="S777" s="451"/>
      <c r="T777" s="450"/>
      <c r="U777" s="451"/>
      <c r="V777" s="450"/>
      <c r="W777" s="450"/>
      <c r="X777" s="450"/>
      <c r="Y777" s="450"/>
      <c r="Z777" s="450"/>
    </row>
    <row r="778" spans="1:26" x14ac:dyDescent="0.25">
      <c r="A778" s="446" t="s">
        <v>820</v>
      </c>
      <c r="B778" s="446"/>
      <c r="C778" s="446" t="s">
        <v>604</v>
      </c>
      <c r="D778" s="446" t="s">
        <v>5867</v>
      </c>
      <c r="E778" s="448" t="s">
        <v>5865</v>
      </c>
      <c r="F778" s="448">
        <v>30099</v>
      </c>
      <c r="G778" s="446" t="s">
        <v>819</v>
      </c>
      <c r="H778" s="446" t="s">
        <v>102</v>
      </c>
      <c r="I778" s="446" t="s">
        <v>231</v>
      </c>
      <c r="J778" s="446" t="s">
        <v>760</v>
      </c>
      <c r="K778" s="446" t="s">
        <v>5868</v>
      </c>
      <c r="L778" s="450"/>
      <c r="M778" s="450"/>
      <c r="N778" s="450"/>
      <c r="O778" s="450"/>
      <c r="P778" s="450"/>
      <c r="Q778" s="450"/>
      <c r="R778" s="450"/>
      <c r="S778" s="451"/>
      <c r="T778" s="450"/>
      <c r="U778" s="451"/>
      <c r="V778" s="450"/>
      <c r="W778" s="450"/>
      <c r="X778" s="450"/>
      <c r="Y778" s="450"/>
      <c r="Z778" s="450"/>
    </row>
    <row r="779" spans="1:26" x14ac:dyDescent="0.25">
      <c r="A779" s="446" t="s">
        <v>822</v>
      </c>
      <c r="B779" s="446"/>
      <c r="C779" s="446" t="s">
        <v>408</v>
      </c>
      <c r="D779" s="446" t="s">
        <v>5869</v>
      </c>
      <c r="E779" s="448" t="s">
        <v>5870</v>
      </c>
      <c r="F779" s="448">
        <v>30124</v>
      </c>
      <c r="G779" s="446" t="s">
        <v>824</v>
      </c>
      <c r="H779" s="446" t="s">
        <v>335</v>
      </c>
      <c r="I779" s="446" t="s">
        <v>231</v>
      </c>
      <c r="J779" s="446" t="s">
        <v>4604</v>
      </c>
      <c r="K779" s="446" t="s">
        <v>5871</v>
      </c>
      <c r="L779" s="450"/>
      <c r="M779" s="450"/>
      <c r="N779" s="450"/>
      <c r="O779" s="450"/>
      <c r="P779" s="450"/>
      <c r="Q779" s="450"/>
      <c r="R779" s="450"/>
      <c r="S779" s="451"/>
      <c r="T779" s="450"/>
      <c r="U779" s="451"/>
      <c r="V779" s="450"/>
      <c r="W779" s="450"/>
      <c r="X779" s="450"/>
      <c r="Y779" s="450"/>
      <c r="Z779" s="450"/>
    </row>
    <row r="780" spans="1:26" x14ac:dyDescent="0.25">
      <c r="A780" s="446" t="s">
        <v>5872</v>
      </c>
      <c r="B780" s="446"/>
      <c r="C780" s="446" t="s">
        <v>1456</v>
      </c>
      <c r="D780" s="446" t="s">
        <v>5873</v>
      </c>
      <c r="E780" s="448" t="s">
        <v>5874</v>
      </c>
      <c r="F780" s="448">
        <v>30130</v>
      </c>
      <c r="G780" s="446" t="s">
        <v>5855</v>
      </c>
      <c r="H780" s="446" t="s">
        <v>5856</v>
      </c>
      <c r="I780" s="446" t="s">
        <v>231</v>
      </c>
      <c r="J780" s="446" t="s">
        <v>746</v>
      </c>
      <c r="K780" s="446" t="s">
        <v>5875</v>
      </c>
      <c r="L780" s="450"/>
      <c r="M780" s="450"/>
      <c r="N780" s="450"/>
      <c r="O780" s="450"/>
      <c r="P780" s="450"/>
      <c r="Q780" s="450"/>
      <c r="R780" s="450"/>
      <c r="S780" s="451"/>
      <c r="T780" s="450"/>
      <c r="U780" s="451"/>
      <c r="V780" s="450"/>
      <c r="W780" s="450"/>
      <c r="X780" s="450"/>
      <c r="Y780" s="450"/>
      <c r="Z780" s="450"/>
    </row>
    <row r="781" spans="1:26" x14ac:dyDescent="0.25">
      <c r="A781" s="446" t="s">
        <v>5876</v>
      </c>
      <c r="B781" s="446"/>
      <c r="C781" s="446" t="s">
        <v>1456</v>
      </c>
      <c r="D781" s="446" t="s">
        <v>5877</v>
      </c>
      <c r="E781" s="448" t="s">
        <v>5878</v>
      </c>
      <c r="F781" s="448">
        <v>30173</v>
      </c>
      <c r="G781" s="446" t="s">
        <v>5879</v>
      </c>
      <c r="H781" s="446" t="s">
        <v>5880</v>
      </c>
      <c r="I781" s="446" t="s">
        <v>4632</v>
      </c>
      <c r="J781" s="446" t="s">
        <v>746</v>
      </c>
      <c r="K781" s="446" t="s">
        <v>5881</v>
      </c>
      <c r="L781" s="450"/>
      <c r="M781" s="450"/>
      <c r="N781" s="450"/>
      <c r="O781" s="450"/>
      <c r="P781" s="450"/>
      <c r="Q781" s="450"/>
      <c r="R781" s="450"/>
      <c r="S781" s="451"/>
      <c r="T781" s="450"/>
      <c r="U781" s="451"/>
      <c r="V781" s="450"/>
      <c r="W781" s="450"/>
      <c r="X781" s="450"/>
      <c r="Y781" s="450"/>
      <c r="Z781" s="450"/>
    </row>
    <row r="782" spans="1:26" x14ac:dyDescent="0.25">
      <c r="A782" s="446" t="s">
        <v>5882</v>
      </c>
      <c r="B782" s="446"/>
      <c r="C782" s="446" t="s">
        <v>1456</v>
      </c>
      <c r="D782" s="446" t="s">
        <v>5883</v>
      </c>
      <c r="E782" s="448" t="s">
        <v>5884</v>
      </c>
      <c r="F782" s="448">
        <v>30230</v>
      </c>
      <c r="G782" s="446" t="s">
        <v>5885</v>
      </c>
      <c r="H782" s="446" t="s">
        <v>5886</v>
      </c>
      <c r="I782" s="446" t="s">
        <v>231</v>
      </c>
      <c r="J782" s="446" t="s">
        <v>746</v>
      </c>
      <c r="K782" s="446" t="s">
        <v>5887</v>
      </c>
      <c r="L782" s="450"/>
      <c r="M782" s="450"/>
      <c r="N782" s="450"/>
      <c r="O782" s="450"/>
      <c r="P782" s="450"/>
      <c r="Q782" s="450"/>
      <c r="R782" s="450"/>
      <c r="S782" s="451"/>
      <c r="T782" s="450"/>
      <c r="U782" s="451"/>
      <c r="V782" s="450"/>
      <c r="W782" s="450"/>
      <c r="X782" s="450"/>
      <c r="Y782" s="450"/>
      <c r="Z782" s="450"/>
    </row>
    <row r="783" spans="1:26" x14ac:dyDescent="0.25">
      <c r="A783" s="446" t="s">
        <v>833</v>
      </c>
      <c r="B783" s="446"/>
      <c r="C783" s="446" t="s">
        <v>408</v>
      </c>
      <c r="D783" s="446" t="s">
        <v>5888</v>
      </c>
      <c r="E783" s="448" t="s">
        <v>5889</v>
      </c>
      <c r="F783" s="448">
        <v>30250</v>
      </c>
      <c r="G783" s="446" t="s">
        <v>830</v>
      </c>
      <c r="H783" s="446" t="s">
        <v>357</v>
      </c>
      <c r="I783" s="446" t="s">
        <v>4632</v>
      </c>
      <c r="J783" s="446" t="s">
        <v>4604</v>
      </c>
      <c r="K783" s="446" t="s">
        <v>5890</v>
      </c>
      <c r="L783" s="450"/>
      <c r="M783" s="450"/>
      <c r="N783" s="450"/>
      <c r="O783" s="450"/>
      <c r="P783" s="450"/>
      <c r="Q783" s="450"/>
      <c r="R783" s="450"/>
      <c r="S783" s="451"/>
      <c r="T783" s="450"/>
      <c r="U783" s="451"/>
      <c r="V783" s="450"/>
      <c r="W783" s="450"/>
      <c r="X783" s="450"/>
      <c r="Y783" s="450"/>
      <c r="Z783" s="450"/>
    </row>
    <row r="784" spans="1:26" x14ac:dyDescent="0.25">
      <c r="A784" s="446" t="s">
        <v>836</v>
      </c>
      <c r="B784" s="446"/>
      <c r="C784" s="446" t="s">
        <v>408</v>
      </c>
      <c r="D784" s="446" t="s">
        <v>5891</v>
      </c>
      <c r="E784" s="448" t="s">
        <v>5889</v>
      </c>
      <c r="F784" s="448">
        <v>30250</v>
      </c>
      <c r="G784" s="446" t="s">
        <v>830</v>
      </c>
      <c r="H784" s="446" t="s">
        <v>838</v>
      </c>
      <c r="I784" s="446" t="s">
        <v>4632</v>
      </c>
      <c r="J784" s="446" t="s">
        <v>4604</v>
      </c>
      <c r="K784" s="446" t="s">
        <v>5892</v>
      </c>
      <c r="L784" s="450"/>
      <c r="M784" s="450"/>
      <c r="N784" s="450"/>
      <c r="O784" s="450"/>
      <c r="P784" s="450"/>
      <c r="Q784" s="450"/>
      <c r="R784" s="450"/>
      <c r="S784" s="451"/>
      <c r="T784" s="450"/>
      <c r="U784" s="451"/>
      <c r="V784" s="450"/>
      <c r="W784" s="450"/>
      <c r="X784" s="450"/>
      <c r="Y784" s="450"/>
      <c r="Z784" s="450"/>
    </row>
    <row r="785" spans="1:26" x14ac:dyDescent="0.25">
      <c r="A785" s="446" t="s">
        <v>828</v>
      </c>
      <c r="B785" s="446"/>
      <c r="C785" s="446" t="s">
        <v>408</v>
      </c>
      <c r="D785" s="446" t="s">
        <v>5893</v>
      </c>
      <c r="E785" s="448" t="s">
        <v>5889</v>
      </c>
      <c r="F785" s="448">
        <v>30250</v>
      </c>
      <c r="G785" s="446" t="s">
        <v>830</v>
      </c>
      <c r="H785" s="446" t="s">
        <v>329</v>
      </c>
      <c r="I785" s="446" t="s">
        <v>4632</v>
      </c>
      <c r="J785" s="446" t="s">
        <v>4604</v>
      </c>
      <c r="K785" s="446" t="s">
        <v>5894</v>
      </c>
      <c r="L785" s="450"/>
      <c r="M785" s="450"/>
      <c r="N785" s="450"/>
      <c r="O785" s="450"/>
      <c r="P785" s="450"/>
      <c r="Q785" s="450"/>
      <c r="R785" s="450"/>
      <c r="S785" s="451"/>
      <c r="T785" s="450"/>
      <c r="U785" s="451"/>
      <c r="V785" s="450"/>
      <c r="W785" s="450"/>
      <c r="X785" s="450"/>
      <c r="Y785" s="450"/>
      <c r="Z785" s="450"/>
    </row>
    <row r="786" spans="1:26" x14ac:dyDescent="0.25">
      <c r="A786" s="446" t="s">
        <v>852</v>
      </c>
      <c r="B786" s="446"/>
      <c r="C786" s="446" t="s">
        <v>756</v>
      </c>
      <c r="D786" s="446" t="s">
        <v>5895</v>
      </c>
      <c r="E786" s="448" t="s">
        <v>5896</v>
      </c>
      <c r="F786" s="448">
        <v>30369</v>
      </c>
      <c r="G786" s="446" t="s">
        <v>721</v>
      </c>
      <c r="H786" s="446" t="s">
        <v>940</v>
      </c>
      <c r="I786" s="446" t="s">
        <v>4632</v>
      </c>
      <c r="J786" s="446" t="s">
        <v>760</v>
      </c>
      <c r="K786" s="446" t="s">
        <v>5897</v>
      </c>
      <c r="L786" s="450"/>
      <c r="M786" s="450"/>
      <c r="N786" s="450"/>
      <c r="O786" s="450"/>
      <c r="P786" s="450"/>
      <c r="Q786" s="450"/>
      <c r="R786" s="450"/>
      <c r="S786" s="451"/>
      <c r="T786" s="450"/>
      <c r="U786" s="451"/>
      <c r="V786" s="450"/>
      <c r="W786" s="450"/>
      <c r="X786" s="450"/>
      <c r="Y786" s="450"/>
      <c r="Z786" s="450"/>
    </row>
    <row r="787" spans="1:26" x14ac:dyDescent="0.25">
      <c r="A787" s="446" t="s">
        <v>847</v>
      </c>
      <c r="B787" s="446"/>
      <c r="C787" s="446" t="s">
        <v>408</v>
      </c>
      <c r="D787" s="446" t="s">
        <v>5898</v>
      </c>
      <c r="E787" s="448" t="s">
        <v>5896</v>
      </c>
      <c r="F787" s="448">
        <v>30369</v>
      </c>
      <c r="G787" s="446" t="s">
        <v>5899</v>
      </c>
      <c r="H787" s="446" t="s">
        <v>850</v>
      </c>
      <c r="I787" s="446" t="s">
        <v>4632</v>
      </c>
      <c r="J787" s="446" t="s">
        <v>4604</v>
      </c>
      <c r="K787" s="446" t="s">
        <v>5900</v>
      </c>
      <c r="L787" s="450"/>
      <c r="M787" s="450"/>
      <c r="N787" s="450"/>
      <c r="O787" s="450"/>
      <c r="P787" s="450"/>
      <c r="Q787" s="450"/>
      <c r="R787" s="450"/>
      <c r="S787" s="451"/>
      <c r="T787" s="450"/>
      <c r="U787" s="451"/>
      <c r="V787" s="450"/>
      <c r="W787" s="450"/>
      <c r="X787" s="450"/>
      <c r="Y787" s="450"/>
      <c r="Z787" s="450"/>
    </row>
    <row r="788" spans="1:26" x14ac:dyDescent="0.25">
      <c r="A788" s="446" t="s">
        <v>856</v>
      </c>
      <c r="B788" s="446"/>
      <c r="C788" s="446" t="s">
        <v>585</v>
      </c>
      <c r="D788" s="446" t="s">
        <v>5901</v>
      </c>
      <c r="E788" s="448" t="s">
        <v>5896</v>
      </c>
      <c r="F788" s="448">
        <v>30369</v>
      </c>
      <c r="G788" s="446" t="s">
        <v>4394</v>
      </c>
      <c r="H788" s="446" t="s">
        <v>4395</v>
      </c>
      <c r="I788" s="446" t="s">
        <v>4632</v>
      </c>
      <c r="J788" s="446" t="s">
        <v>4604</v>
      </c>
      <c r="K788" s="446" t="s">
        <v>5902</v>
      </c>
      <c r="L788" s="450"/>
      <c r="M788" s="450"/>
      <c r="N788" s="450"/>
      <c r="O788" s="450"/>
      <c r="P788" s="450"/>
      <c r="Q788" s="450"/>
      <c r="R788" s="450"/>
      <c r="S788" s="451"/>
      <c r="T788" s="450"/>
      <c r="U788" s="451"/>
      <c r="V788" s="450"/>
      <c r="W788" s="450"/>
      <c r="X788" s="450"/>
      <c r="Y788" s="450"/>
      <c r="Z788" s="450"/>
    </row>
    <row r="789" spans="1:26" x14ac:dyDescent="0.25">
      <c r="A789" s="446" t="s">
        <v>5903</v>
      </c>
      <c r="B789" s="446"/>
      <c r="C789" s="446" t="s">
        <v>756</v>
      </c>
      <c r="D789" s="446" t="s">
        <v>5904</v>
      </c>
      <c r="E789" s="448" t="s">
        <v>5905</v>
      </c>
      <c r="F789" s="448">
        <v>30375</v>
      </c>
      <c r="G789" s="446" t="s">
        <v>646</v>
      </c>
      <c r="H789" s="446" t="s">
        <v>2838</v>
      </c>
      <c r="I789" s="446" t="s">
        <v>4632</v>
      </c>
      <c r="J789" s="446" t="s">
        <v>760</v>
      </c>
      <c r="K789" s="446" t="s">
        <v>5906</v>
      </c>
      <c r="L789" s="450"/>
      <c r="M789" s="450"/>
      <c r="N789" s="450"/>
      <c r="O789" s="450"/>
      <c r="P789" s="450"/>
      <c r="Q789" s="450"/>
      <c r="R789" s="450"/>
      <c r="S789" s="451"/>
      <c r="T789" s="450"/>
      <c r="U789" s="451"/>
      <c r="V789" s="450"/>
      <c r="W789" s="450"/>
      <c r="X789" s="450"/>
      <c r="Y789" s="450"/>
      <c r="Z789" s="450"/>
    </row>
    <row r="790" spans="1:26" x14ac:dyDescent="0.25">
      <c r="A790" s="446" t="s">
        <v>861</v>
      </c>
      <c r="B790" s="446"/>
      <c r="C790" s="446" t="s">
        <v>408</v>
      </c>
      <c r="D790" s="446" t="s">
        <v>5907</v>
      </c>
      <c r="E790" s="448" t="s">
        <v>5908</v>
      </c>
      <c r="F790" s="448">
        <v>30388</v>
      </c>
      <c r="G790" s="446" t="s">
        <v>850</v>
      </c>
      <c r="H790" s="446" t="s">
        <v>863</v>
      </c>
      <c r="I790" s="446" t="s">
        <v>4632</v>
      </c>
      <c r="J790" s="446" t="s">
        <v>4604</v>
      </c>
      <c r="K790" s="446" t="s">
        <v>5909</v>
      </c>
      <c r="L790" s="450"/>
      <c r="M790" s="450"/>
      <c r="N790" s="450"/>
      <c r="O790" s="450"/>
      <c r="P790" s="450"/>
      <c r="Q790" s="450"/>
      <c r="R790" s="450"/>
      <c r="S790" s="451"/>
      <c r="T790" s="450"/>
      <c r="U790" s="451"/>
      <c r="V790" s="450"/>
      <c r="W790" s="450"/>
      <c r="X790" s="450"/>
      <c r="Y790" s="450"/>
      <c r="Z790" s="450"/>
    </row>
    <row r="791" spans="1:26" x14ac:dyDescent="0.25">
      <c r="A791" s="446" t="s">
        <v>864</v>
      </c>
      <c r="B791" s="446"/>
      <c r="C791" s="446" t="s">
        <v>408</v>
      </c>
      <c r="D791" s="446" t="s">
        <v>5910</v>
      </c>
      <c r="E791" s="448" t="s">
        <v>5908</v>
      </c>
      <c r="F791" s="448">
        <v>30388</v>
      </c>
      <c r="G791" s="446" t="s">
        <v>850</v>
      </c>
      <c r="H791" s="446" t="s">
        <v>866</v>
      </c>
      <c r="I791" s="446" t="s">
        <v>4632</v>
      </c>
      <c r="J791" s="446" t="s">
        <v>4604</v>
      </c>
      <c r="K791" s="446" t="s">
        <v>5911</v>
      </c>
      <c r="L791" s="450"/>
      <c r="M791" s="450"/>
      <c r="N791" s="450"/>
      <c r="O791" s="450"/>
      <c r="P791" s="450"/>
      <c r="Q791" s="450"/>
      <c r="R791" s="450"/>
      <c r="S791" s="451"/>
      <c r="T791" s="450"/>
      <c r="U791" s="451"/>
      <c r="V791" s="450"/>
      <c r="W791" s="450"/>
      <c r="X791" s="450"/>
      <c r="Y791" s="450"/>
      <c r="Z791" s="450"/>
    </row>
    <row r="792" spans="1:26" x14ac:dyDescent="0.25">
      <c r="A792" s="446" t="s">
        <v>867</v>
      </c>
      <c r="B792" s="446"/>
      <c r="C792" s="446" t="s">
        <v>408</v>
      </c>
      <c r="D792" s="446" t="s">
        <v>5912</v>
      </c>
      <c r="E792" s="448" t="s">
        <v>5908</v>
      </c>
      <c r="F792" s="448">
        <v>30388</v>
      </c>
      <c r="G792" s="446" t="s">
        <v>850</v>
      </c>
      <c r="H792" s="446" t="s">
        <v>869</v>
      </c>
      <c r="I792" s="446" t="s">
        <v>4632</v>
      </c>
      <c r="J792" s="446" t="s">
        <v>4604</v>
      </c>
      <c r="K792" s="446" t="s">
        <v>5913</v>
      </c>
      <c r="L792" s="450"/>
      <c r="M792" s="450"/>
      <c r="N792" s="450"/>
      <c r="O792" s="450"/>
      <c r="P792" s="450"/>
      <c r="Q792" s="450"/>
      <c r="R792" s="450"/>
      <c r="S792" s="451"/>
      <c r="T792" s="450"/>
      <c r="U792" s="451"/>
      <c r="V792" s="450"/>
      <c r="W792" s="450"/>
      <c r="X792" s="450"/>
      <c r="Y792" s="450"/>
      <c r="Z792" s="450"/>
    </row>
    <row r="793" spans="1:26" x14ac:dyDescent="0.25">
      <c r="A793" s="446" t="s">
        <v>870</v>
      </c>
      <c r="B793" s="446"/>
      <c r="C793" s="446" t="s">
        <v>408</v>
      </c>
      <c r="D793" s="446" t="s">
        <v>5914</v>
      </c>
      <c r="E793" s="448" t="s">
        <v>5908</v>
      </c>
      <c r="F793" s="448">
        <v>30388</v>
      </c>
      <c r="G793" s="446" t="s">
        <v>850</v>
      </c>
      <c r="H793" s="446" t="s">
        <v>872</v>
      </c>
      <c r="I793" s="446" t="s">
        <v>4632</v>
      </c>
      <c r="J793" s="446" t="s">
        <v>4604</v>
      </c>
      <c r="K793" s="446" t="s">
        <v>5915</v>
      </c>
      <c r="L793" s="450"/>
      <c r="M793" s="450"/>
      <c r="N793" s="450"/>
      <c r="O793" s="450"/>
      <c r="P793" s="450"/>
      <c r="Q793" s="450"/>
      <c r="R793" s="450"/>
      <c r="S793" s="451"/>
      <c r="T793" s="450"/>
      <c r="U793" s="451"/>
      <c r="V793" s="450"/>
      <c r="W793" s="450"/>
      <c r="X793" s="450"/>
      <c r="Y793" s="450"/>
      <c r="Z793" s="450"/>
    </row>
    <row r="794" spans="1:26" x14ac:dyDescent="0.25">
      <c r="A794" s="446" t="s">
        <v>873</v>
      </c>
      <c r="B794" s="446"/>
      <c r="C794" s="446" t="s">
        <v>408</v>
      </c>
      <c r="D794" s="446" t="s">
        <v>5916</v>
      </c>
      <c r="E794" s="448" t="s">
        <v>5908</v>
      </c>
      <c r="F794" s="448">
        <v>30388</v>
      </c>
      <c r="G794" s="446" t="s">
        <v>850</v>
      </c>
      <c r="H794" s="446" t="s">
        <v>875</v>
      </c>
      <c r="I794" s="446" t="s">
        <v>4632</v>
      </c>
      <c r="J794" s="446" t="s">
        <v>4604</v>
      </c>
      <c r="K794" s="446" t="s">
        <v>5917</v>
      </c>
      <c r="L794" s="450"/>
      <c r="M794" s="450"/>
      <c r="N794" s="450"/>
      <c r="O794" s="450"/>
      <c r="P794" s="450"/>
      <c r="Q794" s="450"/>
      <c r="R794" s="450"/>
      <c r="S794" s="451"/>
      <c r="T794" s="450"/>
      <c r="U794" s="451"/>
      <c r="V794" s="450"/>
      <c r="W794" s="450"/>
      <c r="X794" s="450"/>
      <c r="Y794" s="450"/>
      <c r="Z794" s="450"/>
    </row>
    <row r="795" spans="1:26" x14ac:dyDescent="0.25">
      <c r="A795" s="446" t="s">
        <v>5918</v>
      </c>
      <c r="B795" s="446"/>
      <c r="C795" s="446" t="s">
        <v>202</v>
      </c>
      <c r="D795" s="446" t="s">
        <v>5919</v>
      </c>
      <c r="E795" s="448" t="s">
        <v>5920</v>
      </c>
      <c r="F795" s="448">
        <v>30391</v>
      </c>
      <c r="G795" s="446" t="s">
        <v>775</v>
      </c>
      <c r="H795" s="446" t="s">
        <v>5484</v>
      </c>
      <c r="I795" s="446" t="s">
        <v>231</v>
      </c>
      <c r="J795" s="446" t="s">
        <v>746</v>
      </c>
      <c r="K795" s="446" t="s">
        <v>5921</v>
      </c>
      <c r="L795" s="450"/>
      <c r="M795" s="450"/>
      <c r="N795" s="450"/>
      <c r="O795" s="450"/>
      <c r="P795" s="450"/>
      <c r="Q795" s="450"/>
      <c r="R795" s="450"/>
      <c r="S795" s="451"/>
      <c r="T795" s="450"/>
      <c r="U795" s="451"/>
      <c r="V795" s="450"/>
      <c r="W795" s="450"/>
      <c r="X795" s="450"/>
      <c r="Y795" s="450"/>
      <c r="Z795" s="450"/>
    </row>
    <row r="796" spans="1:26" x14ac:dyDescent="0.25">
      <c r="A796" s="446" t="s">
        <v>5922</v>
      </c>
      <c r="B796" s="446"/>
      <c r="C796" s="446" t="s">
        <v>202</v>
      </c>
      <c r="D796" s="446" t="s">
        <v>5923</v>
      </c>
      <c r="E796" s="448" t="s">
        <v>5924</v>
      </c>
      <c r="F796" s="448">
        <v>30396</v>
      </c>
      <c r="G796" s="446" t="s">
        <v>775</v>
      </c>
      <c r="H796" s="446" t="s">
        <v>5484</v>
      </c>
      <c r="I796" s="446" t="s">
        <v>231</v>
      </c>
      <c r="J796" s="446" t="s">
        <v>746</v>
      </c>
      <c r="K796" s="446" t="s">
        <v>5925</v>
      </c>
      <c r="L796" s="450"/>
      <c r="M796" s="450"/>
      <c r="N796" s="450"/>
      <c r="O796" s="450"/>
      <c r="P796" s="450"/>
      <c r="Q796" s="450"/>
      <c r="R796" s="450"/>
      <c r="S796" s="451"/>
      <c r="T796" s="450"/>
      <c r="U796" s="451"/>
      <c r="V796" s="450"/>
      <c r="W796" s="450"/>
      <c r="X796" s="450"/>
      <c r="Y796" s="450"/>
      <c r="Z796" s="450"/>
    </row>
    <row r="797" spans="1:26" x14ac:dyDescent="0.25">
      <c r="A797" s="446" t="s">
        <v>5926</v>
      </c>
      <c r="B797" s="446"/>
      <c r="C797" s="446" t="s">
        <v>1456</v>
      </c>
      <c r="D797" s="446" t="s">
        <v>5927</v>
      </c>
      <c r="E797" s="448" t="s">
        <v>5928</v>
      </c>
      <c r="F797" s="448">
        <v>30411</v>
      </c>
      <c r="G797" s="446" t="s">
        <v>5929</v>
      </c>
      <c r="H797" s="446" t="s">
        <v>5930</v>
      </c>
      <c r="I797" s="446" t="s">
        <v>4632</v>
      </c>
      <c r="J797" s="446" t="s">
        <v>746</v>
      </c>
      <c r="K797" s="446" t="s">
        <v>5931</v>
      </c>
      <c r="L797" s="450"/>
      <c r="M797" s="450"/>
      <c r="N797" s="450"/>
      <c r="O797" s="450"/>
      <c r="P797" s="450"/>
      <c r="Q797" s="450"/>
      <c r="R797" s="450"/>
      <c r="S797" s="451"/>
      <c r="T797" s="450"/>
      <c r="U797" s="451"/>
      <c r="V797" s="450"/>
      <c r="W797" s="450"/>
      <c r="X797" s="450"/>
      <c r="Y797" s="450"/>
      <c r="Z797" s="450"/>
    </row>
    <row r="798" spans="1:26" x14ac:dyDescent="0.25">
      <c r="A798" s="446" t="s">
        <v>5932</v>
      </c>
      <c r="B798" s="446"/>
      <c r="C798" s="446" t="s">
        <v>1456</v>
      </c>
      <c r="D798" s="446" t="s">
        <v>5933</v>
      </c>
      <c r="E798" s="448" t="s">
        <v>5934</v>
      </c>
      <c r="F798" s="448">
        <v>30433</v>
      </c>
      <c r="G798" s="446" t="s">
        <v>5935</v>
      </c>
      <c r="H798" s="446" t="s">
        <v>5936</v>
      </c>
      <c r="I798" s="446" t="s">
        <v>5207</v>
      </c>
      <c r="J798" s="446" t="s">
        <v>746</v>
      </c>
      <c r="K798" s="446" t="s">
        <v>5937</v>
      </c>
      <c r="L798" s="450"/>
      <c r="M798" s="450"/>
      <c r="N798" s="450"/>
      <c r="O798" s="450"/>
      <c r="P798" s="450"/>
      <c r="Q798" s="450"/>
      <c r="R798" s="450"/>
      <c r="S798" s="451"/>
      <c r="T798" s="450"/>
      <c r="U798" s="451"/>
      <c r="V798" s="450"/>
      <c r="W798" s="450"/>
      <c r="X798" s="450"/>
      <c r="Y798" s="450"/>
      <c r="Z798" s="450"/>
    </row>
    <row r="799" spans="1:26" x14ac:dyDescent="0.25">
      <c r="A799" s="446" t="s">
        <v>5938</v>
      </c>
      <c r="B799" s="446"/>
      <c r="C799" s="446" t="s">
        <v>202</v>
      </c>
      <c r="D799" s="446" t="s">
        <v>5939</v>
      </c>
      <c r="E799" s="448" t="s">
        <v>5940</v>
      </c>
      <c r="F799" s="448">
        <v>30438</v>
      </c>
      <c r="G799" s="446" t="s">
        <v>5244</v>
      </c>
      <c r="H799" s="446" t="s">
        <v>5941</v>
      </c>
      <c r="I799" s="446" t="s">
        <v>4632</v>
      </c>
      <c r="J799" s="446" t="s">
        <v>746</v>
      </c>
      <c r="K799" s="446" t="s">
        <v>5942</v>
      </c>
      <c r="L799" s="450"/>
      <c r="M799" s="450"/>
      <c r="N799" s="450"/>
      <c r="O799" s="450"/>
      <c r="P799" s="450"/>
      <c r="Q799" s="450"/>
      <c r="R799" s="450"/>
      <c r="S799" s="451"/>
      <c r="T799" s="450"/>
      <c r="U799" s="451"/>
      <c r="V799" s="450"/>
      <c r="W799" s="450"/>
      <c r="X799" s="450"/>
      <c r="Y799" s="450"/>
      <c r="Z799" s="450"/>
    </row>
    <row r="800" spans="1:26" x14ac:dyDescent="0.25">
      <c r="A800" s="446" t="s">
        <v>5943</v>
      </c>
      <c r="B800" s="446"/>
      <c r="C800" s="446" t="s">
        <v>202</v>
      </c>
      <c r="D800" s="446" t="s">
        <v>5944</v>
      </c>
      <c r="E800" s="448" t="s">
        <v>5940</v>
      </c>
      <c r="F800" s="448">
        <v>30438</v>
      </c>
      <c r="G800" s="446" t="s">
        <v>2895</v>
      </c>
      <c r="H800" s="446" t="s">
        <v>5941</v>
      </c>
      <c r="I800" s="446" t="s">
        <v>231</v>
      </c>
      <c r="J800" s="446" t="s">
        <v>746</v>
      </c>
      <c r="K800" s="446" t="s">
        <v>5945</v>
      </c>
      <c r="L800" s="450"/>
      <c r="M800" s="450"/>
      <c r="N800" s="450"/>
      <c r="O800" s="450"/>
      <c r="P800" s="450"/>
      <c r="Q800" s="450"/>
      <c r="R800" s="450"/>
      <c r="S800" s="451"/>
      <c r="T800" s="450"/>
      <c r="U800" s="451"/>
      <c r="V800" s="450"/>
      <c r="W800" s="450"/>
      <c r="X800" s="450"/>
      <c r="Y800" s="450"/>
      <c r="Z800" s="450"/>
    </row>
    <row r="801" spans="1:26" x14ac:dyDescent="0.25">
      <c r="A801" s="446" t="s">
        <v>5946</v>
      </c>
      <c r="B801" s="446"/>
      <c r="C801" s="446" t="s">
        <v>202</v>
      </c>
      <c r="D801" s="446" t="s">
        <v>5947</v>
      </c>
      <c r="E801" s="448" t="s">
        <v>5948</v>
      </c>
      <c r="F801" s="448">
        <v>30445</v>
      </c>
      <c r="G801" s="446" t="s">
        <v>5240</v>
      </c>
      <c r="H801" s="446" t="s">
        <v>5941</v>
      </c>
      <c r="I801" s="446" t="s">
        <v>231</v>
      </c>
      <c r="J801" s="446" t="s">
        <v>746</v>
      </c>
      <c r="K801" s="446" t="s">
        <v>5949</v>
      </c>
      <c r="L801" s="450"/>
      <c r="M801" s="450"/>
      <c r="N801" s="450"/>
      <c r="O801" s="450"/>
      <c r="P801" s="450"/>
      <c r="Q801" s="450"/>
      <c r="R801" s="450"/>
      <c r="S801" s="451"/>
      <c r="T801" s="450"/>
      <c r="U801" s="451"/>
      <c r="V801" s="450"/>
      <c r="W801" s="450"/>
      <c r="X801" s="450"/>
      <c r="Y801" s="450"/>
      <c r="Z801" s="450"/>
    </row>
    <row r="802" spans="1:26" x14ac:dyDescent="0.25">
      <c r="A802" s="446" t="s">
        <v>5950</v>
      </c>
      <c r="B802" s="446"/>
      <c r="C802" s="446" t="s">
        <v>202</v>
      </c>
      <c r="D802" s="446" t="s">
        <v>5951</v>
      </c>
      <c r="E802" s="448" t="s">
        <v>5948</v>
      </c>
      <c r="F802" s="448">
        <v>30445</v>
      </c>
      <c r="G802" s="446" t="s">
        <v>5952</v>
      </c>
      <c r="H802" s="446" t="s">
        <v>5941</v>
      </c>
      <c r="I802" s="446" t="s">
        <v>231</v>
      </c>
      <c r="J802" s="446" t="s">
        <v>746</v>
      </c>
      <c r="K802" s="446" t="s">
        <v>5953</v>
      </c>
      <c r="L802" s="450"/>
      <c r="M802" s="450"/>
      <c r="N802" s="450"/>
      <c r="O802" s="450"/>
      <c r="P802" s="450"/>
      <c r="Q802" s="450"/>
      <c r="R802" s="450"/>
      <c r="S802" s="451"/>
      <c r="T802" s="450"/>
      <c r="U802" s="451"/>
      <c r="V802" s="450"/>
      <c r="W802" s="450"/>
      <c r="X802" s="450"/>
      <c r="Y802" s="450"/>
      <c r="Z802" s="450"/>
    </row>
    <row r="803" spans="1:26" x14ac:dyDescent="0.25">
      <c r="A803" s="446" t="s">
        <v>5954</v>
      </c>
      <c r="B803" s="446"/>
      <c r="C803" s="446" t="s">
        <v>1456</v>
      </c>
      <c r="D803" s="446" t="s">
        <v>5955</v>
      </c>
      <c r="E803" s="448" t="s">
        <v>5956</v>
      </c>
      <c r="F803" s="448">
        <v>30490</v>
      </c>
      <c r="G803" s="446" t="s">
        <v>5957</v>
      </c>
      <c r="H803" s="446" t="s">
        <v>5958</v>
      </c>
      <c r="I803" s="446" t="s">
        <v>231</v>
      </c>
      <c r="J803" s="446" t="s">
        <v>746</v>
      </c>
      <c r="K803" s="446" t="s">
        <v>5959</v>
      </c>
      <c r="L803" s="450"/>
      <c r="M803" s="450"/>
      <c r="N803" s="450"/>
      <c r="O803" s="450"/>
      <c r="P803" s="450"/>
      <c r="Q803" s="450"/>
      <c r="R803" s="450"/>
      <c r="S803" s="451"/>
      <c r="T803" s="450"/>
      <c r="U803" s="451"/>
      <c r="V803" s="450"/>
      <c r="W803" s="450"/>
      <c r="X803" s="450"/>
      <c r="Y803" s="450"/>
      <c r="Z803" s="450"/>
    </row>
    <row r="804" spans="1:26" x14ac:dyDescent="0.25">
      <c r="A804" s="446" t="s">
        <v>5960</v>
      </c>
      <c r="B804" s="446"/>
      <c r="C804" s="446" t="s">
        <v>202</v>
      </c>
      <c r="D804" s="446" t="s">
        <v>5961</v>
      </c>
      <c r="E804" s="448" t="s">
        <v>5962</v>
      </c>
      <c r="F804" s="448">
        <v>30536</v>
      </c>
      <c r="G804" s="446" t="s">
        <v>5963</v>
      </c>
      <c r="H804" s="446" t="s">
        <v>5964</v>
      </c>
      <c r="I804" s="446" t="s">
        <v>231</v>
      </c>
      <c r="J804" s="446" t="s">
        <v>746</v>
      </c>
      <c r="K804" s="446" t="s">
        <v>5965</v>
      </c>
      <c r="L804" s="450"/>
      <c r="M804" s="450"/>
      <c r="N804" s="450"/>
      <c r="O804" s="450"/>
      <c r="P804" s="450"/>
      <c r="Q804" s="450"/>
      <c r="R804" s="450"/>
      <c r="S804" s="451"/>
      <c r="T804" s="450"/>
      <c r="U804" s="451"/>
      <c r="V804" s="450"/>
      <c r="W804" s="450"/>
      <c r="X804" s="450"/>
      <c r="Y804" s="450"/>
      <c r="Z804" s="450"/>
    </row>
    <row r="805" spans="1:26" x14ac:dyDescent="0.25">
      <c r="A805" s="446" t="s">
        <v>5966</v>
      </c>
      <c r="B805" s="446"/>
      <c r="C805" s="446" t="s">
        <v>1456</v>
      </c>
      <c r="D805" s="446" t="s">
        <v>5967</v>
      </c>
      <c r="E805" s="448" t="s">
        <v>5962</v>
      </c>
      <c r="F805" s="448">
        <v>30536</v>
      </c>
      <c r="G805" s="446" t="s">
        <v>5968</v>
      </c>
      <c r="H805" s="446" t="s">
        <v>5791</v>
      </c>
      <c r="I805" s="446" t="s">
        <v>231</v>
      </c>
      <c r="J805" s="446" t="s">
        <v>746</v>
      </c>
      <c r="K805" s="446" t="s">
        <v>5969</v>
      </c>
      <c r="L805" s="450"/>
      <c r="M805" s="450"/>
      <c r="N805" s="450"/>
      <c r="O805" s="450"/>
      <c r="P805" s="450"/>
      <c r="Q805" s="450"/>
      <c r="R805" s="450"/>
      <c r="S805" s="451"/>
      <c r="T805" s="450"/>
      <c r="U805" s="451"/>
      <c r="V805" s="450"/>
      <c r="W805" s="450"/>
      <c r="X805" s="450"/>
      <c r="Y805" s="450"/>
      <c r="Z805" s="450"/>
    </row>
    <row r="806" spans="1:26" x14ac:dyDescent="0.25">
      <c r="A806" s="446" t="s">
        <v>5970</v>
      </c>
      <c r="B806" s="446"/>
      <c r="C806" s="446" t="s">
        <v>202</v>
      </c>
      <c r="D806" s="446" t="s">
        <v>5971</v>
      </c>
      <c r="E806" s="448" t="s">
        <v>5962</v>
      </c>
      <c r="F806" s="448">
        <v>30536</v>
      </c>
      <c r="G806" s="446" t="s">
        <v>5972</v>
      </c>
      <c r="H806" s="446" t="s">
        <v>5964</v>
      </c>
      <c r="I806" s="446" t="s">
        <v>231</v>
      </c>
      <c r="J806" s="446" t="s">
        <v>746</v>
      </c>
      <c r="K806" s="446" t="s">
        <v>5973</v>
      </c>
      <c r="L806" s="450"/>
      <c r="M806" s="450"/>
      <c r="N806" s="450"/>
      <c r="O806" s="450"/>
      <c r="P806" s="450"/>
      <c r="Q806" s="450"/>
      <c r="R806" s="450"/>
      <c r="S806" s="451"/>
      <c r="T806" s="450"/>
      <c r="U806" s="451"/>
      <c r="V806" s="450"/>
      <c r="W806" s="450"/>
      <c r="X806" s="450"/>
      <c r="Y806" s="450"/>
      <c r="Z806" s="450"/>
    </row>
    <row r="807" spans="1:26" x14ac:dyDescent="0.25">
      <c r="A807" s="446" t="s">
        <v>5974</v>
      </c>
      <c r="B807" s="446"/>
      <c r="C807" s="446" t="s">
        <v>1456</v>
      </c>
      <c r="D807" s="446" t="s">
        <v>5975</v>
      </c>
      <c r="E807" s="448" t="s">
        <v>5962</v>
      </c>
      <c r="F807" s="448">
        <v>30536</v>
      </c>
      <c r="G807" s="446" t="s">
        <v>5968</v>
      </c>
      <c r="H807" s="446" t="s">
        <v>5791</v>
      </c>
      <c r="I807" s="446" t="s">
        <v>231</v>
      </c>
      <c r="J807" s="446" t="s">
        <v>746</v>
      </c>
      <c r="K807" s="446" t="s">
        <v>5976</v>
      </c>
      <c r="L807" s="450"/>
      <c r="M807" s="450"/>
      <c r="N807" s="450"/>
      <c r="O807" s="450"/>
      <c r="P807" s="450"/>
      <c r="Q807" s="450"/>
      <c r="R807" s="450"/>
      <c r="S807" s="451"/>
      <c r="T807" s="450"/>
      <c r="U807" s="451"/>
      <c r="V807" s="450"/>
      <c r="W807" s="450"/>
      <c r="X807" s="450"/>
      <c r="Y807" s="450"/>
      <c r="Z807" s="450"/>
    </row>
    <row r="808" spans="1:26" x14ac:dyDescent="0.25">
      <c r="A808" s="446" t="s">
        <v>5977</v>
      </c>
      <c r="B808" s="446"/>
      <c r="C808" s="446" t="s">
        <v>4618</v>
      </c>
      <c r="D808" s="446" t="s">
        <v>5978</v>
      </c>
      <c r="E808" s="448" t="s">
        <v>5979</v>
      </c>
      <c r="F808" s="448">
        <v>30557</v>
      </c>
      <c r="G808" s="446" t="s">
        <v>5980</v>
      </c>
      <c r="H808" s="446" t="s">
        <v>5981</v>
      </c>
      <c r="I808" s="446" t="s">
        <v>5663</v>
      </c>
      <c r="J808" s="446" t="s">
        <v>746</v>
      </c>
      <c r="K808" s="446" t="s">
        <v>5982</v>
      </c>
      <c r="L808" s="450"/>
      <c r="M808" s="450"/>
      <c r="N808" s="450"/>
      <c r="O808" s="450"/>
      <c r="P808" s="450"/>
      <c r="Q808" s="450"/>
      <c r="R808" s="450"/>
      <c r="S808" s="451"/>
      <c r="T808" s="450"/>
      <c r="U808" s="451"/>
      <c r="V808" s="450"/>
      <c r="W808" s="450"/>
      <c r="X808" s="450"/>
      <c r="Y808" s="450"/>
      <c r="Z808" s="450"/>
    </row>
    <row r="809" spans="1:26" x14ac:dyDescent="0.25">
      <c r="A809" s="446" t="s">
        <v>5983</v>
      </c>
      <c r="B809" s="446"/>
      <c r="C809" s="446" t="s">
        <v>202</v>
      </c>
      <c r="D809" s="446" t="s">
        <v>5984</v>
      </c>
      <c r="E809" s="448" t="s">
        <v>5985</v>
      </c>
      <c r="F809" s="448">
        <v>30656</v>
      </c>
      <c r="G809" s="446" t="s">
        <v>335</v>
      </c>
      <c r="H809" s="446" t="s">
        <v>5484</v>
      </c>
      <c r="I809" s="446" t="s">
        <v>231</v>
      </c>
      <c r="J809" s="446" t="s">
        <v>746</v>
      </c>
      <c r="K809" s="446" t="s">
        <v>5986</v>
      </c>
      <c r="L809" s="450"/>
      <c r="M809" s="450"/>
      <c r="N809" s="450"/>
      <c r="O809" s="450"/>
      <c r="P809" s="450"/>
      <c r="Q809" s="450"/>
      <c r="R809" s="450"/>
      <c r="S809" s="451"/>
      <c r="T809" s="450"/>
      <c r="U809" s="451"/>
      <c r="V809" s="450"/>
      <c r="W809" s="450"/>
      <c r="X809" s="450"/>
      <c r="Y809" s="450"/>
      <c r="Z809" s="450"/>
    </row>
    <row r="810" spans="1:26" x14ac:dyDescent="0.25">
      <c r="A810" s="446" t="s">
        <v>5987</v>
      </c>
      <c r="B810" s="446"/>
      <c r="C810" s="446" t="s">
        <v>202</v>
      </c>
      <c r="D810" s="446" t="s">
        <v>5988</v>
      </c>
      <c r="E810" s="448" t="s">
        <v>5985</v>
      </c>
      <c r="F810" s="448">
        <v>30656</v>
      </c>
      <c r="G810" s="446" t="s">
        <v>824</v>
      </c>
      <c r="H810" s="446" t="s">
        <v>5484</v>
      </c>
      <c r="I810" s="446" t="s">
        <v>231</v>
      </c>
      <c r="J810" s="446" t="s">
        <v>746</v>
      </c>
      <c r="K810" s="446" t="s">
        <v>5989</v>
      </c>
      <c r="L810" s="450"/>
      <c r="M810" s="450"/>
      <c r="N810" s="450"/>
      <c r="O810" s="450"/>
      <c r="P810" s="450"/>
      <c r="Q810" s="450"/>
      <c r="R810" s="450"/>
      <c r="S810" s="451"/>
      <c r="T810" s="450"/>
      <c r="U810" s="451"/>
      <c r="V810" s="450"/>
      <c r="W810" s="450"/>
      <c r="X810" s="450"/>
      <c r="Y810" s="450"/>
      <c r="Z810" s="450"/>
    </row>
    <row r="811" spans="1:26" x14ac:dyDescent="0.25">
      <c r="A811" s="446" t="s">
        <v>877</v>
      </c>
      <c r="B811" s="446"/>
      <c r="C811" s="446" t="s">
        <v>604</v>
      </c>
      <c r="D811" s="446" t="s">
        <v>5990</v>
      </c>
      <c r="E811" s="448" t="s">
        <v>5991</v>
      </c>
      <c r="F811" s="448">
        <v>30666</v>
      </c>
      <c r="G811" s="446" t="s">
        <v>879</v>
      </c>
      <c r="H811" s="446" t="s">
        <v>102</v>
      </c>
      <c r="I811" s="446" t="s">
        <v>231</v>
      </c>
      <c r="J811" s="446" t="s">
        <v>760</v>
      </c>
      <c r="K811" s="446" t="s">
        <v>5992</v>
      </c>
      <c r="L811" s="450"/>
      <c r="M811" s="450"/>
      <c r="N811" s="450"/>
      <c r="O811" s="450"/>
      <c r="P811" s="450"/>
      <c r="Q811" s="450"/>
      <c r="R811" s="450"/>
      <c r="S811" s="451"/>
      <c r="T811" s="450"/>
      <c r="U811" s="451"/>
      <c r="V811" s="450"/>
      <c r="W811" s="450"/>
      <c r="X811" s="450"/>
      <c r="Y811" s="450"/>
      <c r="Z811" s="450"/>
    </row>
    <row r="812" spans="1:26" x14ac:dyDescent="0.25">
      <c r="A812" s="446" t="s">
        <v>5993</v>
      </c>
      <c r="B812" s="446"/>
      <c r="C812" s="446" t="s">
        <v>202</v>
      </c>
      <c r="D812" s="446" t="s">
        <v>5994</v>
      </c>
      <c r="E812" s="448" t="s">
        <v>5995</v>
      </c>
      <c r="F812" s="448">
        <v>30726</v>
      </c>
      <c r="G812" s="446" t="s">
        <v>5996</v>
      </c>
      <c r="H812" s="446" t="s">
        <v>5484</v>
      </c>
      <c r="I812" s="446" t="s">
        <v>231</v>
      </c>
      <c r="J812" s="446" t="s">
        <v>746</v>
      </c>
      <c r="K812" s="446" t="s">
        <v>5997</v>
      </c>
      <c r="L812" s="450"/>
      <c r="M812" s="450"/>
      <c r="N812" s="450"/>
      <c r="O812" s="450"/>
      <c r="P812" s="450"/>
      <c r="Q812" s="450"/>
      <c r="R812" s="450"/>
      <c r="S812" s="451"/>
      <c r="T812" s="450"/>
      <c r="U812" s="451"/>
      <c r="V812" s="450"/>
      <c r="W812" s="450"/>
      <c r="X812" s="450"/>
      <c r="Y812" s="450"/>
      <c r="Z812" s="450"/>
    </row>
    <row r="813" spans="1:26" x14ac:dyDescent="0.25">
      <c r="A813" s="446" t="s">
        <v>5998</v>
      </c>
      <c r="B813" s="446"/>
      <c r="C813" s="446" t="s">
        <v>202</v>
      </c>
      <c r="D813" s="446" t="s">
        <v>5999</v>
      </c>
      <c r="E813" s="448" t="s">
        <v>6000</v>
      </c>
      <c r="F813" s="448">
        <v>30728</v>
      </c>
      <c r="G813" s="446" t="s">
        <v>6001</v>
      </c>
      <c r="H813" s="446" t="s">
        <v>6002</v>
      </c>
      <c r="I813" s="446" t="s">
        <v>4632</v>
      </c>
      <c r="J813" s="446" t="s">
        <v>746</v>
      </c>
      <c r="K813" s="446" t="s">
        <v>6003</v>
      </c>
      <c r="L813" s="450"/>
      <c r="M813" s="450"/>
      <c r="N813" s="450"/>
      <c r="O813" s="450"/>
      <c r="P813" s="450"/>
      <c r="Q813" s="450"/>
      <c r="R813" s="450"/>
      <c r="S813" s="451"/>
      <c r="T813" s="450"/>
      <c r="U813" s="451"/>
      <c r="V813" s="450"/>
      <c r="W813" s="450"/>
      <c r="X813" s="450"/>
      <c r="Y813" s="450"/>
      <c r="Z813" s="450"/>
    </row>
    <row r="814" spans="1:26" x14ac:dyDescent="0.25">
      <c r="A814" s="446" t="s">
        <v>6004</v>
      </c>
      <c r="B814" s="446"/>
      <c r="C814" s="446" t="s">
        <v>202</v>
      </c>
      <c r="D814" s="446" t="s">
        <v>6005</v>
      </c>
      <c r="E814" s="448" t="s">
        <v>6006</v>
      </c>
      <c r="F814" s="448">
        <v>30736</v>
      </c>
      <c r="G814" s="446" t="s">
        <v>872</v>
      </c>
      <c r="H814" s="446" t="s">
        <v>5484</v>
      </c>
      <c r="I814" s="446" t="s">
        <v>231</v>
      </c>
      <c r="J814" s="446" t="s">
        <v>746</v>
      </c>
      <c r="K814" s="446" t="s">
        <v>6007</v>
      </c>
      <c r="L814" s="450"/>
      <c r="M814" s="450"/>
      <c r="N814" s="450"/>
      <c r="O814" s="450"/>
      <c r="P814" s="450"/>
      <c r="Q814" s="450"/>
      <c r="R814" s="450"/>
      <c r="S814" s="451"/>
      <c r="T814" s="450"/>
      <c r="U814" s="451"/>
      <c r="V814" s="450"/>
      <c r="W814" s="450"/>
      <c r="X814" s="450"/>
      <c r="Y814" s="450"/>
      <c r="Z814" s="450"/>
    </row>
    <row r="815" spans="1:26" x14ac:dyDescent="0.25">
      <c r="A815" s="446" t="s">
        <v>6008</v>
      </c>
      <c r="B815" s="446"/>
      <c r="C815" s="446" t="s">
        <v>202</v>
      </c>
      <c r="D815" s="446" t="s">
        <v>6009</v>
      </c>
      <c r="E815" s="448" t="s">
        <v>6006</v>
      </c>
      <c r="F815" s="448">
        <v>30736</v>
      </c>
      <c r="G815" s="446" t="s">
        <v>6010</v>
      </c>
      <c r="H815" s="446" t="s">
        <v>5484</v>
      </c>
      <c r="I815" s="446" t="s">
        <v>231</v>
      </c>
      <c r="J815" s="446" t="s">
        <v>746</v>
      </c>
      <c r="K815" s="446" t="s">
        <v>6011</v>
      </c>
      <c r="L815" s="450"/>
      <c r="M815" s="450"/>
      <c r="N815" s="450"/>
      <c r="O815" s="450"/>
      <c r="P815" s="450"/>
      <c r="Q815" s="450"/>
      <c r="R815" s="450"/>
      <c r="S815" s="451"/>
      <c r="T815" s="450"/>
      <c r="U815" s="451"/>
      <c r="V815" s="450"/>
      <c r="W815" s="450"/>
      <c r="X815" s="450"/>
      <c r="Y815" s="450"/>
      <c r="Z815" s="450"/>
    </row>
    <row r="816" spans="1:26" x14ac:dyDescent="0.25">
      <c r="A816" s="446" t="s">
        <v>6012</v>
      </c>
      <c r="B816" s="446"/>
      <c r="C816" s="446" t="s">
        <v>202</v>
      </c>
      <c r="D816" s="446" t="s">
        <v>6013</v>
      </c>
      <c r="E816" s="448" t="s">
        <v>6006</v>
      </c>
      <c r="F816" s="448">
        <v>30736</v>
      </c>
      <c r="G816" s="446" t="s">
        <v>869</v>
      </c>
      <c r="H816" s="446" t="s">
        <v>5484</v>
      </c>
      <c r="I816" s="446" t="s">
        <v>231</v>
      </c>
      <c r="J816" s="446" t="s">
        <v>746</v>
      </c>
      <c r="K816" s="446" t="s">
        <v>6014</v>
      </c>
      <c r="L816" s="450"/>
      <c r="M816" s="450"/>
      <c r="N816" s="450"/>
      <c r="O816" s="450"/>
      <c r="P816" s="450"/>
      <c r="Q816" s="450"/>
      <c r="R816" s="450"/>
      <c r="S816" s="451"/>
      <c r="T816" s="450"/>
      <c r="U816" s="451"/>
      <c r="V816" s="450"/>
      <c r="W816" s="450"/>
      <c r="X816" s="450"/>
      <c r="Y816" s="450"/>
      <c r="Z816" s="450"/>
    </row>
    <row r="817" spans="1:26" x14ac:dyDescent="0.25">
      <c r="A817" s="446" t="s">
        <v>6015</v>
      </c>
      <c r="B817" s="446"/>
      <c r="C817" s="446" t="s">
        <v>202</v>
      </c>
      <c r="D817" s="446" t="s">
        <v>6016</v>
      </c>
      <c r="E817" s="448" t="s">
        <v>6006</v>
      </c>
      <c r="F817" s="448">
        <v>30736</v>
      </c>
      <c r="G817" s="446" t="s">
        <v>329</v>
      </c>
      <c r="H817" s="446" t="s">
        <v>5484</v>
      </c>
      <c r="I817" s="446" t="s">
        <v>231</v>
      </c>
      <c r="J817" s="446" t="s">
        <v>746</v>
      </c>
      <c r="K817" s="446" t="s">
        <v>6017</v>
      </c>
      <c r="L817" s="450"/>
      <c r="M817" s="450"/>
      <c r="N817" s="450"/>
      <c r="O817" s="450"/>
      <c r="P817" s="450"/>
      <c r="Q817" s="450"/>
      <c r="R817" s="450"/>
      <c r="S817" s="451"/>
      <c r="T817" s="450"/>
      <c r="U817" s="451"/>
      <c r="V817" s="450"/>
      <c r="W817" s="450"/>
      <c r="X817" s="450"/>
      <c r="Y817" s="450"/>
      <c r="Z817" s="450"/>
    </row>
    <row r="818" spans="1:26" x14ac:dyDescent="0.25">
      <c r="A818" s="446" t="s">
        <v>6018</v>
      </c>
      <c r="B818" s="446"/>
      <c r="C818" s="446" t="s">
        <v>202</v>
      </c>
      <c r="D818" s="446" t="s">
        <v>6019</v>
      </c>
      <c r="E818" s="448" t="s">
        <v>6006</v>
      </c>
      <c r="F818" s="448">
        <v>30736</v>
      </c>
      <c r="G818" s="446" t="s">
        <v>838</v>
      </c>
      <c r="H818" s="446" t="s">
        <v>5484</v>
      </c>
      <c r="I818" s="446" t="s">
        <v>231</v>
      </c>
      <c r="J818" s="446" t="s">
        <v>746</v>
      </c>
      <c r="K818" s="446" t="s">
        <v>6020</v>
      </c>
      <c r="L818" s="450"/>
      <c r="M818" s="450"/>
      <c r="N818" s="450"/>
      <c r="O818" s="450"/>
      <c r="P818" s="450"/>
      <c r="Q818" s="450"/>
      <c r="R818" s="450"/>
      <c r="S818" s="451"/>
      <c r="T818" s="450"/>
      <c r="U818" s="451"/>
      <c r="V818" s="450"/>
      <c r="W818" s="450"/>
      <c r="X818" s="450"/>
      <c r="Y818" s="450"/>
      <c r="Z818" s="450"/>
    </row>
    <row r="819" spans="1:26" x14ac:dyDescent="0.25">
      <c r="A819" s="446" t="s">
        <v>6021</v>
      </c>
      <c r="B819" s="446"/>
      <c r="C819" s="446" t="s">
        <v>202</v>
      </c>
      <c r="D819" s="446" t="s">
        <v>6022</v>
      </c>
      <c r="E819" s="448" t="s">
        <v>6006</v>
      </c>
      <c r="F819" s="448">
        <v>30736</v>
      </c>
      <c r="G819" s="446" t="s">
        <v>234</v>
      </c>
      <c r="H819" s="446" t="s">
        <v>5484</v>
      </c>
      <c r="I819" s="446" t="s">
        <v>231</v>
      </c>
      <c r="J819" s="446" t="s">
        <v>746</v>
      </c>
      <c r="K819" s="446" t="s">
        <v>6023</v>
      </c>
      <c r="L819" s="450"/>
      <c r="M819" s="450"/>
      <c r="N819" s="450"/>
      <c r="O819" s="450"/>
      <c r="P819" s="450"/>
      <c r="Q819" s="450"/>
      <c r="R819" s="450"/>
      <c r="S819" s="451"/>
      <c r="T819" s="450"/>
      <c r="U819" s="451"/>
      <c r="V819" s="450"/>
      <c r="W819" s="450"/>
      <c r="X819" s="450"/>
      <c r="Y819" s="450"/>
      <c r="Z819" s="450"/>
    </row>
    <row r="820" spans="1:26" x14ac:dyDescent="0.25">
      <c r="A820" s="446" t="s">
        <v>6024</v>
      </c>
      <c r="B820" s="446"/>
      <c r="C820" s="446" t="s">
        <v>202</v>
      </c>
      <c r="D820" s="446" t="s">
        <v>6025</v>
      </c>
      <c r="E820" s="448" t="s">
        <v>6006</v>
      </c>
      <c r="F820" s="448">
        <v>30736</v>
      </c>
      <c r="G820" s="446" t="s">
        <v>355</v>
      </c>
      <c r="H820" s="446" t="s">
        <v>5484</v>
      </c>
      <c r="I820" s="446" t="s">
        <v>231</v>
      </c>
      <c r="J820" s="446" t="s">
        <v>746</v>
      </c>
      <c r="K820" s="446" t="s">
        <v>6026</v>
      </c>
      <c r="L820" s="450"/>
      <c r="M820" s="450"/>
      <c r="N820" s="450"/>
      <c r="O820" s="450"/>
      <c r="P820" s="450"/>
      <c r="Q820" s="450"/>
      <c r="R820" s="450"/>
      <c r="S820" s="451"/>
      <c r="T820" s="450"/>
      <c r="U820" s="451"/>
      <c r="V820" s="450"/>
      <c r="W820" s="450"/>
      <c r="X820" s="450"/>
      <c r="Y820" s="450"/>
      <c r="Z820" s="450"/>
    </row>
    <row r="821" spans="1:26" x14ac:dyDescent="0.25">
      <c r="A821" s="446" t="s">
        <v>6027</v>
      </c>
      <c r="B821" s="446"/>
      <c r="C821" s="446" t="s">
        <v>202</v>
      </c>
      <c r="D821" s="446" t="s">
        <v>6028</v>
      </c>
      <c r="E821" s="448" t="s">
        <v>6006</v>
      </c>
      <c r="F821" s="448">
        <v>30736</v>
      </c>
      <c r="G821" s="446" t="s">
        <v>731</v>
      </c>
      <c r="H821" s="446" t="s">
        <v>5484</v>
      </c>
      <c r="I821" s="446" t="s">
        <v>231</v>
      </c>
      <c r="J821" s="446" t="s">
        <v>746</v>
      </c>
      <c r="K821" s="446" t="s">
        <v>6029</v>
      </c>
      <c r="L821" s="450"/>
      <c r="M821" s="450"/>
      <c r="N821" s="450"/>
      <c r="O821" s="450"/>
      <c r="P821" s="450"/>
      <c r="Q821" s="450"/>
      <c r="R821" s="450"/>
      <c r="S821" s="451"/>
      <c r="T821" s="450"/>
      <c r="U821" s="451"/>
      <c r="V821" s="450"/>
      <c r="W821" s="450"/>
      <c r="X821" s="450"/>
      <c r="Y821" s="450"/>
      <c r="Z821" s="450"/>
    </row>
    <row r="822" spans="1:26" x14ac:dyDescent="0.25">
      <c r="A822" s="446" t="s">
        <v>6030</v>
      </c>
      <c r="B822" s="446"/>
      <c r="C822" s="446" t="s">
        <v>202</v>
      </c>
      <c r="D822" s="446" t="s">
        <v>6031</v>
      </c>
      <c r="E822" s="448" t="s">
        <v>6006</v>
      </c>
      <c r="F822" s="448">
        <v>30736</v>
      </c>
      <c r="G822" s="446" t="s">
        <v>1042</v>
      </c>
      <c r="H822" s="446" t="s">
        <v>5484</v>
      </c>
      <c r="I822" s="446" t="s">
        <v>231</v>
      </c>
      <c r="J822" s="446" t="s">
        <v>746</v>
      </c>
      <c r="K822" s="446" t="s">
        <v>6032</v>
      </c>
      <c r="L822" s="450"/>
      <c r="M822" s="450"/>
      <c r="N822" s="450"/>
      <c r="O822" s="450"/>
      <c r="P822" s="450"/>
      <c r="Q822" s="450"/>
      <c r="R822" s="450"/>
      <c r="S822" s="451"/>
      <c r="T822" s="450"/>
      <c r="U822" s="451"/>
      <c r="V822" s="450"/>
      <c r="W822" s="450"/>
      <c r="X822" s="450"/>
      <c r="Y822" s="450"/>
      <c r="Z822" s="450"/>
    </row>
    <row r="823" spans="1:26" x14ac:dyDescent="0.25">
      <c r="A823" s="446" t="s">
        <v>6033</v>
      </c>
      <c r="B823" s="446"/>
      <c r="C823" s="446" t="s">
        <v>202</v>
      </c>
      <c r="D823" s="446" t="s">
        <v>6034</v>
      </c>
      <c r="E823" s="448" t="s">
        <v>6006</v>
      </c>
      <c r="F823" s="448">
        <v>30736</v>
      </c>
      <c r="G823" s="446" t="s">
        <v>6035</v>
      </c>
      <c r="H823" s="446" t="s">
        <v>5484</v>
      </c>
      <c r="I823" s="446" t="s">
        <v>231</v>
      </c>
      <c r="J823" s="446" t="s">
        <v>746</v>
      </c>
      <c r="K823" s="446" t="s">
        <v>6036</v>
      </c>
      <c r="L823" s="450"/>
      <c r="M823" s="450"/>
      <c r="N823" s="450"/>
      <c r="O823" s="450"/>
      <c r="P823" s="450"/>
      <c r="Q823" s="450"/>
      <c r="R823" s="450"/>
      <c r="S823" s="451"/>
      <c r="T823" s="450"/>
      <c r="U823" s="451"/>
      <c r="V823" s="450"/>
      <c r="W823" s="450"/>
      <c r="X823" s="450"/>
      <c r="Y823" s="450"/>
      <c r="Z823" s="450"/>
    </row>
    <row r="824" spans="1:26" x14ac:dyDescent="0.25">
      <c r="A824" s="446" t="s">
        <v>6037</v>
      </c>
      <c r="B824" s="446"/>
      <c r="C824" s="446" t="s">
        <v>202</v>
      </c>
      <c r="D824" s="446" t="s">
        <v>6038</v>
      </c>
      <c r="E824" s="448" t="s">
        <v>6039</v>
      </c>
      <c r="F824" s="448">
        <v>30739</v>
      </c>
      <c r="G824" s="446" t="s">
        <v>6040</v>
      </c>
      <c r="H824" s="446" t="s">
        <v>5484</v>
      </c>
      <c r="I824" s="446" t="s">
        <v>231</v>
      </c>
      <c r="J824" s="446" t="s">
        <v>746</v>
      </c>
      <c r="K824" s="446" t="s">
        <v>6041</v>
      </c>
      <c r="L824" s="450"/>
      <c r="M824" s="450"/>
      <c r="N824" s="450"/>
      <c r="O824" s="450"/>
      <c r="P824" s="450"/>
      <c r="Q824" s="450"/>
      <c r="R824" s="450"/>
      <c r="S824" s="451"/>
      <c r="T824" s="450"/>
      <c r="U824" s="451"/>
      <c r="V824" s="450"/>
      <c r="W824" s="450"/>
      <c r="X824" s="450"/>
      <c r="Y824" s="450"/>
      <c r="Z824" s="450"/>
    </row>
    <row r="825" spans="1:26" x14ac:dyDescent="0.25">
      <c r="A825" s="446" t="s">
        <v>6042</v>
      </c>
      <c r="B825" s="446"/>
      <c r="C825" s="446" t="s">
        <v>202</v>
      </c>
      <c r="D825" s="446" t="s">
        <v>6043</v>
      </c>
      <c r="E825" s="448" t="s">
        <v>6039</v>
      </c>
      <c r="F825" s="448">
        <v>30739</v>
      </c>
      <c r="G825" s="446" t="s">
        <v>214</v>
      </c>
      <c r="H825" s="446" t="s">
        <v>5484</v>
      </c>
      <c r="I825" s="446" t="s">
        <v>231</v>
      </c>
      <c r="J825" s="446" t="s">
        <v>746</v>
      </c>
      <c r="K825" s="446" t="s">
        <v>6044</v>
      </c>
      <c r="L825" s="450"/>
      <c r="M825" s="450"/>
      <c r="N825" s="450"/>
      <c r="O825" s="450"/>
      <c r="P825" s="450"/>
      <c r="Q825" s="450"/>
      <c r="R825" s="450"/>
      <c r="S825" s="451"/>
      <c r="T825" s="450"/>
      <c r="U825" s="451"/>
      <c r="V825" s="450"/>
      <c r="W825" s="450"/>
      <c r="X825" s="450"/>
      <c r="Y825" s="450"/>
      <c r="Z825" s="450"/>
    </row>
    <row r="826" spans="1:26" x14ac:dyDescent="0.25">
      <c r="A826" s="446" t="s">
        <v>6045</v>
      </c>
      <c r="B826" s="446"/>
      <c r="C826" s="446" t="s">
        <v>202</v>
      </c>
      <c r="D826" s="446" t="s">
        <v>6046</v>
      </c>
      <c r="E826" s="448" t="s">
        <v>6039</v>
      </c>
      <c r="F826" s="448">
        <v>30739</v>
      </c>
      <c r="G826" s="446" t="s">
        <v>5899</v>
      </c>
      <c r="H826" s="446" t="s">
        <v>5484</v>
      </c>
      <c r="I826" s="446" t="s">
        <v>231</v>
      </c>
      <c r="J826" s="446" t="s">
        <v>746</v>
      </c>
      <c r="K826" s="446" t="s">
        <v>6047</v>
      </c>
      <c r="L826" s="450"/>
      <c r="M826" s="450"/>
      <c r="N826" s="450"/>
      <c r="O826" s="450"/>
      <c r="P826" s="450"/>
      <c r="Q826" s="450"/>
      <c r="R826" s="450"/>
      <c r="S826" s="451"/>
      <c r="T826" s="450"/>
      <c r="U826" s="451"/>
      <c r="V826" s="450"/>
      <c r="W826" s="450"/>
      <c r="X826" s="450"/>
      <c r="Y826" s="450"/>
      <c r="Z826" s="450"/>
    </row>
    <row r="827" spans="1:26" x14ac:dyDescent="0.25">
      <c r="A827" s="446" t="s">
        <v>6048</v>
      </c>
      <c r="B827" s="446"/>
      <c r="C827" s="446" t="s">
        <v>202</v>
      </c>
      <c r="D827" s="446" t="s">
        <v>6049</v>
      </c>
      <c r="E827" s="448" t="s">
        <v>6039</v>
      </c>
      <c r="F827" s="448">
        <v>30739</v>
      </c>
      <c r="G827" s="446" t="s">
        <v>940</v>
      </c>
      <c r="H827" s="446" t="s">
        <v>5484</v>
      </c>
      <c r="I827" s="446" t="s">
        <v>231</v>
      </c>
      <c r="J827" s="446" t="s">
        <v>746</v>
      </c>
      <c r="K827" s="446" t="s">
        <v>6050</v>
      </c>
      <c r="L827" s="450"/>
      <c r="M827" s="450"/>
      <c r="N827" s="450"/>
      <c r="O827" s="450"/>
      <c r="P827" s="450"/>
      <c r="Q827" s="450"/>
      <c r="R827" s="450"/>
      <c r="S827" s="451"/>
      <c r="T827" s="450"/>
      <c r="U827" s="451"/>
      <c r="V827" s="450"/>
      <c r="W827" s="450"/>
      <c r="X827" s="450"/>
      <c r="Y827" s="450"/>
      <c r="Z827" s="450"/>
    </row>
    <row r="828" spans="1:26" x14ac:dyDescent="0.25">
      <c r="A828" s="446" t="s">
        <v>6051</v>
      </c>
      <c r="B828" s="446"/>
      <c r="C828" s="446" t="s">
        <v>202</v>
      </c>
      <c r="D828" s="446" t="s">
        <v>6052</v>
      </c>
      <c r="E828" s="448" t="s">
        <v>6053</v>
      </c>
      <c r="F828" s="448">
        <v>30741</v>
      </c>
      <c r="G828" s="446" t="s">
        <v>353</v>
      </c>
      <c r="H828" s="446" t="s">
        <v>5484</v>
      </c>
      <c r="I828" s="446" t="s">
        <v>231</v>
      </c>
      <c r="J828" s="446" t="s">
        <v>746</v>
      </c>
      <c r="K828" s="446" t="s">
        <v>6054</v>
      </c>
      <c r="L828" s="450"/>
      <c r="M828" s="450"/>
      <c r="N828" s="450"/>
      <c r="O828" s="450"/>
      <c r="P828" s="450"/>
      <c r="Q828" s="450"/>
      <c r="R828" s="450"/>
      <c r="S828" s="451"/>
      <c r="T828" s="450"/>
      <c r="U828" s="451"/>
      <c r="V828" s="450"/>
      <c r="W828" s="450"/>
      <c r="X828" s="450"/>
      <c r="Y828" s="450"/>
      <c r="Z828" s="450"/>
    </row>
    <row r="829" spans="1:26" x14ac:dyDescent="0.25">
      <c r="A829" s="446" t="s">
        <v>6055</v>
      </c>
      <c r="B829" s="446"/>
      <c r="C829" s="446" t="s">
        <v>202</v>
      </c>
      <c r="D829" s="446" t="s">
        <v>6056</v>
      </c>
      <c r="E829" s="448" t="s">
        <v>6057</v>
      </c>
      <c r="F829" s="448">
        <v>30742</v>
      </c>
      <c r="G829" s="446" t="s">
        <v>6058</v>
      </c>
      <c r="H829" s="446" t="s">
        <v>5484</v>
      </c>
      <c r="I829" s="446" t="s">
        <v>231</v>
      </c>
      <c r="J829" s="446" t="s">
        <v>746</v>
      </c>
      <c r="K829" s="446" t="s">
        <v>6059</v>
      </c>
      <c r="L829" s="450"/>
      <c r="M829" s="450"/>
      <c r="N829" s="450"/>
      <c r="O829" s="450"/>
      <c r="P829" s="450"/>
      <c r="Q829" s="450"/>
      <c r="R829" s="450"/>
      <c r="S829" s="451"/>
      <c r="T829" s="450"/>
      <c r="U829" s="451"/>
      <c r="V829" s="450"/>
      <c r="W829" s="450"/>
      <c r="X829" s="450"/>
      <c r="Y829" s="450"/>
      <c r="Z829" s="450"/>
    </row>
    <row r="830" spans="1:26" x14ac:dyDescent="0.25">
      <c r="A830" s="446" t="s">
        <v>6060</v>
      </c>
      <c r="B830" s="446"/>
      <c r="C830" s="446" t="s">
        <v>202</v>
      </c>
      <c r="D830" s="446" t="s">
        <v>6061</v>
      </c>
      <c r="E830" s="448" t="s">
        <v>6062</v>
      </c>
      <c r="F830" s="448">
        <v>30748</v>
      </c>
      <c r="G830" s="446" t="s">
        <v>924</v>
      </c>
      <c r="H830" s="446" t="s">
        <v>5484</v>
      </c>
      <c r="I830" s="446" t="s">
        <v>231</v>
      </c>
      <c r="J830" s="446" t="s">
        <v>746</v>
      </c>
      <c r="K830" s="446" t="s">
        <v>6063</v>
      </c>
      <c r="L830" s="450"/>
      <c r="M830" s="450"/>
      <c r="N830" s="450"/>
      <c r="O830" s="450"/>
      <c r="P830" s="450"/>
      <c r="Q830" s="450"/>
      <c r="R830" s="450"/>
      <c r="S830" s="451"/>
      <c r="T830" s="450"/>
      <c r="U830" s="451"/>
      <c r="V830" s="450"/>
      <c r="W830" s="450"/>
      <c r="X830" s="450"/>
      <c r="Y830" s="450"/>
      <c r="Z830" s="450"/>
    </row>
    <row r="831" spans="1:26" x14ac:dyDescent="0.25">
      <c r="A831" s="446" t="s">
        <v>6064</v>
      </c>
      <c r="B831" s="446"/>
      <c r="C831" s="446" t="s">
        <v>202</v>
      </c>
      <c r="D831" s="446" t="s">
        <v>6065</v>
      </c>
      <c r="E831" s="448" t="s">
        <v>6066</v>
      </c>
      <c r="F831" s="448">
        <v>30749</v>
      </c>
      <c r="G831" s="446" t="s">
        <v>2838</v>
      </c>
      <c r="H831" s="446" t="s">
        <v>5484</v>
      </c>
      <c r="I831" s="446" t="s">
        <v>231</v>
      </c>
      <c r="J831" s="446" t="s">
        <v>746</v>
      </c>
      <c r="K831" s="446" t="s">
        <v>6067</v>
      </c>
      <c r="L831" s="450"/>
      <c r="M831" s="450"/>
      <c r="N831" s="450"/>
      <c r="O831" s="450"/>
      <c r="P831" s="450"/>
      <c r="Q831" s="450"/>
      <c r="R831" s="450"/>
      <c r="S831" s="451"/>
      <c r="T831" s="450"/>
      <c r="U831" s="451"/>
      <c r="V831" s="450"/>
      <c r="W831" s="450"/>
      <c r="X831" s="450"/>
      <c r="Y831" s="450"/>
      <c r="Z831" s="450"/>
    </row>
    <row r="832" spans="1:26" x14ac:dyDescent="0.25">
      <c r="A832" s="446" t="s">
        <v>6068</v>
      </c>
      <c r="B832" s="446"/>
      <c r="C832" s="446" t="s">
        <v>202</v>
      </c>
      <c r="D832" s="446" t="s">
        <v>6069</v>
      </c>
      <c r="E832" s="448" t="s">
        <v>6070</v>
      </c>
      <c r="F832" s="448">
        <v>30756</v>
      </c>
      <c r="G832" s="446" t="s">
        <v>875</v>
      </c>
      <c r="H832" s="446" t="s">
        <v>5484</v>
      </c>
      <c r="I832" s="446" t="s">
        <v>231</v>
      </c>
      <c r="J832" s="446" t="s">
        <v>746</v>
      </c>
      <c r="K832" s="446" t="s">
        <v>6071</v>
      </c>
      <c r="L832" s="450"/>
      <c r="M832" s="450"/>
      <c r="N832" s="450"/>
      <c r="O832" s="450"/>
      <c r="P832" s="450"/>
      <c r="Q832" s="450"/>
      <c r="R832" s="450"/>
      <c r="S832" s="451"/>
      <c r="T832" s="450"/>
      <c r="U832" s="451"/>
      <c r="V832" s="450"/>
      <c r="W832" s="450"/>
      <c r="X832" s="450"/>
      <c r="Y832" s="450"/>
      <c r="Z832" s="450"/>
    </row>
    <row r="833" spans="1:26" x14ac:dyDescent="0.25">
      <c r="A833" s="446" t="s">
        <v>6072</v>
      </c>
      <c r="B833" s="446"/>
      <c r="C833" s="446" t="s">
        <v>202</v>
      </c>
      <c r="D833" s="446" t="s">
        <v>6073</v>
      </c>
      <c r="E833" s="448" t="s">
        <v>6070</v>
      </c>
      <c r="F833" s="448">
        <v>30756</v>
      </c>
      <c r="G833" s="446" t="s">
        <v>863</v>
      </c>
      <c r="H833" s="446" t="s">
        <v>5484</v>
      </c>
      <c r="I833" s="446" t="s">
        <v>231</v>
      </c>
      <c r="J833" s="446" t="s">
        <v>746</v>
      </c>
      <c r="K833" s="446" t="s">
        <v>6074</v>
      </c>
      <c r="L833" s="450"/>
      <c r="M833" s="450"/>
      <c r="N833" s="450"/>
      <c r="O833" s="450"/>
      <c r="P833" s="450"/>
      <c r="Q833" s="450"/>
      <c r="R833" s="450"/>
      <c r="S833" s="451"/>
      <c r="T833" s="450"/>
      <c r="U833" s="451"/>
      <c r="V833" s="450"/>
      <c r="W833" s="450"/>
      <c r="X833" s="450"/>
      <c r="Y833" s="450"/>
      <c r="Z833" s="450"/>
    </row>
    <row r="834" spans="1:26" x14ac:dyDescent="0.25">
      <c r="A834" s="446" t="s">
        <v>6075</v>
      </c>
      <c r="B834" s="446"/>
      <c r="C834" s="446" t="s">
        <v>202</v>
      </c>
      <c r="D834" s="446" t="s">
        <v>6076</v>
      </c>
      <c r="E834" s="448" t="s">
        <v>6070</v>
      </c>
      <c r="F834" s="448">
        <v>30756</v>
      </c>
      <c r="G834" s="446" t="s">
        <v>357</v>
      </c>
      <c r="H834" s="446" t="s">
        <v>5484</v>
      </c>
      <c r="I834" s="446" t="s">
        <v>231</v>
      </c>
      <c r="J834" s="446" t="s">
        <v>746</v>
      </c>
      <c r="K834" s="446" t="s">
        <v>6077</v>
      </c>
      <c r="L834" s="450"/>
      <c r="M834" s="450"/>
      <c r="N834" s="450"/>
      <c r="O834" s="450"/>
      <c r="P834" s="450"/>
      <c r="Q834" s="450"/>
      <c r="R834" s="450"/>
      <c r="S834" s="451"/>
      <c r="T834" s="450"/>
      <c r="U834" s="451"/>
      <c r="V834" s="450"/>
      <c r="W834" s="450"/>
      <c r="X834" s="450"/>
      <c r="Y834" s="450"/>
      <c r="Z834" s="450"/>
    </row>
    <row r="835" spans="1:26" x14ac:dyDescent="0.25">
      <c r="A835" s="446" t="s">
        <v>6078</v>
      </c>
      <c r="B835" s="446"/>
      <c r="C835" s="446" t="s">
        <v>1456</v>
      </c>
      <c r="D835" s="446" t="s">
        <v>6079</v>
      </c>
      <c r="E835" s="448" t="s">
        <v>6080</v>
      </c>
      <c r="F835" s="448">
        <v>30757</v>
      </c>
      <c r="G835" s="446" t="s">
        <v>5562</v>
      </c>
      <c r="H835" s="446" t="s">
        <v>6081</v>
      </c>
      <c r="I835" s="446" t="s">
        <v>5207</v>
      </c>
      <c r="J835" s="446" t="s">
        <v>746</v>
      </c>
      <c r="K835" s="446" t="s">
        <v>6082</v>
      </c>
      <c r="L835" s="450"/>
      <c r="M835" s="450"/>
      <c r="N835" s="450"/>
      <c r="O835" s="450"/>
      <c r="P835" s="450"/>
      <c r="Q835" s="450"/>
      <c r="R835" s="450"/>
      <c r="S835" s="451"/>
      <c r="T835" s="450"/>
      <c r="U835" s="451"/>
      <c r="V835" s="450"/>
      <c r="W835" s="450"/>
      <c r="X835" s="450"/>
      <c r="Y835" s="450"/>
      <c r="Z835" s="450"/>
    </row>
    <row r="836" spans="1:26" x14ac:dyDescent="0.25">
      <c r="A836" s="446" t="s">
        <v>6083</v>
      </c>
      <c r="B836" s="446"/>
      <c r="C836" s="446" t="s">
        <v>4618</v>
      </c>
      <c r="D836" s="446" t="s">
        <v>6084</v>
      </c>
      <c r="E836" s="448" t="s">
        <v>6085</v>
      </c>
      <c r="F836" s="448">
        <v>30769</v>
      </c>
      <c r="G836" s="446" t="s">
        <v>5088</v>
      </c>
      <c r="H836" s="446" t="s">
        <v>6086</v>
      </c>
      <c r="I836" s="446" t="s">
        <v>231</v>
      </c>
      <c r="J836" s="446" t="s">
        <v>746</v>
      </c>
      <c r="K836" s="446" t="s">
        <v>6087</v>
      </c>
      <c r="L836" s="450"/>
      <c r="M836" s="450"/>
      <c r="N836" s="450"/>
      <c r="O836" s="450"/>
      <c r="P836" s="450"/>
      <c r="Q836" s="450"/>
      <c r="R836" s="450"/>
      <c r="S836" s="451"/>
      <c r="T836" s="450"/>
      <c r="U836" s="451"/>
      <c r="V836" s="450"/>
      <c r="W836" s="450"/>
      <c r="X836" s="450"/>
      <c r="Y836" s="450"/>
      <c r="Z836" s="450"/>
    </row>
    <row r="837" spans="1:26" x14ac:dyDescent="0.25">
      <c r="A837" s="446" t="s">
        <v>6088</v>
      </c>
      <c r="B837" s="446"/>
      <c r="C837" s="446" t="s">
        <v>1456</v>
      </c>
      <c r="D837" s="446" t="s">
        <v>6089</v>
      </c>
      <c r="E837" s="448" t="s">
        <v>6085</v>
      </c>
      <c r="F837" s="448">
        <v>30769</v>
      </c>
      <c r="G837" s="446" t="s">
        <v>799</v>
      </c>
      <c r="H837" s="446" t="s">
        <v>882</v>
      </c>
      <c r="I837" s="446" t="s">
        <v>4632</v>
      </c>
      <c r="J837" s="446" t="s">
        <v>746</v>
      </c>
      <c r="K837" s="446" t="s">
        <v>6090</v>
      </c>
      <c r="L837" s="450"/>
      <c r="M837" s="450"/>
      <c r="N837" s="450"/>
      <c r="O837" s="450"/>
      <c r="P837" s="450"/>
      <c r="Q837" s="450"/>
      <c r="R837" s="450"/>
      <c r="S837" s="451"/>
      <c r="T837" s="450"/>
      <c r="U837" s="451"/>
      <c r="V837" s="450"/>
      <c r="W837" s="450"/>
      <c r="X837" s="450"/>
      <c r="Y837" s="450"/>
      <c r="Z837" s="450"/>
    </row>
    <row r="838" spans="1:26" x14ac:dyDescent="0.25">
      <c r="A838" s="446" t="s">
        <v>880</v>
      </c>
      <c r="B838" s="446"/>
      <c r="C838" s="446" t="s">
        <v>619</v>
      </c>
      <c r="D838" s="446" t="s">
        <v>6091</v>
      </c>
      <c r="E838" s="448" t="s">
        <v>6092</v>
      </c>
      <c r="F838" s="448">
        <v>30741</v>
      </c>
      <c r="G838" s="446" t="s">
        <v>799</v>
      </c>
      <c r="H838" s="446" t="s">
        <v>882</v>
      </c>
      <c r="I838" s="446" t="s">
        <v>6093</v>
      </c>
      <c r="J838" s="446" t="s">
        <v>404</v>
      </c>
      <c r="K838" s="446" t="s">
        <v>6094</v>
      </c>
      <c r="L838" s="450"/>
      <c r="M838" s="450"/>
      <c r="N838" s="450"/>
      <c r="O838" s="450"/>
      <c r="P838" s="450"/>
      <c r="Q838" s="450"/>
      <c r="R838" s="450"/>
      <c r="S838" s="451"/>
      <c r="T838" s="450"/>
      <c r="U838" s="451"/>
      <c r="V838" s="450"/>
      <c r="W838" s="450"/>
      <c r="X838" s="450"/>
      <c r="Y838" s="450"/>
      <c r="Z838" s="450"/>
    </row>
    <row r="839" spans="1:26" x14ac:dyDescent="0.25">
      <c r="A839" s="446" t="s">
        <v>886</v>
      </c>
      <c r="B839" s="446"/>
      <c r="C839" s="446" t="s">
        <v>619</v>
      </c>
      <c r="D839" s="446" t="s">
        <v>6095</v>
      </c>
      <c r="E839" s="448" t="s">
        <v>6092</v>
      </c>
      <c r="F839" s="448">
        <v>30770</v>
      </c>
      <c r="G839" s="446" t="s">
        <v>799</v>
      </c>
      <c r="H839" s="446" t="s">
        <v>6096</v>
      </c>
      <c r="I839" s="446" t="s">
        <v>6093</v>
      </c>
      <c r="J839" s="446" t="s">
        <v>404</v>
      </c>
      <c r="K839" s="446" t="s">
        <v>6097</v>
      </c>
      <c r="L839" s="450"/>
      <c r="M839" s="450"/>
      <c r="N839" s="450"/>
      <c r="O839" s="450"/>
      <c r="P839" s="450"/>
      <c r="Q839" s="450"/>
      <c r="R839" s="450"/>
      <c r="S839" s="451"/>
      <c r="T839" s="450"/>
      <c r="U839" s="451"/>
      <c r="V839" s="450"/>
      <c r="W839" s="450"/>
      <c r="X839" s="450"/>
      <c r="Y839" s="450"/>
      <c r="Z839" s="450"/>
    </row>
    <row r="840" spans="1:26" x14ac:dyDescent="0.25">
      <c r="A840" s="446" t="s">
        <v>890</v>
      </c>
      <c r="B840" s="446"/>
      <c r="C840" s="446" t="s">
        <v>619</v>
      </c>
      <c r="D840" s="446" t="s">
        <v>6098</v>
      </c>
      <c r="E840" s="448" t="s">
        <v>6099</v>
      </c>
      <c r="F840" s="448">
        <v>30791</v>
      </c>
      <c r="G840" s="446" t="s">
        <v>353</v>
      </c>
      <c r="H840" s="446" t="s">
        <v>892</v>
      </c>
      <c r="I840" s="446" t="s">
        <v>4632</v>
      </c>
      <c r="J840" s="446" t="s">
        <v>404</v>
      </c>
      <c r="K840" s="446" t="s">
        <v>6100</v>
      </c>
      <c r="L840" s="450"/>
      <c r="M840" s="450"/>
      <c r="N840" s="450"/>
      <c r="O840" s="450"/>
      <c r="P840" s="450"/>
      <c r="Q840" s="450"/>
      <c r="R840" s="450"/>
      <c r="S840" s="451"/>
      <c r="T840" s="450"/>
      <c r="U840" s="451"/>
      <c r="V840" s="450"/>
      <c r="W840" s="450"/>
      <c r="X840" s="450"/>
      <c r="Y840" s="450"/>
      <c r="Z840" s="450"/>
    </row>
    <row r="841" spans="1:26" x14ac:dyDescent="0.25">
      <c r="A841" s="446" t="s">
        <v>6101</v>
      </c>
      <c r="B841" s="446"/>
      <c r="C841" s="446" t="s">
        <v>1456</v>
      </c>
      <c r="D841" s="446" t="s">
        <v>6102</v>
      </c>
      <c r="E841" s="448" t="s">
        <v>6103</v>
      </c>
      <c r="F841" s="448">
        <v>30937</v>
      </c>
      <c r="G841" s="446" t="s">
        <v>5510</v>
      </c>
      <c r="H841" s="446" t="s">
        <v>6104</v>
      </c>
      <c r="I841" s="446" t="s">
        <v>5207</v>
      </c>
      <c r="J841" s="446" t="s">
        <v>746</v>
      </c>
      <c r="K841" s="446" t="s">
        <v>6105</v>
      </c>
      <c r="L841" s="450"/>
      <c r="M841" s="450"/>
      <c r="N841" s="450"/>
      <c r="O841" s="450"/>
      <c r="P841" s="450"/>
      <c r="Q841" s="450"/>
      <c r="R841" s="450"/>
      <c r="S841" s="451"/>
      <c r="T841" s="450"/>
      <c r="U841" s="451"/>
      <c r="V841" s="450"/>
      <c r="W841" s="450"/>
      <c r="X841" s="450"/>
      <c r="Y841" s="450"/>
      <c r="Z841" s="450"/>
    </row>
    <row r="842" spans="1:26" x14ac:dyDescent="0.25">
      <c r="A842" s="446" t="s">
        <v>893</v>
      </c>
      <c r="B842" s="446"/>
      <c r="C842" s="446" t="s">
        <v>756</v>
      </c>
      <c r="D842" s="446" t="s">
        <v>6106</v>
      </c>
      <c r="E842" s="448" t="s">
        <v>6107</v>
      </c>
      <c r="F842" s="448">
        <v>30967</v>
      </c>
      <c r="G842" s="446" t="s">
        <v>896</v>
      </c>
      <c r="H842" s="446" t="s">
        <v>102</v>
      </c>
      <c r="I842" s="446" t="s">
        <v>4632</v>
      </c>
      <c r="J842" s="446" t="s">
        <v>760</v>
      </c>
      <c r="K842" s="446" t="s">
        <v>6108</v>
      </c>
      <c r="L842" s="450"/>
      <c r="M842" s="450"/>
      <c r="N842" s="450"/>
      <c r="O842" s="450"/>
      <c r="P842" s="450"/>
      <c r="Q842" s="450"/>
      <c r="R842" s="450"/>
      <c r="S842" s="451"/>
      <c r="T842" s="450"/>
      <c r="U842" s="451"/>
      <c r="V842" s="450"/>
      <c r="W842" s="450"/>
      <c r="X842" s="450"/>
      <c r="Y842" s="450"/>
      <c r="Z842" s="450"/>
    </row>
    <row r="843" spans="1:26" x14ac:dyDescent="0.25">
      <c r="A843" s="446" t="s">
        <v>6109</v>
      </c>
      <c r="B843" s="446"/>
      <c r="C843" s="446" t="s">
        <v>1456</v>
      </c>
      <c r="D843" s="446" t="s">
        <v>6110</v>
      </c>
      <c r="E843" s="448" t="s">
        <v>6111</v>
      </c>
      <c r="F843" s="448">
        <v>30979</v>
      </c>
      <c r="G843" s="446" t="s">
        <v>5743</v>
      </c>
      <c r="H843" s="446" t="s">
        <v>6112</v>
      </c>
      <c r="I843" s="446" t="s">
        <v>231</v>
      </c>
      <c r="J843" s="446" t="s">
        <v>746</v>
      </c>
      <c r="K843" s="446" t="s">
        <v>6113</v>
      </c>
      <c r="L843" s="450"/>
      <c r="M843" s="450"/>
      <c r="N843" s="450"/>
      <c r="O843" s="450"/>
      <c r="P843" s="450"/>
      <c r="Q843" s="450"/>
      <c r="R843" s="450"/>
      <c r="S843" s="451"/>
      <c r="T843" s="450"/>
      <c r="U843" s="451"/>
      <c r="V843" s="450"/>
      <c r="W843" s="450"/>
      <c r="X843" s="450"/>
      <c r="Y843" s="450"/>
      <c r="Z843" s="450"/>
    </row>
    <row r="844" spans="1:26" x14ac:dyDescent="0.25">
      <c r="A844" s="446" t="s">
        <v>6114</v>
      </c>
      <c r="B844" s="446"/>
      <c r="C844" s="446" t="s">
        <v>202</v>
      </c>
      <c r="D844" s="446" t="s">
        <v>6115</v>
      </c>
      <c r="E844" s="448" t="s">
        <v>6116</v>
      </c>
      <c r="F844" s="448">
        <v>31051</v>
      </c>
      <c r="G844" s="446" t="s">
        <v>6117</v>
      </c>
      <c r="H844" s="446" t="s">
        <v>1549</v>
      </c>
      <c r="I844" s="446" t="s">
        <v>231</v>
      </c>
      <c r="J844" s="446" t="s">
        <v>746</v>
      </c>
      <c r="K844" s="446" t="s">
        <v>6118</v>
      </c>
      <c r="L844" s="450"/>
      <c r="M844" s="450"/>
      <c r="N844" s="450"/>
      <c r="O844" s="450"/>
      <c r="P844" s="450"/>
      <c r="Q844" s="450"/>
      <c r="R844" s="450"/>
      <c r="S844" s="451"/>
      <c r="T844" s="450"/>
      <c r="U844" s="451"/>
      <c r="V844" s="450"/>
      <c r="W844" s="450"/>
      <c r="X844" s="450"/>
      <c r="Y844" s="450"/>
      <c r="Z844" s="450"/>
    </row>
    <row r="845" spans="1:26" x14ac:dyDescent="0.25">
      <c r="A845" s="446" t="s">
        <v>6119</v>
      </c>
      <c r="B845" s="446"/>
      <c r="C845" s="446" t="s">
        <v>4618</v>
      </c>
      <c r="D845" s="446" t="s">
        <v>6120</v>
      </c>
      <c r="E845" s="448" t="s">
        <v>6121</v>
      </c>
      <c r="F845" s="448">
        <v>31079</v>
      </c>
      <c r="G845" s="446" t="s">
        <v>5796</v>
      </c>
      <c r="H845" s="446" t="s">
        <v>4342</v>
      </c>
      <c r="I845" s="446" t="s">
        <v>231</v>
      </c>
      <c r="J845" s="446" t="s">
        <v>746</v>
      </c>
      <c r="K845" s="446" t="s">
        <v>6122</v>
      </c>
      <c r="L845" s="450"/>
      <c r="M845" s="450"/>
      <c r="N845" s="450"/>
      <c r="O845" s="450"/>
      <c r="P845" s="450"/>
      <c r="Q845" s="450"/>
      <c r="R845" s="450"/>
      <c r="S845" s="451"/>
      <c r="T845" s="450"/>
      <c r="U845" s="451"/>
      <c r="V845" s="450"/>
      <c r="W845" s="450"/>
      <c r="X845" s="450"/>
      <c r="Y845" s="450"/>
      <c r="Z845" s="450"/>
    </row>
    <row r="846" spans="1:26" x14ac:dyDescent="0.25">
      <c r="A846" s="446" t="s">
        <v>6123</v>
      </c>
      <c r="B846" s="446"/>
      <c r="C846" s="446" t="s">
        <v>408</v>
      </c>
      <c r="D846" s="446" t="s">
        <v>6124</v>
      </c>
      <c r="E846" s="448" t="s">
        <v>6125</v>
      </c>
      <c r="F846" s="448">
        <v>31100</v>
      </c>
      <c r="G846" s="446" t="s">
        <v>5856</v>
      </c>
      <c r="H846" s="446" t="s">
        <v>6126</v>
      </c>
      <c r="I846" s="446" t="s">
        <v>231</v>
      </c>
      <c r="J846" s="446" t="s">
        <v>4604</v>
      </c>
      <c r="K846" s="446" t="s">
        <v>6127</v>
      </c>
      <c r="L846" s="450"/>
      <c r="M846" s="450"/>
      <c r="N846" s="450"/>
      <c r="O846" s="450"/>
      <c r="P846" s="450"/>
      <c r="Q846" s="450"/>
      <c r="R846" s="450"/>
      <c r="S846" s="451"/>
      <c r="T846" s="450"/>
      <c r="U846" s="451"/>
      <c r="V846" s="450"/>
      <c r="W846" s="450"/>
      <c r="X846" s="450"/>
      <c r="Y846" s="450"/>
      <c r="Z846" s="450"/>
    </row>
    <row r="847" spans="1:26" x14ac:dyDescent="0.25">
      <c r="A847" s="446" t="s">
        <v>6128</v>
      </c>
      <c r="B847" s="446"/>
      <c r="C847" s="446" t="s">
        <v>1456</v>
      </c>
      <c r="D847" s="446" t="s">
        <v>6129</v>
      </c>
      <c r="E847" s="448" t="s">
        <v>6130</v>
      </c>
      <c r="F847" s="448">
        <v>31147</v>
      </c>
      <c r="G847" s="446" t="s">
        <v>1549</v>
      </c>
      <c r="H847" s="446" t="s">
        <v>6131</v>
      </c>
      <c r="I847" s="446" t="s">
        <v>4632</v>
      </c>
      <c r="J847" s="446" t="s">
        <v>746</v>
      </c>
      <c r="K847" s="446" t="s">
        <v>6132</v>
      </c>
      <c r="L847" s="450"/>
      <c r="M847" s="450"/>
      <c r="N847" s="450"/>
      <c r="O847" s="450"/>
      <c r="P847" s="450"/>
      <c r="Q847" s="450"/>
      <c r="R847" s="450"/>
      <c r="S847" s="451"/>
      <c r="T847" s="450"/>
      <c r="U847" s="451"/>
      <c r="V847" s="450"/>
      <c r="W847" s="450"/>
      <c r="X847" s="450"/>
      <c r="Y847" s="450"/>
      <c r="Z847" s="450"/>
    </row>
    <row r="848" spans="1:26" x14ac:dyDescent="0.25">
      <c r="A848" s="446" t="s">
        <v>6133</v>
      </c>
      <c r="B848" s="446"/>
      <c r="C848" s="446" t="s">
        <v>202</v>
      </c>
      <c r="D848" s="446" t="s">
        <v>6134</v>
      </c>
      <c r="E848" s="448" t="s">
        <v>6130</v>
      </c>
      <c r="F848" s="448">
        <v>31147</v>
      </c>
      <c r="G848" s="446" t="s">
        <v>214</v>
      </c>
      <c r="H848" s="446" t="s">
        <v>5484</v>
      </c>
      <c r="I848" s="446" t="s">
        <v>231</v>
      </c>
      <c r="J848" s="446" t="s">
        <v>746</v>
      </c>
      <c r="K848" s="446" t="s">
        <v>6135</v>
      </c>
      <c r="L848" s="450"/>
      <c r="M848" s="450"/>
      <c r="N848" s="450"/>
      <c r="O848" s="450"/>
      <c r="P848" s="450"/>
      <c r="Q848" s="450"/>
      <c r="R848" s="450"/>
      <c r="S848" s="451"/>
      <c r="T848" s="450"/>
      <c r="U848" s="451"/>
      <c r="V848" s="450"/>
      <c r="W848" s="450"/>
      <c r="X848" s="450"/>
      <c r="Y848" s="450"/>
      <c r="Z848" s="450"/>
    </row>
    <row r="849" spans="1:26" x14ac:dyDescent="0.25">
      <c r="A849" s="446" t="s">
        <v>6136</v>
      </c>
      <c r="B849" s="446"/>
      <c r="C849" s="446" t="s">
        <v>202</v>
      </c>
      <c r="D849" s="446" t="s">
        <v>6137</v>
      </c>
      <c r="E849" s="448" t="s">
        <v>6130</v>
      </c>
      <c r="F849" s="448">
        <v>31147</v>
      </c>
      <c r="G849" s="446" t="s">
        <v>234</v>
      </c>
      <c r="H849" s="446" t="s">
        <v>5484</v>
      </c>
      <c r="I849" s="446" t="s">
        <v>231</v>
      </c>
      <c r="J849" s="446" t="s">
        <v>746</v>
      </c>
      <c r="K849" s="446" t="s">
        <v>6138</v>
      </c>
      <c r="L849" s="450"/>
      <c r="M849" s="450"/>
      <c r="N849" s="450"/>
      <c r="O849" s="450"/>
      <c r="P849" s="450"/>
      <c r="Q849" s="450"/>
      <c r="R849" s="450"/>
      <c r="S849" s="451"/>
      <c r="T849" s="450"/>
      <c r="U849" s="451"/>
      <c r="V849" s="450"/>
      <c r="W849" s="450"/>
      <c r="X849" s="450"/>
      <c r="Y849" s="450"/>
      <c r="Z849" s="450"/>
    </row>
    <row r="850" spans="1:26" x14ac:dyDescent="0.25">
      <c r="A850" s="446" t="s">
        <v>6139</v>
      </c>
      <c r="B850" s="446"/>
      <c r="C850" s="446" t="s">
        <v>202</v>
      </c>
      <c r="D850" s="446" t="s">
        <v>6140</v>
      </c>
      <c r="E850" s="448" t="s">
        <v>6130</v>
      </c>
      <c r="F850" s="448">
        <v>31147</v>
      </c>
      <c r="G850" s="446" t="s">
        <v>355</v>
      </c>
      <c r="H850" s="446" t="s">
        <v>5484</v>
      </c>
      <c r="I850" s="446" t="s">
        <v>231</v>
      </c>
      <c r="J850" s="446" t="s">
        <v>746</v>
      </c>
      <c r="K850" s="446" t="s">
        <v>6141</v>
      </c>
      <c r="L850" s="450"/>
      <c r="M850" s="450"/>
      <c r="N850" s="450"/>
      <c r="O850" s="450"/>
      <c r="P850" s="450"/>
      <c r="Q850" s="450"/>
      <c r="R850" s="450"/>
      <c r="S850" s="451"/>
      <c r="T850" s="450"/>
      <c r="U850" s="451"/>
      <c r="V850" s="450"/>
      <c r="W850" s="450"/>
      <c r="X850" s="450"/>
      <c r="Y850" s="450"/>
      <c r="Z850" s="450"/>
    </row>
    <row r="851" spans="1:26" x14ac:dyDescent="0.25">
      <c r="A851" s="446" t="s">
        <v>6142</v>
      </c>
      <c r="B851" s="446"/>
      <c r="C851" s="446" t="s">
        <v>202</v>
      </c>
      <c r="D851" s="446" t="s">
        <v>6143</v>
      </c>
      <c r="E851" s="448" t="s">
        <v>6130</v>
      </c>
      <c r="F851" s="448">
        <v>31147</v>
      </c>
      <c r="G851" s="446" t="s">
        <v>6144</v>
      </c>
      <c r="H851" s="446" t="s">
        <v>5484</v>
      </c>
      <c r="I851" s="446" t="s">
        <v>231</v>
      </c>
      <c r="J851" s="446" t="s">
        <v>746</v>
      </c>
      <c r="K851" s="446" t="s">
        <v>6145</v>
      </c>
      <c r="L851" s="450"/>
      <c r="M851" s="450"/>
      <c r="N851" s="450"/>
      <c r="O851" s="450"/>
      <c r="P851" s="450"/>
      <c r="Q851" s="450"/>
      <c r="R851" s="450"/>
      <c r="S851" s="451"/>
      <c r="T851" s="450"/>
      <c r="U851" s="451"/>
      <c r="V851" s="450"/>
      <c r="W851" s="450"/>
      <c r="X851" s="450"/>
      <c r="Y851" s="450"/>
      <c r="Z851" s="450"/>
    </row>
    <row r="852" spans="1:26" x14ac:dyDescent="0.25">
      <c r="A852" s="446" t="s">
        <v>6146</v>
      </c>
      <c r="B852" s="446"/>
      <c r="C852" s="446" t="s">
        <v>202</v>
      </c>
      <c r="D852" s="446" t="s">
        <v>6147</v>
      </c>
      <c r="E852" s="448" t="s">
        <v>6130</v>
      </c>
      <c r="F852" s="448">
        <v>31147</v>
      </c>
      <c r="G852" s="446" t="s">
        <v>940</v>
      </c>
      <c r="H852" s="446" t="s">
        <v>5484</v>
      </c>
      <c r="I852" s="446" t="s">
        <v>231</v>
      </c>
      <c r="J852" s="446" t="s">
        <v>746</v>
      </c>
      <c r="K852" s="446" t="s">
        <v>6148</v>
      </c>
      <c r="L852" s="450"/>
      <c r="M852" s="450"/>
      <c r="N852" s="450"/>
      <c r="O852" s="450"/>
      <c r="P852" s="450"/>
      <c r="Q852" s="450"/>
      <c r="R852" s="450"/>
      <c r="S852" s="451"/>
      <c r="T852" s="450"/>
      <c r="U852" s="451"/>
      <c r="V852" s="450"/>
      <c r="W852" s="450"/>
      <c r="X852" s="450"/>
      <c r="Y852" s="450"/>
      <c r="Z852" s="450"/>
    </row>
    <row r="853" spans="1:26" x14ac:dyDescent="0.25">
      <c r="A853" s="446" t="s">
        <v>6149</v>
      </c>
      <c r="B853" s="446"/>
      <c r="C853" s="446" t="s">
        <v>202</v>
      </c>
      <c r="D853" s="446" t="s">
        <v>6150</v>
      </c>
      <c r="E853" s="448" t="s">
        <v>6130</v>
      </c>
      <c r="F853" s="448">
        <v>31147</v>
      </c>
      <c r="G853" s="446" t="s">
        <v>731</v>
      </c>
      <c r="H853" s="446" t="s">
        <v>5484</v>
      </c>
      <c r="I853" s="446" t="s">
        <v>231</v>
      </c>
      <c r="J853" s="446" t="s">
        <v>746</v>
      </c>
      <c r="K853" s="446" t="s">
        <v>6151</v>
      </c>
      <c r="L853" s="450"/>
      <c r="M853" s="450"/>
      <c r="N853" s="450"/>
      <c r="O853" s="450"/>
      <c r="P853" s="450"/>
      <c r="Q853" s="450"/>
      <c r="R853" s="450"/>
      <c r="S853" s="451"/>
      <c r="T853" s="450"/>
      <c r="U853" s="451"/>
      <c r="V853" s="450"/>
      <c r="W853" s="450"/>
      <c r="X853" s="450"/>
      <c r="Y853" s="450"/>
      <c r="Z853" s="450"/>
    </row>
    <row r="854" spans="1:26" x14ac:dyDescent="0.25">
      <c r="A854" s="446" t="s">
        <v>6152</v>
      </c>
      <c r="B854" s="446"/>
      <c r="C854" s="446" t="s">
        <v>202</v>
      </c>
      <c r="D854" s="446" t="s">
        <v>6153</v>
      </c>
      <c r="E854" s="448" t="s">
        <v>6130</v>
      </c>
      <c r="F854" s="448">
        <v>31147</v>
      </c>
      <c r="G854" s="446" t="s">
        <v>726</v>
      </c>
      <c r="H854" s="446" t="s">
        <v>5484</v>
      </c>
      <c r="I854" s="446" t="s">
        <v>231</v>
      </c>
      <c r="J854" s="446" t="s">
        <v>746</v>
      </c>
      <c r="K854" s="446" t="s">
        <v>6154</v>
      </c>
      <c r="L854" s="450"/>
      <c r="M854" s="450"/>
      <c r="N854" s="450"/>
      <c r="O854" s="450"/>
      <c r="P854" s="450"/>
      <c r="Q854" s="450"/>
      <c r="R854" s="450"/>
      <c r="S854" s="451"/>
      <c r="T854" s="450"/>
      <c r="U854" s="451"/>
      <c r="V854" s="450"/>
      <c r="W854" s="450"/>
      <c r="X854" s="450"/>
      <c r="Y854" s="450"/>
      <c r="Z854" s="450"/>
    </row>
    <row r="855" spans="1:26" x14ac:dyDescent="0.25">
      <c r="A855" s="446" t="s">
        <v>6155</v>
      </c>
      <c r="B855" s="446"/>
      <c r="C855" s="446" t="s">
        <v>202</v>
      </c>
      <c r="D855" s="446" t="s">
        <v>6156</v>
      </c>
      <c r="E855" s="448" t="s">
        <v>6130</v>
      </c>
      <c r="F855" s="448">
        <v>31147</v>
      </c>
      <c r="G855" s="446" t="s">
        <v>1042</v>
      </c>
      <c r="H855" s="446" t="s">
        <v>5484</v>
      </c>
      <c r="I855" s="446" t="s">
        <v>231</v>
      </c>
      <c r="J855" s="446" t="s">
        <v>746</v>
      </c>
      <c r="K855" s="446" t="s">
        <v>6157</v>
      </c>
      <c r="L855" s="450"/>
      <c r="M855" s="450"/>
      <c r="N855" s="450"/>
      <c r="O855" s="450"/>
      <c r="P855" s="450"/>
      <c r="Q855" s="450"/>
      <c r="R855" s="450"/>
      <c r="S855" s="451"/>
      <c r="T855" s="450"/>
      <c r="U855" s="451"/>
      <c r="V855" s="450"/>
      <c r="W855" s="450"/>
      <c r="X855" s="450"/>
      <c r="Y855" s="450"/>
      <c r="Z855" s="450"/>
    </row>
    <row r="856" spans="1:26" x14ac:dyDescent="0.25">
      <c r="A856" s="446" t="s">
        <v>6158</v>
      </c>
      <c r="B856" s="446"/>
      <c r="C856" s="446" t="s">
        <v>202</v>
      </c>
      <c r="D856" s="446" t="s">
        <v>6159</v>
      </c>
      <c r="E856" s="448" t="s">
        <v>6130</v>
      </c>
      <c r="F856" s="448">
        <v>31147</v>
      </c>
      <c r="G856" s="446" t="s">
        <v>6160</v>
      </c>
      <c r="H856" s="446" t="s">
        <v>5484</v>
      </c>
      <c r="I856" s="446" t="s">
        <v>231</v>
      </c>
      <c r="J856" s="446" t="s">
        <v>746</v>
      </c>
      <c r="K856" s="446" t="s">
        <v>6161</v>
      </c>
      <c r="L856" s="450"/>
      <c r="M856" s="450"/>
      <c r="N856" s="450"/>
      <c r="O856" s="450"/>
      <c r="P856" s="450"/>
      <c r="Q856" s="450"/>
      <c r="R856" s="450"/>
      <c r="S856" s="451"/>
      <c r="T856" s="450"/>
      <c r="U856" s="451"/>
      <c r="V856" s="450"/>
      <c r="W856" s="450"/>
      <c r="X856" s="450"/>
      <c r="Y856" s="450"/>
      <c r="Z856" s="450"/>
    </row>
    <row r="857" spans="1:26" x14ac:dyDescent="0.25">
      <c r="A857" s="446" t="s">
        <v>6162</v>
      </c>
      <c r="B857" s="446"/>
      <c r="C857" s="446" t="s">
        <v>202</v>
      </c>
      <c r="D857" s="446" t="s">
        <v>6163</v>
      </c>
      <c r="E857" s="448" t="s">
        <v>6130</v>
      </c>
      <c r="F857" s="448">
        <v>31147</v>
      </c>
      <c r="G857" s="446" t="s">
        <v>6164</v>
      </c>
      <c r="H857" s="446" t="s">
        <v>5484</v>
      </c>
      <c r="I857" s="446" t="s">
        <v>231</v>
      </c>
      <c r="J857" s="446" t="s">
        <v>746</v>
      </c>
      <c r="K857" s="446" t="s">
        <v>6165</v>
      </c>
      <c r="L857" s="450"/>
      <c r="M857" s="450"/>
      <c r="N857" s="450"/>
      <c r="O857" s="450"/>
      <c r="P857" s="450"/>
      <c r="Q857" s="450"/>
      <c r="R857" s="450"/>
      <c r="S857" s="451"/>
      <c r="T857" s="450"/>
      <c r="U857" s="451"/>
      <c r="V857" s="450"/>
      <c r="W857" s="450"/>
      <c r="X857" s="450"/>
      <c r="Y857" s="450"/>
      <c r="Z857" s="450"/>
    </row>
    <row r="858" spans="1:26" x14ac:dyDescent="0.25">
      <c r="A858" s="446" t="s">
        <v>898</v>
      </c>
      <c r="B858" s="446"/>
      <c r="C858" s="446" t="s">
        <v>408</v>
      </c>
      <c r="D858" s="446" t="s">
        <v>6166</v>
      </c>
      <c r="E858" s="448" t="s">
        <v>6167</v>
      </c>
      <c r="F858" s="448">
        <v>31158</v>
      </c>
      <c r="G858" s="446" t="s">
        <v>795</v>
      </c>
      <c r="H858" s="446" t="s">
        <v>901</v>
      </c>
      <c r="I858" s="446" t="s">
        <v>4632</v>
      </c>
      <c r="J858" s="446" t="s">
        <v>4604</v>
      </c>
      <c r="K858" s="446" t="s">
        <v>6168</v>
      </c>
      <c r="L858" s="450"/>
      <c r="M858" s="450"/>
      <c r="N858" s="450"/>
      <c r="O858" s="450"/>
      <c r="P858" s="450"/>
      <c r="Q858" s="450"/>
      <c r="R858" s="450"/>
      <c r="S858" s="451"/>
      <c r="T858" s="450"/>
      <c r="U858" s="451"/>
      <c r="V858" s="450"/>
      <c r="W858" s="450"/>
      <c r="X858" s="450"/>
      <c r="Y858" s="450"/>
      <c r="Z858" s="450"/>
    </row>
    <row r="859" spans="1:26" x14ac:dyDescent="0.25">
      <c r="A859" s="446" t="s">
        <v>6169</v>
      </c>
      <c r="B859" s="446"/>
      <c r="C859" s="446" t="s">
        <v>202</v>
      </c>
      <c r="D859" s="446" t="s">
        <v>6170</v>
      </c>
      <c r="E859" s="448" t="s">
        <v>6167</v>
      </c>
      <c r="F859" s="448">
        <v>31158</v>
      </c>
      <c r="G859" s="446" t="s">
        <v>6058</v>
      </c>
      <c r="H859" s="446" t="s">
        <v>5484</v>
      </c>
      <c r="I859" s="446" t="s">
        <v>231</v>
      </c>
      <c r="J859" s="446" t="s">
        <v>746</v>
      </c>
      <c r="K859" s="446" t="s">
        <v>6171</v>
      </c>
      <c r="L859" s="450"/>
      <c r="M859" s="450"/>
      <c r="N859" s="450"/>
      <c r="O859" s="450"/>
      <c r="P859" s="450"/>
      <c r="Q859" s="450"/>
      <c r="R859" s="450"/>
      <c r="S859" s="451"/>
      <c r="T859" s="450"/>
      <c r="U859" s="451"/>
      <c r="V859" s="450"/>
      <c r="W859" s="450"/>
      <c r="X859" s="450"/>
      <c r="Y859" s="450"/>
      <c r="Z859" s="450"/>
    </row>
    <row r="860" spans="1:26" x14ac:dyDescent="0.25">
      <c r="A860" s="446" t="s">
        <v>6172</v>
      </c>
      <c r="B860" s="446"/>
      <c r="C860" s="446" t="s">
        <v>202</v>
      </c>
      <c r="D860" s="446" t="s">
        <v>6173</v>
      </c>
      <c r="E860" s="448" t="s">
        <v>6167</v>
      </c>
      <c r="F860" s="448">
        <v>31158</v>
      </c>
      <c r="G860" s="446" t="s">
        <v>353</v>
      </c>
      <c r="H860" s="446" t="s">
        <v>5484</v>
      </c>
      <c r="I860" s="446" t="s">
        <v>4632</v>
      </c>
      <c r="J860" s="446" t="s">
        <v>746</v>
      </c>
      <c r="K860" s="446" t="s">
        <v>6174</v>
      </c>
      <c r="L860" s="450"/>
      <c r="M860" s="450"/>
      <c r="N860" s="450"/>
      <c r="O860" s="450"/>
      <c r="P860" s="450"/>
      <c r="Q860" s="450"/>
      <c r="R860" s="450"/>
      <c r="S860" s="451"/>
      <c r="T860" s="450"/>
      <c r="U860" s="451"/>
      <c r="V860" s="450"/>
      <c r="W860" s="450"/>
      <c r="X860" s="450"/>
      <c r="Y860" s="450"/>
      <c r="Z860" s="450"/>
    </row>
    <row r="861" spans="1:26" x14ac:dyDescent="0.25">
      <c r="A861" s="446" t="s">
        <v>6175</v>
      </c>
      <c r="B861" s="446"/>
      <c r="C861" s="446" t="s">
        <v>202</v>
      </c>
      <c r="D861" s="446" t="s">
        <v>6176</v>
      </c>
      <c r="E861" s="448" t="s">
        <v>6177</v>
      </c>
      <c r="F861" s="448">
        <v>31166</v>
      </c>
      <c r="G861" s="446" t="s">
        <v>368</v>
      </c>
      <c r="H861" s="446" t="s">
        <v>5484</v>
      </c>
      <c r="I861" s="446" t="s">
        <v>231</v>
      </c>
      <c r="J861" s="446" t="s">
        <v>746</v>
      </c>
      <c r="K861" s="446" t="s">
        <v>6178</v>
      </c>
      <c r="L861" s="450"/>
      <c r="M861" s="450"/>
      <c r="N861" s="450"/>
      <c r="O861" s="450"/>
      <c r="P861" s="450"/>
      <c r="Q861" s="450"/>
      <c r="R861" s="450"/>
      <c r="S861" s="451"/>
      <c r="T861" s="450"/>
      <c r="U861" s="451"/>
      <c r="V861" s="450"/>
      <c r="W861" s="450"/>
      <c r="X861" s="450"/>
      <c r="Y861" s="450"/>
      <c r="Z861" s="450"/>
    </row>
    <row r="862" spans="1:26" x14ac:dyDescent="0.25">
      <c r="A862" s="446" t="s">
        <v>6179</v>
      </c>
      <c r="B862" s="446"/>
      <c r="C862" s="446" t="s">
        <v>4618</v>
      </c>
      <c r="D862" s="446" t="s">
        <v>6180</v>
      </c>
      <c r="E862" s="448" t="s">
        <v>6181</v>
      </c>
      <c r="F862" s="448">
        <v>31036</v>
      </c>
      <c r="G862" s="446" t="s">
        <v>6182</v>
      </c>
      <c r="H862" s="446" t="s">
        <v>882</v>
      </c>
      <c r="I862" s="446" t="s">
        <v>5207</v>
      </c>
      <c r="J862" s="446" t="s">
        <v>746</v>
      </c>
      <c r="K862" s="446" t="s">
        <v>6183</v>
      </c>
      <c r="L862" s="450"/>
      <c r="M862" s="450"/>
      <c r="N862" s="450"/>
      <c r="O862" s="450"/>
      <c r="P862" s="450"/>
      <c r="Q862" s="450"/>
      <c r="R862" s="450"/>
      <c r="S862" s="451"/>
      <c r="T862" s="450"/>
      <c r="U862" s="451"/>
      <c r="V862" s="450"/>
      <c r="W862" s="450"/>
      <c r="X862" s="450"/>
      <c r="Y862" s="450"/>
      <c r="Z862" s="450"/>
    </row>
    <row r="863" spans="1:26" x14ac:dyDescent="0.25">
      <c r="A863" s="446" t="s">
        <v>6184</v>
      </c>
      <c r="B863" s="446"/>
      <c r="C863" s="446" t="s">
        <v>202</v>
      </c>
      <c r="D863" s="446" t="s">
        <v>6185</v>
      </c>
      <c r="E863" s="448" t="s">
        <v>6186</v>
      </c>
      <c r="F863" s="448">
        <v>31226</v>
      </c>
      <c r="G863" s="446" t="s">
        <v>924</v>
      </c>
      <c r="H863" s="446" t="s">
        <v>5484</v>
      </c>
      <c r="I863" s="446" t="s">
        <v>231</v>
      </c>
      <c r="J863" s="446" t="s">
        <v>746</v>
      </c>
      <c r="K863" s="446" t="s">
        <v>6187</v>
      </c>
      <c r="L863" s="450"/>
      <c r="M863" s="450"/>
      <c r="N863" s="450"/>
      <c r="O863" s="450"/>
      <c r="P863" s="450"/>
      <c r="Q863" s="450"/>
      <c r="R863" s="450"/>
      <c r="S863" s="451"/>
      <c r="T863" s="450"/>
      <c r="U863" s="451"/>
      <c r="V863" s="450"/>
      <c r="W863" s="450"/>
      <c r="X863" s="450"/>
      <c r="Y863" s="450"/>
      <c r="Z863" s="450"/>
    </row>
    <row r="864" spans="1:26" x14ac:dyDescent="0.25">
      <c r="A864" s="446" t="s">
        <v>6188</v>
      </c>
      <c r="B864" s="446"/>
      <c r="C864" s="446" t="s">
        <v>4618</v>
      </c>
      <c r="D864" s="446" t="s">
        <v>6189</v>
      </c>
      <c r="E864" s="448" t="s">
        <v>6190</v>
      </c>
      <c r="F864" s="448">
        <v>31278</v>
      </c>
      <c r="G864" s="446" t="s">
        <v>6182</v>
      </c>
      <c r="H864" s="446" t="s">
        <v>882</v>
      </c>
      <c r="I864" s="446" t="s">
        <v>5207</v>
      </c>
      <c r="J864" s="446" t="s">
        <v>746</v>
      </c>
      <c r="K864" s="446" t="s">
        <v>6191</v>
      </c>
      <c r="L864" s="450"/>
      <c r="M864" s="450"/>
      <c r="N864" s="450"/>
      <c r="O864" s="450"/>
      <c r="P864" s="450"/>
      <c r="Q864" s="450"/>
      <c r="R864" s="450"/>
      <c r="S864" s="451"/>
      <c r="T864" s="450"/>
      <c r="U864" s="451"/>
      <c r="V864" s="450"/>
      <c r="W864" s="450"/>
      <c r="X864" s="450"/>
      <c r="Y864" s="450"/>
      <c r="Z864" s="450"/>
    </row>
    <row r="865" spans="1:26" x14ac:dyDescent="0.25">
      <c r="A865" s="446" t="s">
        <v>903</v>
      </c>
      <c r="B865" s="446"/>
      <c r="C865" s="446" t="s">
        <v>408</v>
      </c>
      <c r="D865" s="446" t="s">
        <v>6192</v>
      </c>
      <c r="E865" s="448" t="s">
        <v>6193</v>
      </c>
      <c r="F865" s="448">
        <v>31279</v>
      </c>
      <c r="G865" s="446" t="s">
        <v>906</v>
      </c>
      <c r="H865" s="446" t="s">
        <v>907</v>
      </c>
      <c r="I865" s="446" t="s">
        <v>231</v>
      </c>
      <c r="J865" s="446" t="s">
        <v>4604</v>
      </c>
      <c r="K865" s="446" t="s">
        <v>6194</v>
      </c>
      <c r="L865" s="450"/>
      <c r="M865" s="450"/>
      <c r="N865" s="450"/>
      <c r="O865" s="450"/>
      <c r="P865" s="450"/>
      <c r="Q865" s="450"/>
      <c r="R865" s="450"/>
      <c r="S865" s="451"/>
      <c r="T865" s="450"/>
      <c r="U865" s="451"/>
      <c r="V865" s="450"/>
      <c r="W865" s="450"/>
      <c r="X865" s="450"/>
      <c r="Y865" s="450"/>
      <c r="Z865" s="450"/>
    </row>
    <row r="866" spans="1:26" x14ac:dyDescent="0.25">
      <c r="A866" s="446" t="s">
        <v>909</v>
      </c>
      <c r="B866" s="446"/>
      <c r="C866" s="446" t="s">
        <v>408</v>
      </c>
      <c r="D866" s="446" t="s">
        <v>6195</v>
      </c>
      <c r="E866" s="448" t="s">
        <v>6196</v>
      </c>
      <c r="F866" s="448">
        <v>31308</v>
      </c>
      <c r="G866" s="446" t="s">
        <v>739</v>
      </c>
      <c r="H866" s="446" t="s">
        <v>368</v>
      </c>
      <c r="I866" s="446" t="s">
        <v>4632</v>
      </c>
      <c r="J866" s="446" t="s">
        <v>4604</v>
      </c>
      <c r="K866" s="446" t="s">
        <v>6197</v>
      </c>
      <c r="L866" s="450"/>
      <c r="M866" s="450"/>
      <c r="N866" s="450"/>
      <c r="O866" s="450"/>
      <c r="P866" s="450"/>
      <c r="Q866" s="450"/>
      <c r="R866" s="450"/>
      <c r="S866" s="451"/>
      <c r="T866" s="450"/>
      <c r="U866" s="451"/>
      <c r="V866" s="450"/>
      <c r="W866" s="450"/>
      <c r="X866" s="450"/>
      <c r="Y866" s="450"/>
      <c r="Z866" s="450"/>
    </row>
    <row r="867" spans="1:26" x14ac:dyDescent="0.25">
      <c r="A867" s="446" t="s">
        <v>911</v>
      </c>
      <c r="B867" s="446"/>
      <c r="C867" s="446" t="s">
        <v>408</v>
      </c>
      <c r="D867" s="446" t="s">
        <v>6198</v>
      </c>
      <c r="E867" s="448" t="s">
        <v>6199</v>
      </c>
      <c r="F867" s="448">
        <v>31329</v>
      </c>
      <c r="G867" s="446" t="s">
        <v>6200</v>
      </c>
      <c r="H867" s="446" t="s">
        <v>4419</v>
      </c>
      <c r="I867" s="446" t="s">
        <v>4632</v>
      </c>
      <c r="J867" s="446" t="s">
        <v>4604</v>
      </c>
      <c r="K867" s="446" t="s">
        <v>6201</v>
      </c>
      <c r="L867" s="450"/>
      <c r="M867" s="450"/>
      <c r="N867" s="450"/>
      <c r="O867" s="450"/>
      <c r="P867" s="450"/>
      <c r="Q867" s="450"/>
      <c r="R867" s="450"/>
      <c r="S867" s="451"/>
      <c r="T867" s="450"/>
      <c r="U867" s="451"/>
      <c r="V867" s="450"/>
      <c r="W867" s="450"/>
      <c r="X867" s="450"/>
      <c r="Y867" s="450"/>
      <c r="Z867" s="450"/>
    </row>
    <row r="868" spans="1:26" x14ac:dyDescent="0.25">
      <c r="A868" s="446" t="s">
        <v>916</v>
      </c>
      <c r="B868" s="446"/>
      <c r="C868" s="446" t="s">
        <v>408</v>
      </c>
      <c r="D868" s="446" t="s">
        <v>6202</v>
      </c>
      <c r="E868" s="448" t="s">
        <v>6203</v>
      </c>
      <c r="F868" s="448">
        <v>31330</v>
      </c>
      <c r="G868" s="446" t="s">
        <v>710</v>
      </c>
      <c r="H868" s="446" t="s">
        <v>918</v>
      </c>
      <c r="I868" s="446" t="s">
        <v>4632</v>
      </c>
      <c r="J868" s="446" t="s">
        <v>4604</v>
      </c>
      <c r="K868" s="446" t="s">
        <v>6204</v>
      </c>
      <c r="L868" s="450"/>
      <c r="M868" s="450"/>
      <c r="N868" s="450"/>
      <c r="O868" s="450"/>
      <c r="P868" s="450"/>
      <c r="Q868" s="450"/>
      <c r="R868" s="450"/>
      <c r="S868" s="451"/>
      <c r="T868" s="450"/>
      <c r="U868" s="451"/>
      <c r="V868" s="450"/>
      <c r="W868" s="450"/>
      <c r="X868" s="450"/>
      <c r="Y868" s="450"/>
      <c r="Z868" s="450"/>
    </row>
    <row r="869" spans="1:26" x14ac:dyDescent="0.25">
      <c r="A869" s="446" t="s">
        <v>6205</v>
      </c>
      <c r="B869" s="446"/>
      <c r="C869" s="446" t="s">
        <v>202</v>
      </c>
      <c r="D869" s="446" t="s">
        <v>6206</v>
      </c>
      <c r="E869" s="448" t="s">
        <v>6207</v>
      </c>
      <c r="F869" s="448">
        <v>31347</v>
      </c>
      <c r="G869" s="446" t="s">
        <v>775</v>
      </c>
      <c r="H869" s="446" t="s">
        <v>5484</v>
      </c>
      <c r="I869" s="446" t="s">
        <v>231</v>
      </c>
      <c r="J869" s="446" t="s">
        <v>746</v>
      </c>
      <c r="K869" s="446" t="s">
        <v>6208</v>
      </c>
      <c r="L869" s="450"/>
      <c r="M869" s="450"/>
      <c r="N869" s="450"/>
      <c r="O869" s="450"/>
      <c r="P869" s="450"/>
      <c r="Q869" s="450"/>
      <c r="R869" s="450"/>
      <c r="S869" s="451"/>
      <c r="T869" s="450"/>
      <c r="U869" s="451"/>
      <c r="V869" s="450"/>
      <c r="W869" s="450"/>
      <c r="X869" s="450"/>
      <c r="Y869" s="450"/>
      <c r="Z869" s="450"/>
    </row>
    <row r="870" spans="1:26" x14ac:dyDescent="0.25">
      <c r="A870" s="446" t="s">
        <v>922</v>
      </c>
      <c r="B870" s="446"/>
      <c r="C870" s="446" t="s">
        <v>619</v>
      </c>
      <c r="D870" s="446" t="s">
        <v>6209</v>
      </c>
      <c r="E870" s="448" t="s">
        <v>6210</v>
      </c>
      <c r="F870" s="448">
        <v>31408</v>
      </c>
      <c r="G870" s="446" t="s">
        <v>353</v>
      </c>
      <c r="H870" s="446" t="s">
        <v>924</v>
      </c>
      <c r="I870" s="446" t="s">
        <v>4632</v>
      </c>
      <c r="J870" s="446" t="s">
        <v>404</v>
      </c>
      <c r="K870" s="446" t="s">
        <v>6211</v>
      </c>
      <c r="L870" s="450"/>
      <c r="M870" s="450"/>
      <c r="N870" s="450"/>
      <c r="O870" s="450"/>
      <c r="P870" s="450"/>
      <c r="Q870" s="450"/>
      <c r="R870" s="450"/>
      <c r="S870" s="451"/>
      <c r="T870" s="450"/>
      <c r="U870" s="451"/>
      <c r="V870" s="450"/>
      <c r="W870" s="450"/>
      <c r="X870" s="450"/>
      <c r="Y870" s="450"/>
      <c r="Z870" s="450"/>
    </row>
    <row r="871" spans="1:26" x14ac:dyDescent="0.25">
      <c r="A871" s="446" t="s">
        <v>919</v>
      </c>
      <c r="B871" s="446"/>
      <c r="C871" s="446" t="s">
        <v>619</v>
      </c>
      <c r="D871" s="446" t="s">
        <v>6212</v>
      </c>
      <c r="E871" s="448" t="s">
        <v>6210</v>
      </c>
      <c r="F871" s="448">
        <v>31408</v>
      </c>
      <c r="G871" s="446" t="s">
        <v>353</v>
      </c>
      <c r="H871" s="446" t="s">
        <v>6058</v>
      </c>
      <c r="I871" s="446" t="s">
        <v>4632</v>
      </c>
      <c r="J871" s="446" t="s">
        <v>404</v>
      </c>
      <c r="K871" s="446" t="s">
        <v>6213</v>
      </c>
      <c r="L871" s="450"/>
      <c r="M871" s="450"/>
      <c r="N871" s="450"/>
      <c r="O871" s="450"/>
      <c r="P871" s="450"/>
      <c r="Q871" s="450"/>
      <c r="R871" s="450"/>
      <c r="S871" s="451"/>
      <c r="T871" s="450"/>
      <c r="U871" s="451"/>
      <c r="V871" s="450"/>
      <c r="W871" s="450"/>
      <c r="X871" s="450"/>
      <c r="Y871" s="450"/>
      <c r="Z871" s="450"/>
    </row>
    <row r="872" spans="1:26" x14ac:dyDescent="0.25">
      <c r="A872" s="446" t="s">
        <v>925</v>
      </c>
      <c r="B872" s="446"/>
      <c r="C872" s="446" t="s">
        <v>408</v>
      </c>
      <c r="D872" s="446" t="s">
        <v>6214</v>
      </c>
      <c r="E872" s="448" t="s">
        <v>6215</v>
      </c>
      <c r="F872" s="448">
        <v>31418</v>
      </c>
      <c r="G872" s="446" t="s">
        <v>5824</v>
      </c>
      <c r="H872" s="446" t="s">
        <v>928</v>
      </c>
      <c r="I872" s="446" t="s">
        <v>4632</v>
      </c>
      <c r="J872" s="446" t="s">
        <v>4604</v>
      </c>
      <c r="K872" s="446" t="s">
        <v>6216</v>
      </c>
      <c r="L872" s="450"/>
      <c r="M872" s="450"/>
      <c r="N872" s="450"/>
      <c r="O872" s="450"/>
      <c r="P872" s="450"/>
      <c r="Q872" s="450"/>
      <c r="R872" s="450"/>
      <c r="S872" s="451"/>
      <c r="T872" s="450"/>
      <c r="U872" s="451"/>
      <c r="V872" s="450"/>
      <c r="W872" s="450"/>
      <c r="X872" s="450"/>
      <c r="Y872" s="450"/>
      <c r="Z872" s="450"/>
    </row>
    <row r="873" spans="1:26" x14ac:dyDescent="0.25">
      <c r="A873" s="446" t="s">
        <v>930</v>
      </c>
      <c r="B873" s="446"/>
      <c r="C873" s="446" t="s">
        <v>408</v>
      </c>
      <c r="D873" s="446" t="s">
        <v>6217</v>
      </c>
      <c r="E873" s="448" t="s">
        <v>6218</v>
      </c>
      <c r="F873" s="448">
        <v>31434</v>
      </c>
      <c r="G873" s="446" t="s">
        <v>882</v>
      </c>
      <c r="H873" s="446" t="s">
        <v>932</v>
      </c>
      <c r="I873" s="446" t="s">
        <v>231</v>
      </c>
      <c r="J873" s="446" t="s">
        <v>4604</v>
      </c>
      <c r="K873" s="446" t="s">
        <v>6219</v>
      </c>
      <c r="L873" s="450"/>
      <c r="M873" s="450"/>
      <c r="N873" s="450"/>
      <c r="O873" s="450"/>
      <c r="P873" s="450"/>
      <c r="Q873" s="450"/>
      <c r="R873" s="450"/>
      <c r="S873" s="451"/>
      <c r="T873" s="450"/>
      <c r="U873" s="451"/>
      <c r="V873" s="450"/>
      <c r="W873" s="450"/>
      <c r="X873" s="450"/>
      <c r="Y873" s="450"/>
      <c r="Z873" s="450"/>
    </row>
    <row r="874" spans="1:26" x14ac:dyDescent="0.25">
      <c r="A874" s="446" t="s">
        <v>933</v>
      </c>
      <c r="B874" s="446"/>
      <c r="C874" s="446" t="s">
        <v>408</v>
      </c>
      <c r="D874" s="446" t="s">
        <v>6220</v>
      </c>
      <c r="E874" s="448" t="s">
        <v>6221</v>
      </c>
      <c r="F874" s="448">
        <v>31582</v>
      </c>
      <c r="G874" s="446" t="s">
        <v>739</v>
      </c>
      <c r="H874" s="446" t="s">
        <v>6058</v>
      </c>
      <c r="I874" s="446" t="s">
        <v>4632</v>
      </c>
      <c r="J874" s="446" t="s">
        <v>4604</v>
      </c>
      <c r="K874" s="446" t="s">
        <v>6222</v>
      </c>
      <c r="L874" s="450"/>
      <c r="M874" s="450"/>
      <c r="N874" s="450"/>
      <c r="O874" s="450"/>
      <c r="P874" s="450"/>
      <c r="Q874" s="450"/>
      <c r="R874" s="450"/>
      <c r="S874" s="451"/>
      <c r="T874" s="450"/>
      <c r="U874" s="451"/>
      <c r="V874" s="450"/>
      <c r="W874" s="450"/>
      <c r="X874" s="450"/>
      <c r="Y874" s="450"/>
      <c r="Z874" s="450"/>
    </row>
    <row r="875" spans="1:26" x14ac:dyDescent="0.25">
      <c r="A875" s="446" t="s">
        <v>6223</v>
      </c>
      <c r="B875" s="446"/>
      <c r="C875" s="446" t="s">
        <v>4618</v>
      </c>
      <c r="D875" s="446" t="s">
        <v>6224</v>
      </c>
      <c r="E875" s="448" t="s">
        <v>6225</v>
      </c>
      <c r="F875" s="448">
        <v>31637</v>
      </c>
      <c r="G875" s="446" t="s">
        <v>6226</v>
      </c>
      <c r="H875" s="446" t="s">
        <v>6227</v>
      </c>
      <c r="I875" s="446" t="s">
        <v>4632</v>
      </c>
      <c r="J875" s="446" t="s">
        <v>746</v>
      </c>
      <c r="K875" s="446" t="s">
        <v>6228</v>
      </c>
      <c r="L875" s="450"/>
      <c r="M875" s="450"/>
      <c r="N875" s="450"/>
      <c r="O875" s="450"/>
      <c r="P875" s="450"/>
      <c r="Q875" s="450"/>
      <c r="R875" s="450"/>
      <c r="S875" s="451"/>
      <c r="T875" s="450"/>
      <c r="U875" s="451"/>
      <c r="V875" s="450"/>
      <c r="W875" s="450"/>
      <c r="X875" s="450"/>
      <c r="Y875" s="450"/>
      <c r="Z875" s="450"/>
    </row>
    <row r="876" spans="1:26" x14ac:dyDescent="0.25">
      <c r="A876" s="446" t="s">
        <v>936</v>
      </c>
      <c r="B876" s="446"/>
      <c r="C876" s="446" t="s">
        <v>408</v>
      </c>
      <c r="D876" s="446" t="s">
        <v>6229</v>
      </c>
      <c r="E876" s="448" t="s">
        <v>6230</v>
      </c>
      <c r="F876" s="448">
        <v>31657</v>
      </c>
      <c r="G876" s="446" t="s">
        <v>739</v>
      </c>
      <c r="H876" s="446" t="s">
        <v>234</v>
      </c>
      <c r="I876" s="446" t="s">
        <v>4632</v>
      </c>
      <c r="J876" s="446" t="s">
        <v>4604</v>
      </c>
      <c r="K876" s="446" t="s">
        <v>6231</v>
      </c>
      <c r="L876" s="450"/>
      <c r="M876" s="450"/>
      <c r="N876" s="450"/>
      <c r="O876" s="450"/>
      <c r="P876" s="450"/>
      <c r="Q876" s="450"/>
      <c r="R876" s="450"/>
      <c r="S876" s="451"/>
      <c r="T876" s="450"/>
      <c r="U876" s="451"/>
      <c r="V876" s="450"/>
      <c r="W876" s="450"/>
      <c r="X876" s="450"/>
      <c r="Y876" s="450"/>
      <c r="Z876" s="450"/>
    </row>
    <row r="877" spans="1:26" x14ac:dyDescent="0.25">
      <c r="A877" s="446" t="s">
        <v>938</v>
      </c>
      <c r="B877" s="446"/>
      <c r="C877" s="446" t="s">
        <v>408</v>
      </c>
      <c r="D877" s="446" t="s">
        <v>6232</v>
      </c>
      <c r="E877" s="448" t="s">
        <v>6233</v>
      </c>
      <c r="F877" s="448">
        <v>31684</v>
      </c>
      <c r="G877" s="446" t="s">
        <v>940</v>
      </c>
      <c r="H877" s="446" t="s">
        <v>941</v>
      </c>
      <c r="I877" s="446" t="s">
        <v>4632</v>
      </c>
      <c r="J877" s="446" t="s">
        <v>4604</v>
      </c>
      <c r="K877" s="446" t="s">
        <v>6234</v>
      </c>
      <c r="L877" s="450"/>
      <c r="M877" s="450"/>
      <c r="N877" s="450"/>
      <c r="O877" s="450"/>
      <c r="P877" s="450"/>
      <c r="Q877" s="450"/>
      <c r="R877" s="450"/>
      <c r="S877" s="451"/>
      <c r="T877" s="450"/>
      <c r="U877" s="451"/>
      <c r="V877" s="450"/>
      <c r="W877" s="450"/>
      <c r="X877" s="450"/>
      <c r="Y877" s="450"/>
      <c r="Z877" s="450"/>
    </row>
    <row r="878" spans="1:26" x14ac:dyDescent="0.25">
      <c r="A878" s="446" t="s">
        <v>943</v>
      </c>
      <c r="B878" s="446"/>
      <c r="C878" s="446" t="s">
        <v>408</v>
      </c>
      <c r="D878" s="446" t="s">
        <v>6235</v>
      </c>
      <c r="E878" s="448" t="s">
        <v>6236</v>
      </c>
      <c r="F878" s="448">
        <v>31723</v>
      </c>
      <c r="G878" s="446" t="s">
        <v>932</v>
      </c>
      <c r="H878" s="446" t="s">
        <v>945</v>
      </c>
      <c r="I878" s="446" t="s">
        <v>231</v>
      </c>
      <c r="J878" s="446" t="s">
        <v>4604</v>
      </c>
      <c r="K878" s="446" t="s">
        <v>6237</v>
      </c>
      <c r="L878" s="450"/>
      <c r="M878" s="450"/>
      <c r="N878" s="450"/>
      <c r="O878" s="450"/>
      <c r="P878" s="450"/>
      <c r="Q878" s="450"/>
      <c r="R878" s="450"/>
      <c r="S878" s="451"/>
      <c r="T878" s="450"/>
      <c r="U878" s="451"/>
      <c r="V878" s="450"/>
      <c r="W878" s="450"/>
      <c r="X878" s="450"/>
      <c r="Y878" s="450"/>
      <c r="Z878" s="450"/>
    </row>
    <row r="879" spans="1:26" x14ac:dyDescent="0.25">
      <c r="A879" s="446" t="s">
        <v>6238</v>
      </c>
      <c r="B879" s="446"/>
      <c r="C879" s="446" t="s">
        <v>202</v>
      </c>
      <c r="D879" s="446" t="s">
        <v>6239</v>
      </c>
      <c r="E879" s="448" t="s">
        <v>6240</v>
      </c>
      <c r="F879" s="448">
        <v>31755</v>
      </c>
      <c r="G879" s="446" t="s">
        <v>4342</v>
      </c>
      <c r="H879" s="446" t="s">
        <v>6241</v>
      </c>
      <c r="I879" s="446" t="s">
        <v>231</v>
      </c>
      <c r="J879" s="446" t="s">
        <v>746</v>
      </c>
      <c r="K879" s="446" t="s">
        <v>6242</v>
      </c>
      <c r="L879" s="450"/>
      <c r="M879" s="450"/>
      <c r="N879" s="450"/>
      <c r="O879" s="450"/>
      <c r="P879" s="450"/>
      <c r="Q879" s="450"/>
      <c r="R879" s="450"/>
      <c r="S879" s="451"/>
      <c r="T879" s="450"/>
      <c r="U879" s="451"/>
      <c r="V879" s="450"/>
      <c r="W879" s="450"/>
      <c r="X879" s="450"/>
      <c r="Y879" s="450"/>
      <c r="Z879" s="450"/>
    </row>
    <row r="880" spans="1:26" x14ac:dyDescent="0.25">
      <c r="A880" s="446" t="s">
        <v>947</v>
      </c>
      <c r="B880" s="446"/>
      <c r="C880" s="446" t="s">
        <v>756</v>
      </c>
      <c r="D880" s="446" t="s">
        <v>6243</v>
      </c>
      <c r="E880" s="448" t="s">
        <v>6244</v>
      </c>
      <c r="F880" s="448">
        <v>31803</v>
      </c>
      <c r="G880" s="446" t="s">
        <v>949</v>
      </c>
      <c r="H880" s="446" t="s">
        <v>102</v>
      </c>
      <c r="I880" s="446" t="s">
        <v>4632</v>
      </c>
      <c r="J880" s="446" t="s">
        <v>760</v>
      </c>
      <c r="K880" s="446" t="s">
        <v>6245</v>
      </c>
      <c r="L880" s="450"/>
      <c r="M880" s="450"/>
      <c r="N880" s="450"/>
      <c r="O880" s="450"/>
      <c r="P880" s="450"/>
      <c r="Q880" s="450"/>
      <c r="R880" s="450"/>
      <c r="S880" s="451"/>
      <c r="T880" s="450"/>
      <c r="U880" s="451"/>
      <c r="V880" s="450"/>
      <c r="W880" s="450"/>
      <c r="X880" s="450"/>
      <c r="Y880" s="450"/>
      <c r="Z880" s="450"/>
    </row>
    <row r="881" spans="1:26" x14ac:dyDescent="0.25">
      <c r="A881" s="446" t="s">
        <v>950</v>
      </c>
      <c r="B881" s="446"/>
      <c r="C881" s="446" t="s">
        <v>408</v>
      </c>
      <c r="D881" s="446" t="s">
        <v>6246</v>
      </c>
      <c r="E881" s="448" t="s">
        <v>6247</v>
      </c>
      <c r="F881" s="448">
        <v>31917</v>
      </c>
      <c r="G881" s="446" t="s">
        <v>739</v>
      </c>
      <c r="H881" s="446" t="s">
        <v>952</v>
      </c>
      <c r="I881" s="446" t="s">
        <v>4632</v>
      </c>
      <c r="J881" s="446" t="s">
        <v>4604</v>
      </c>
      <c r="K881" s="446" t="s">
        <v>6248</v>
      </c>
      <c r="L881" s="450"/>
      <c r="M881" s="450"/>
      <c r="N881" s="450"/>
      <c r="O881" s="450"/>
      <c r="P881" s="450"/>
      <c r="Q881" s="450"/>
      <c r="R881" s="450"/>
      <c r="S881" s="451"/>
      <c r="T881" s="450"/>
      <c r="U881" s="451"/>
      <c r="V881" s="450"/>
      <c r="W881" s="450"/>
      <c r="X881" s="450"/>
      <c r="Y881" s="450"/>
      <c r="Z881" s="450"/>
    </row>
    <row r="882" spans="1:26" x14ac:dyDescent="0.25">
      <c r="A882" s="446" t="s">
        <v>6249</v>
      </c>
      <c r="B882" s="446"/>
      <c r="C882" s="446" t="s">
        <v>1456</v>
      </c>
      <c r="D882" s="446" t="s">
        <v>6250</v>
      </c>
      <c r="E882" s="448" t="s">
        <v>6251</v>
      </c>
      <c r="F882" s="448">
        <v>31964</v>
      </c>
      <c r="G882" s="446" t="s">
        <v>901</v>
      </c>
      <c r="H882" s="446" t="s">
        <v>6252</v>
      </c>
      <c r="I882" s="446" t="s">
        <v>4632</v>
      </c>
      <c r="J882" s="446" t="s">
        <v>746</v>
      </c>
      <c r="K882" s="446" t="s">
        <v>6253</v>
      </c>
      <c r="L882" s="450"/>
      <c r="M882" s="450"/>
      <c r="N882" s="450"/>
      <c r="O882" s="450"/>
      <c r="P882" s="450"/>
      <c r="Q882" s="450"/>
      <c r="R882" s="450"/>
      <c r="S882" s="451"/>
      <c r="T882" s="450"/>
      <c r="U882" s="451"/>
      <c r="V882" s="450"/>
      <c r="W882" s="450"/>
      <c r="X882" s="450"/>
      <c r="Y882" s="450"/>
      <c r="Z882" s="450"/>
    </row>
    <row r="883" spans="1:26" x14ac:dyDescent="0.25">
      <c r="A883" s="446" t="s">
        <v>6254</v>
      </c>
      <c r="B883" s="446"/>
      <c r="C883" s="446" t="s">
        <v>202</v>
      </c>
      <c r="D883" s="446" t="s">
        <v>6255</v>
      </c>
      <c r="E883" s="448" t="s">
        <v>6256</v>
      </c>
      <c r="F883" s="448">
        <v>31971</v>
      </c>
      <c r="G883" s="446" t="s">
        <v>2838</v>
      </c>
      <c r="H883" s="446" t="s">
        <v>6257</v>
      </c>
      <c r="I883" s="446" t="s">
        <v>231</v>
      </c>
      <c r="J883" s="446" t="s">
        <v>746</v>
      </c>
      <c r="K883" s="446" t="s">
        <v>6258</v>
      </c>
      <c r="L883" s="450"/>
      <c r="M883" s="450"/>
      <c r="N883" s="450"/>
      <c r="O883" s="450"/>
      <c r="P883" s="450"/>
      <c r="Q883" s="450"/>
      <c r="R883" s="450"/>
      <c r="S883" s="451"/>
      <c r="T883" s="450"/>
      <c r="U883" s="451"/>
      <c r="V883" s="450"/>
      <c r="W883" s="450"/>
      <c r="X883" s="450"/>
      <c r="Y883" s="450"/>
      <c r="Z883" s="450"/>
    </row>
    <row r="884" spans="1:26" x14ac:dyDescent="0.25">
      <c r="A884" s="446" t="s">
        <v>6259</v>
      </c>
      <c r="B884" s="446"/>
      <c r="C884" s="446" t="s">
        <v>202</v>
      </c>
      <c r="D884" s="446" t="s">
        <v>6260</v>
      </c>
      <c r="E884" s="448" t="s">
        <v>6256</v>
      </c>
      <c r="F884" s="448">
        <v>31971</v>
      </c>
      <c r="G884" s="446" t="s">
        <v>225</v>
      </c>
      <c r="H884" s="446" t="s">
        <v>6257</v>
      </c>
      <c r="I884" s="446" t="s">
        <v>231</v>
      </c>
      <c r="J884" s="446" t="s">
        <v>746</v>
      </c>
      <c r="K884" s="446" t="s">
        <v>6261</v>
      </c>
      <c r="L884" s="450"/>
      <c r="M884" s="450"/>
      <c r="N884" s="450"/>
      <c r="O884" s="450"/>
      <c r="P884" s="450"/>
      <c r="Q884" s="450"/>
      <c r="R884" s="450"/>
      <c r="S884" s="451"/>
      <c r="T884" s="450"/>
      <c r="U884" s="451"/>
      <c r="V884" s="450"/>
      <c r="W884" s="450"/>
      <c r="X884" s="450"/>
      <c r="Y884" s="450"/>
      <c r="Z884" s="450"/>
    </row>
    <row r="885" spans="1:26" x14ac:dyDescent="0.25">
      <c r="A885" s="446" t="s">
        <v>6262</v>
      </c>
      <c r="B885" s="446"/>
      <c r="C885" s="446" t="s">
        <v>202</v>
      </c>
      <c r="D885" s="446" t="s">
        <v>6263</v>
      </c>
      <c r="E885" s="448" t="s">
        <v>6264</v>
      </c>
      <c r="F885" s="448">
        <v>32002</v>
      </c>
      <c r="G885" s="446" t="s">
        <v>775</v>
      </c>
      <c r="H885" s="446" t="s">
        <v>6265</v>
      </c>
      <c r="I885" s="446" t="s">
        <v>231</v>
      </c>
      <c r="J885" s="446" t="s">
        <v>746</v>
      </c>
      <c r="K885" s="446" t="s">
        <v>6266</v>
      </c>
      <c r="L885" s="450"/>
      <c r="M885" s="450"/>
      <c r="N885" s="450"/>
      <c r="O885" s="450"/>
      <c r="P885" s="450"/>
      <c r="Q885" s="450"/>
      <c r="R885" s="450"/>
      <c r="S885" s="451"/>
      <c r="T885" s="450"/>
      <c r="U885" s="451"/>
      <c r="V885" s="450"/>
      <c r="W885" s="450"/>
      <c r="X885" s="450"/>
      <c r="Y885" s="450"/>
      <c r="Z885" s="450"/>
    </row>
    <row r="886" spans="1:26" x14ac:dyDescent="0.25">
      <c r="A886" s="446" t="s">
        <v>6267</v>
      </c>
      <c r="B886" s="446"/>
      <c r="C886" s="446" t="s">
        <v>1456</v>
      </c>
      <c r="D886" s="446" t="s">
        <v>6268</v>
      </c>
      <c r="E886" s="448" t="s">
        <v>6269</v>
      </c>
      <c r="F886" s="448">
        <v>32009</v>
      </c>
      <c r="G886" s="446" t="s">
        <v>6257</v>
      </c>
      <c r="H886" s="446" t="s">
        <v>6270</v>
      </c>
      <c r="I886" s="446" t="s">
        <v>231</v>
      </c>
      <c r="J886" s="446" t="s">
        <v>746</v>
      </c>
      <c r="K886" s="446" t="s">
        <v>6271</v>
      </c>
      <c r="L886" s="450"/>
      <c r="M886" s="450"/>
      <c r="N886" s="450"/>
      <c r="O886" s="450"/>
      <c r="P886" s="450"/>
      <c r="Q886" s="450"/>
      <c r="R886" s="450"/>
      <c r="S886" s="451"/>
      <c r="T886" s="450"/>
      <c r="U886" s="451"/>
      <c r="V886" s="450"/>
      <c r="W886" s="450"/>
      <c r="X886" s="450"/>
      <c r="Y886" s="450"/>
      <c r="Z886" s="450"/>
    </row>
    <row r="887" spans="1:26" x14ac:dyDescent="0.25">
      <c r="A887" s="446" t="s">
        <v>6272</v>
      </c>
      <c r="B887" s="446"/>
      <c r="C887" s="446" t="s">
        <v>1456</v>
      </c>
      <c r="D887" s="446" t="s">
        <v>6273</v>
      </c>
      <c r="E887" s="448" t="s">
        <v>6269</v>
      </c>
      <c r="F887" s="448">
        <v>32009</v>
      </c>
      <c r="G887" s="446" t="s">
        <v>6257</v>
      </c>
      <c r="H887" s="446" t="s">
        <v>6270</v>
      </c>
      <c r="I887" s="446" t="s">
        <v>231</v>
      </c>
      <c r="J887" s="446" t="s">
        <v>746</v>
      </c>
      <c r="K887" s="446" t="s">
        <v>6274</v>
      </c>
      <c r="L887" s="450"/>
      <c r="M887" s="450"/>
      <c r="N887" s="450"/>
      <c r="O887" s="450"/>
      <c r="P887" s="450"/>
      <c r="Q887" s="450"/>
      <c r="R887" s="450"/>
      <c r="S887" s="451"/>
      <c r="T887" s="450"/>
      <c r="U887" s="451"/>
      <c r="V887" s="450"/>
      <c r="W887" s="450"/>
      <c r="X887" s="450"/>
      <c r="Y887" s="450"/>
      <c r="Z887" s="450"/>
    </row>
    <row r="888" spans="1:26" x14ac:dyDescent="0.25">
      <c r="A888" s="446" t="s">
        <v>6275</v>
      </c>
      <c r="B888" s="446"/>
      <c r="C888" s="446" t="s">
        <v>202</v>
      </c>
      <c r="D888" s="446" t="s">
        <v>6276</v>
      </c>
      <c r="E888" s="448" t="s">
        <v>6277</v>
      </c>
      <c r="F888" s="448">
        <v>32010</v>
      </c>
      <c r="G888" s="446" t="s">
        <v>225</v>
      </c>
      <c r="H888" s="446" t="s">
        <v>6265</v>
      </c>
      <c r="I888" s="446" t="s">
        <v>231</v>
      </c>
      <c r="J888" s="446" t="s">
        <v>746</v>
      </c>
      <c r="K888" s="446" t="s">
        <v>6278</v>
      </c>
      <c r="L888" s="450"/>
      <c r="M888" s="450"/>
      <c r="N888" s="450"/>
      <c r="O888" s="450"/>
      <c r="P888" s="450"/>
      <c r="Q888" s="450"/>
      <c r="R888" s="450"/>
      <c r="S888" s="451"/>
      <c r="T888" s="450"/>
      <c r="U888" s="451"/>
      <c r="V888" s="450"/>
      <c r="W888" s="450"/>
      <c r="X888" s="450"/>
      <c r="Y888" s="450"/>
      <c r="Z888" s="450"/>
    </row>
    <row r="889" spans="1:26" x14ac:dyDescent="0.25">
      <c r="A889" s="446" t="s">
        <v>953</v>
      </c>
      <c r="B889" s="446"/>
      <c r="C889" s="446" t="s">
        <v>408</v>
      </c>
      <c r="D889" s="446" t="s">
        <v>6279</v>
      </c>
      <c r="E889" s="448" t="s">
        <v>6280</v>
      </c>
      <c r="F889" s="448">
        <v>32031</v>
      </c>
      <c r="G889" s="446" t="s">
        <v>955</v>
      </c>
      <c r="H889" s="446" t="s">
        <v>956</v>
      </c>
      <c r="I889" s="446" t="s">
        <v>4632</v>
      </c>
      <c r="J889" s="446" t="s">
        <v>4604</v>
      </c>
      <c r="K889" s="446" t="s">
        <v>6281</v>
      </c>
      <c r="L889" s="450"/>
      <c r="M889" s="450"/>
      <c r="N889" s="450"/>
      <c r="O889" s="450"/>
      <c r="P889" s="450"/>
      <c r="Q889" s="450"/>
      <c r="R889" s="450"/>
      <c r="S889" s="451"/>
      <c r="T889" s="450"/>
      <c r="U889" s="451"/>
      <c r="V889" s="450"/>
      <c r="W889" s="450"/>
      <c r="X889" s="450"/>
      <c r="Y889" s="450"/>
      <c r="Z889" s="450"/>
    </row>
    <row r="890" spans="1:26" x14ac:dyDescent="0.25">
      <c r="A890" s="446" t="s">
        <v>963</v>
      </c>
      <c r="B890" s="446"/>
      <c r="C890" s="446" t="s">
        <v>461</v>
      </c>
      <c r="D890" s="446" t="s">
        <v>6282</v>
      </c>
      <c r="E890" s="448" t="s">
        <v>6283</v>
      </c>
      <c r="F890" s="448">
        <v>32072</v>
      </c>
      <c r="G890" s="446" t="s">
        <v>965</v>
      </c>
      <c r="H890" s="446" t="s">
        <v>102</v>
      </c>
      <c r="I890" s="446" t="s">
        <v>4632</v>
      </c>
      <c r="J890" s="446" t="s">
        <v>760</v>
      </c>
      <c r="K890" s="446" t="s">
        <v>6284</v>
      </c>
      <c r="L890" s="450"/>
      <c r="M890" s="450"/>
      <c r="N890" s="450"/>
      <c r="O890" s="450"/>
      <c r="P890" s="450"/>
      <c r="Q890" s="450"/>
      <c r="R890" s="450"/>
      <c r="S890" s="451"/>
      <c r="T890" s="450"/>
      <c r="U890" s="451"/>
      <c r="V890" s="450"/>
      <c r="W890" s="450"/>
      <c r="X890" s="450"/>
      <c r="Y890" s="450"/>
      <c r="Z890" s="450"/>
    </row>
    <row r="891" spans="1:26" x14ac:dyDescent="0.25">
      <c r="A891" s="446" t="s">
        <v>960</v>
      </c>
      <c r="B891" s="446"/>
      <c r="C891" s="446" t="s">
        <v>408</v>
      </c>
      <c r="D891" s="446" t="s">
        <v>6285</v>
      </c>
      <c r="E891" s="448" t="s">
        <v>6283</v>
      </c>
      <c r="F891" s="448">
        <v>32072</v>
      </c>
      <c r="G891" s="446" t="s">
        <v>357</v>
      </c>
      <c r="H891" s="446" t="s">
        <v>959</v>
      </c>
      <c r="I891" s="446" t="s">
        <v>4632</v>
      </c>
      <c r="J891" s="446" t="s">
        <v>4604</v>
      </c>
      <c r="K891" s="446" t="s">
        <v>6286</v>
      </c>
      <c r="L891" s="450"/>
      <c r="M891" s="450"/>
      <c r="N891" s="450"/>
      <c r="O891" s="450"/>
      <c r="P891" s="450"/>
      <c r="Q891" s="450"/>
      <c r="R891" s="450"/>
      <c r="S891" s="451"/>
      <c r="T891" s="450"/>
      <c r="U891" s="451"/>
      <c r="V891" s="450"/>
      <c r="W891" s="450"/>
      <c r="X891" s="450"/>
      <c r="Y891" s="450"/>
      <c r="Z891" s="450"/>
    </row>
    <row r="892" spans="1:26" x14ac:dyDescent="0.25">
      <c r="A892" s="446" t="s">
        <v>957</v>
      </c>
      <c r="B892" s="446"/>
      <c r="C892" s="446" t="s">
        <v>408</v>
      </c>
      <c r="D892" s="446" t="s">
        <v>6287</v>
      </c>
      <c r="E892" s="448" t="s">
        <v>6283</v>
      </c>
      <c r="F892" s="448">
        <v>32072</v>
      </c>
      <c r="G892" s="446" t="s">
        <v>357</v>
      </c>
      <c r="H892" s="446" t="s">
        <v>959</v>
      </c>
      <c r="I892" s="446" t="s">
        <v>4632</v>
      </c>
      <c r="J892" s="446" t="s">
        <v>4604</v>
      </c>
      <c r="K892" s="446" t="s">
        <v>6288</v>
      </c>
      <c r="L892" s="450"/>
      <c r="M892" s="450"/>
      <c r="N892" s="450"/>
      <c r="O892" s="450"/>
      <c r="P892" s="450"/>
      <c r="Q892" s="450"/>
      <c r="R892" s="450"/>
      <c r="S892" s="451"/>
      <c r="T892" s="450"/>
      <c r="U892" s="451"/>
      <c r="V892" s="450"/>
      <c r="W892" s="450"/>
      <c r="X892" s="450"/>
      <c r="Y892" s="450"/>
      <c r="Z892" s="450"/>
    </row>
    <row r="893" spans="1:26" x14ac:dyDescent="0.25">
      <c r="A893" s="446" t="s">
        <v>6289</v>
      </c>
      <c r="B893" s="446"/>
      <c r="C893" s="446" t="s">
        <v>1456</v>
      </c>
      <c r="D893" s="446" t="s">
        <v>6290</v>
      </c>
      <c r="E893" s="448" t="s">
        <v>6291</v>
      </c>
      <c r="F893" s="448">
        <v>32106</v>
      </c>
      <c r="G893" s="446" t="s">
        <v>6270</v>
      </c>
      <c r="H893" s="446" t="s">
        <v>6292</v>
      </c>
      <c r="I893" s="446" t="s">
        <v>231</v>
      </c>
      <c r="J893" s="446" t="s">
        <v>746</v>
      </c>
      <c r="K893" s="446" t="s">
        <v>6293</v>
      </c>
      <c r="L893" s="450"/>
      <c r="M893" s="450"/>
      <c r="N893" s="450"/>
      <c r="O893" s="450"/>
      <c r="P893" s="450"/>
      <c r="Q893" s="450"/>
      <c r="R893" s="450"/>
      <c r="S893" s="451"/>
      <c r="T893" s="450"/>
      <c r="U893" s="451"/>
      <c r="V893" s="450"/>
      <c r="W893" s="450"/>
      <c r="X893" s="450"/>
      <c r="Y893" s="450"/>
      <c r="Z893" s="450"/>
    </row>
    <row r="894" spans="1:26" x14ac:dyDescent="0.25">
      <c r="A894" s="446" t="s">
        <v>6294</v>
      </c>
      <c r="B894" s="446"/>
      <c r="C894" s="446" t="s">
        <v>1456</v>
      </c>
      <c r="D894" s="446" t="s">
        <v>6295</v>
      </c>
      <c r="E894" s="448" t="s">
        <v>6291</v>
      </c>
      <c r="F894" s="448">
        <v>32106</v>
      </c>
      <c r="G894" s="446" t="s">
        <v>6270</v>
      </c>
      <c r="H894" s="446" t="s">
        <v>6292</v>
      </c>
      <c r="I894" s="446" t="s">
        <v>231</v>
      </c>
      <c r="J894" s="446" t="s">
        <v>746</v>
      </c>
      <c r="K894" s="446" t="s">
        <v>6296</v>
      </c>
      <c r="L894" s="450"/>
      <c r="M894" s="450"/>
      <c r="N894" s="450"/>
      <c r="O894" s="450"/>
      <c r="P894" s="450"/>
      <c r="Q894" s="450"/>
      <c r="R894" s="450"/>
      <c r="S894" s="451"/>
      <c r="T894" s="450"/>
      <c r="U894" s="451"/>
      <c r="V894" s="450"/>
      <c r="W894" s="450"/>
      <c r="X894" s="450"/>
      <c r="Y894" s="450"/>
      <c r="Z894" s="450"/>
    </row>
    <row r="895" spans="1:26" x14ac:dyDescent="0.25">
      <c r="A895" s="446" t="s">
        <v>6297</v>
      </c>
      <c r="B895" s="446"/>
      <c r="C895" s="446" t="s">
        <v>1456</v>
      </c>
      <c r="D895" s="446" t="s">
        <v>6298</v>
      </c>
      <c r="E895" s="448" t="s">
        <v>6291</v>
      </c>
      <c r="F895" s="448">
        <v>32106</v>
      </c>
      <c r="G895" s="446" t="s">
        <v>6292</v>
      </c>
      <c r="H895" s="446" t="s">
        <v>6299</v>
      </c>
      <c r="I895" s="446" t="s">
        <v>231</v>
      </c>
      <c r="J895" s="446" t="s">
        <v>746</v>
      </c>
      <c r="K895" s="446" t="s">
        <v>6300</v>
      </c>
      <c r="L895" s="450"/>
      <c r="M895" s="450"/>
      <c r="N895" s="450"/>
      <c r="O895" s="450"/>
      <c r="P895" s="450"/>
      <c r="Q895" s="450"/>
      <c r="R895" s="450"/>
      <c r="S895" s="451"/>
      <c r="T895" s="450"/>
      <c r="U895" s="451"/>
      <c r="V895" s="450"/>
      <c r="W895" s="450"/>
      <c r="X895" s="450"/>
      <c r="Y895" s="450"/>
      <c r="Z895" s="450"/>
    </row>
    <row r="896" spans="1:26" x14ac:dyDescent="0.25">
      <c r="A896" s="446" t="s">
        <v>967</v>
      </c>
      <c r="B896" s="446"/>
      <c r="C896" s="446" t="s">
        <v>408</v>
      </c>
      <c r="D896" s="446" t="s">
        <v>6301</v>
      </c>
      <c r="E896" s="448" t="s">
        <v>6302</v>
      </c>
      <c r="F896" s="448">
        <v>32118</v>
      </c>
      <c r="G896" s="446" t="s">
        <v>234</v>
      </c>
      <c r="H896" s="446" t="s">
        <v>940</v>
      </c>
      <c r="I896" s="446" t="s">
        <v>4632</v>
      </c>
      <c r="J896" s="446" t="s">
        <v>4604</v>
      </c>
      <c r="K896" s="446" t="s">
        <v>6303</v>
      </c>
      <c r="L896" s="450"/>
      <c r="M896" s="450"/>
      <c r="N896" s="450"/>
      <c r="O896" s="450"/>
      <c r="P896" s="450"/>
      <c r="Q896" s="450"/>
      <c r="R896" s="450"/>
      <c r="S896" s="451"/>
      <c r="T896" s="450"/>
      <c r="U896" s="451"/>
      <c r="V896" s="450"/>
      <c r="W896" s="450"/>
      <c r="X896" s="450"/>
      <c r="Y896" s="450"/>
      <c r="Z896" s="450"/>
    </row>
    <row r="897" spans="1:26" x14ac:dyDescent="0.25">
      <c r="A897" s="446" t="s">
        <v>6304</v>
      </c>
      <c r="B897" s="446"/>
      <c r="C897" s="446" t="s">
        <v>202</v>
      </c>
      <c r="D897" s="446" t="s">
        <v>6305</v>
      </c>
      <c r="E897" s="448" t="s">
        <v>6306</v>
      </c>
      <c r="F897" s="448">
        <v>32129</v>
      </c>
      <c r="G897" s="446" t="s">
        <v>225</v>
      </c>
      <c r="H897" s="446" t="s">
        <v>6257</v>
      </c>
      <c r="I897" s="446" t="s">
        <v>231</v>
      </c>
      <c r="J897" s="446" t="s">
        <v>746</v>
      </c>
      <c r="K897" s="446" t="s">
        <v>6307</v>
      </c>
      <c r="L897" s="450"/>
      <c r="M897" s="450"/>
      <c r="N897" s="450"/>
      <c r="O897" s="450"/>
      <c r="P897" s="450"/>
      <c r="Q897" s="450"/>
      <c r="R897" s="450"/>
      <c r="S897" s="451"/>
      <c r="T897" s="450"/>
      <c r="U897" s="451"/>
      <c r="V897" s="450"/>
      <c r="W897" s="450"/>
      <c r="X897" s="450"/>
      <c r="Y897" s="450"/>
      <c r="Z897" s="450"/>
    </row>
    <row r="898" spans="1:26" x14ac:dyDescent="0.25">
      <c r="A898" s="446" t="s">
        <v>6308</v>
      </c>
      <c r="B898" s="446"/>
      <c r="C898" s="446" t="s">
        <v>202</v>
      </c>
      <c r="D898" s="446" t="s">
        <v>6309</v>
      </c>
      <c r="E898" s="448" t="s">
        <v>6310</v>
      </c>
      <c r="F898" s="448">
        <v>32155</v>
      </c>
      <c r="G898" s="446" t="s">
        <v>5801</v>
      </c>
      <c r="H898" s="446" t="s">
        <v>6311</v>
      </c>
      <c r="I898" s="446" t="s">
        <v>231</v>
      </c>
      <c r="J898" s="446" t="s">
        <v>746</v>
      </c>
      <c r="K898" s="446" t="s">
        <v>6312</v>
      </c>
      <c r="L898" s="450"/>
      <c r="M898" s="450"/>
      <c r="N898" s="450"/>
      <c r="O898" s="450"/>
      <c r="P898" s="450"/>
      <c r="Q898" s="450"/>
      <c r="R898" s="450"/>
      <c r="S898" s="451"/>
      <c r="T898" s="450"/>
      <c r="U898" s="451"/>
      <c r="V898" s="450"/>
      <c r="W898" s="450"/>
      <c r="X898" s="450"/>
      <c r="Y898" s="450"/>
      <c r="Z898" s="450"/>
    </row>
    <row r="899" spans="1:26" x14ac:dyDescent="0.25">
      <c r="A899" s="446" t="s">
        <v>969</v>
      </c>
      <c r="B899" s="446"/>
      <c r="C899" s="446" t="s">
        <v>408</v>
      </c>
      <c r="D899" s="446" t="s">
        <v>6313</v>
      </c>
      <c r="E899" s="448" t="s">
        <v>6314</v>
      </c>
      <c r="F899" s="448">
        <v>32177</v>
      </c>
      <c r="G899" s="446" t="s">
        <v>804</v>
      </c>
      <c r="H899" s="446" t="s">
        <v>6315</v>
      </c>
      <c r="I899" s="446" t="s">
        <v>4632</v>
      </c>
      <c r="J899" s="446" t="s">
        <v>4604</v>
      </c>
      <c r="K899" s="446" t="s">
        <v>6316</v>
      </c>
      <c r="L899" s="450"/>
      <c r="M899" s="450"/>
      <c r="N899" s="450"/>
      <c r="O899" s="450"/>
      <c r="P899" s="450"/>
      <c r="Q899" s="450"/>
      <c r="R899" s="450"/>
      <c r="S899" s="451"/>
      <c r="T899" s="450"/>
      <c r="U899" s="451"/>
      <c r="V899" s="450"/>
      <c r="W899" s="450"/>
      <c r="X899" s="450"/>
      <c r="Y899" s="450"/>
      <c r="Z899" s="450"/>
    </row>
    <row r="900" spans="1:26" x14ac:dyDescent="0.25">
      <c r="A900" s="446" t="s">
        <v>6317</v>
      </c>
      <c r="B900" s="446"/>
      <c r="C900" s="446" t="s">
        <v>408</v>
      </c>
      <c r="D900" s="446" t="s">
        <v>6318</v>
      </c>
      <c r="E900" s="448" t="s">
        <v>6319</v>
      </c>
      <c r="F900" s="448">
        <v>32255</v>
      </c>
      <c r="G900" s="446" t="s">
        <v>646</v>
      </c>
      <c r="H900" s="446" t="s">
        <v>2838</v>
      </c>
      <c r="I900" s="446" t="s">
        <v>4632</v>
      </c>
      <c r="J900" s="446" t="s">
        <v>4604</v>
      </c>
      <c r="K900" s="446" t="s">
        <v>6320</v>
      </c>
      <c r="L900" s="450"/>
      <c r="M900" s="450"/>
      <c r="N900" s="450"/>
      <c r="O900" s="450"/>
      <c r="P900" s="450"/>
      <c r="Q900" s="450"/>
      <c r="R900" s="450"/>
      <c r="S900" s="451"/>
      <c r="T900" s="450"/>
      <c r="U900" s="451"/>
      <c r="V900" s="450"/>
      <c r="W900" s="450"/>
      <c r="X900" s="450"/>
      <c r="Y900" s="450"/>
      <c r="Z900" s="450"/>
    </row>
    <row r="901" spans="1:26" x14ac:dyDescent="0.25">
      <c r="A901" s="446" t="s">
        <v>972</v>
      </c>
      <c r="B901" s="446"/>
      <c r="C901" s="446" t="s">
        <v>408</v>
      </c>
      <c r="D901" s="446" t="s">
        <v>6321</v>
      </c>
      <c r="E901" s="448" t="s">
        <v>6322</v>
      </c>
      <c r="F901" s="448">
        <v>32216</v>
      </c>
      <c r="G901" s="446" t="s">
        <v>5738</v>
      </c>
      <c r="H901" s="446" t="s">
        <v>6323</v>
      </c>
      <c r="I901" s="446" t="s">
        <v>6324</v>
      </c>
      <c r="J901" s="446" t="s">
        <v>4604</v>
      </c>
      <c r="K901" s="446" t="s">
        <v>6325</v>
      </c>
      <c r="L901" s="450"/>
      <c r="M901" s="450"/>
      <c r="N901" s="450"/>
      <c r="O901" s="450"/>
      <c r="P901" s="450"/>
      <c r="Q901" s="450"/>
      <c r="R901" s="450"/>
      <c r="S901" s="451"/>
      <c r="T901" s="450"/>
      <c r="U901" s="451"/>
      <c r="V901" s="450"/>
      <c r="W901" s="450"/>
      <c r="X901" s="450"/>
      <c r="Y901" s="450"/>
      <c r="Z901" s="450"/>
    </row>
    <row r="902" spans="1:26" x14ac:dyDescent="0.25">
      <c r="A902" s="446" t="s">
        <v>6326</v>
      </c>
      <c r="B902" s="446"/>
      <c r="C902" s="446" t="s">
        <v>202</v>
      </c>
      <c r="D902" s="446" t="s">
        <v>6327</v>
      </c>
      <c r="E902" s="448" t="s">
        <v>6328</v>
      </c>
      <c r="F902" s="448">
        <v>32335</v>
      </c>
      <c r="G902" s="446" t="s">
        <v>5952</v>
      </c>
      <c r="H902" s="446" t="s">
        <v>6329</v>
      </c>
      <c r="I902" s="446" t="s">
        <v>231</v>
      </c>
      <c r="J902" s="446" t="s">
        <v>746</v>
      </c>
      <c r="K902" s="446" t="s">
        <v>6330</v>
      </c>
      <c r="L902" s="450"/>
      <c r="M902" s="450"/>
      <c r="N902" s="450"/>
      <c r="O902" s="450"/>
      <c r="P902" s="450"/>
      <c r="Q902" s="450"/>
      <c r="R902" s="450"/>
      <c r="S902" s="451"/>
      <c r="T902" s="450"/>
      <c r="U902" s="451"/>
      <c r="V902" s="450"/>
      <c r="W902" s="450"/>
      <c r="X902" s="450"/>
      <c r="Y902" s="450"/>
      <c r="Z902" s="450"/>
    </row>
    <row r="903" spans="1:26" x14ac:dyDescent="0.25">
      <c r="A903" s="446" t="s">
        <v>6331</v>
      </c>
      <c r="B903" s="446"/>
      <c r="C903" s="446" t="s">
        <v>202</v>
      </c>
      <c r="D903" s="446" t="s">
        <v>6332</v>
      </c>
      <c r="E903" s="448" t="s">
        <v>6328</v>
      </c>
      <c r="F903" s="448">
        <v>32335</v>
      </c>
      <c r="G903" s="446" t="s">
        <v>6333</v>
      </c>
      <c r="H903" s="446" t="s">
        <v>6334</v>
      </c>
      <c r="I903" s="446" t="s">
        <v>231</v>
      </c>
      <c r="J903" s="446" t="s">
        <v>746</v>
      </c>
      <c r="K903" s="446" t="s">
        <v>6335</v>
      </c>
      <c r="L903" s="450"/>
      <c r="M903" s="450"/>
      <c r="N903" s="450"/>
      <c r="O903" s="450"/>
      <c r="P903" s="450"/>
      <c r="Q903" s="450"/>
      <c r="R903" s="450"/>
      <c r="S903" s="451"/>
      <c r="T903" s="450"/>
      <c r="U903" s="451"/>
      <c r="V903" s="450"/>
      <c r="W903" s="450"/>
      <c r="X903" s="450"/>
      <c r="Y903" s="450"/>
      <c r="Z903" s="450"/>
    </row>
    <row r="904" spans="1:26" x14ac:dyDescent="0.25">
      <c r="A904" s="446" t="s">
        <v>6336</v>
      </c>
      <c r="B904" s="446"/>
      <c r="C904" s="446" t="s">
        <v>202</v>
      </c>
      <c r="D904" s="446" t="s">
        <v>6337</v>
      </c>
      <c r="E904" s="448" t="s">
        <v>6338</v>
      </c>
      <c r="F904" s="448">
        <v>32342</v>
      </c>
      <c r="G904" s="446" t="s">
        <v>6339</v>
      </c>
      <c r="H904" s="446" t="s">
        <v>6334</v>
      </c>
      <c r="I904" s="446" t="s">
        <v>231</v>
      </c>
      <c r="J904" s="446" t="s">
        <v>746</v>
      </c>
      <c r="K904" s="446" t="s">
        <v>6340</v>
      </c>
      <c r="L904" s="450"/>
      <c r="M904" s="450"/>
      <c r="N904" s="450"/>
      <c r="O904" s="450"/>
      <c r="P904" s="450"/>
      <c r="Q904" s="450"/>
      <c r="R904" s="450"/>
      <c r="S904" s="451"/>
      <c r="T904" s="450"/>
      <c r="U904" s="451"/>
      <c r="V904" s="450"/>
      <c r="W904" s="450"/>
      <c r="X904" s="450"/>
      <c r="Y904" s="450"/>
      <c r="Z904" s="450"/>
    </row>
    <row r="905" spans="1:26" x14ac:dyDescent="0.25">
      <c r="A905" s="446" t="s">
        <v>978</v>
      </c>
      <c r="B905" s="446"/>
      <c r="C905" s="446" t="s">
        <v>408</v>
      </c>
      <c r="D905" s="446" t="s">
        <v>6341</v>
      </c>
      <c r="E905" s="448" t="s">
        <v>6342</v>
      </c>
      <c r="F905" s="448">
        <v>32344</v>
      </c>
      <c r="G905" s="446" t="s">
        <v>234</v>
      </c>
      <c r="H905" s="446" t="s">
        <v>980</v>
      </c>
      <c r="I905" s="446" t="s">
        <v>4632</v>
      </c>
      <c r="J905" s="446" t="s">
        <v>4604</v>
      </c>
      <c r="K905" s="446" t="s">
        <v>6343</v>
      </c>
      <c r="L905" s="450"/>
      <c r="M905" s="450"/>
      <c r="N905" s="450"/>
      <c r="O905" s="450"/>
      <c r="P905" s="450"/>
      <c r="Q905" s="450"/>
      <c r="R905" s="450"/>
      <c r="S905" s="451"/>
      <c r="T905" s="450"/>
      <c r="U905" s="451"/>
      <c r="V905" s="450"/>
      <c r="W905" s="450"/>
      <c r="X905" s="450"/>
      <c r="Y905" s="450"/>
      <c r="Z905" s="450"/>
    </row>
    <row r="906" spans="1:26" x14ac:dyDescent="0.25">
      <c r="A906" s="446" t="s">
        <v>981</v>
      </c>
      <c r="B906" s="446"/>
      <c r="C906" s="446" t="s">
        <v>408</v>
      </c>
      <c r="D906" s="446" t="s">
        <v>6344</v>
      </c>
      <c r="E906" s="448" t="s">
        <v>6342</v>
      </c>
      <c r="F906" s="448">
        <v>32344</v>
      </c>
      <c r="G906" s="446" t="s">
        <v>234</v>
      </c>
      <c r="H906" s="446" t="s">
        <v>983</v>
      </c>
      <c r="I906" s="446" t="s">
        <v>4632</v>
      </c>
      <c r="J906" s="446" t="s">
        <v>4604</v>
      </c>
      <c r="K906" s="446" t="s">
        <v>6345</v>
      </c>
      <c r="L906" s="450"/>
      <c r="M906" s="450"/>
      <c r="N906" s="450"/>
      <c r="O906" s="450"/>
      <c r="P906" s="450"/>
      <c r="Q906" s="450"/>
      <c r="R906" s="450"/>
      <c r="S906" s="451"/>
      <c r="T906" s="450"/>
      <c r="U906" s="451"/>
      <c r="V906" s="450"/>
      <c r="W906" s="450"/>
      <c r="X906" s="450"/>
      <c r="Y906" s="450"/>
      <c r="Z906" s="450"/>
    </row>
    <row r="907" spans="1:26" x14ac:dyDescent="0.25">
      <c r="A907" s="446" t="s">
        <v>984</v>
      </c>
      <c r="B907" s="446"/>
      <c r="C907" s="446" t="s">
        <v>408</v>
      </c>
      <c r="D907" s="446" t="s">
        <v>6346</v>
      </c>
      <c r="E907" s="448" t="s">
        <v>6342</v>
      </c>
      <c r="F907" s="448">
        <v>32344</v>
      </c>
      <c r="G907" s="446" t="s">
        <v>234</v>
      </c>
      <c r="H907" s="446" t="s">
        <v>986</v>
      </c>
      <c r="I907" s="446" t="s">
        <v>4632</v>
      </c>
      <c r="J907" s="446" t="s">
        <v>4604</v>
      </c>
      <c r="K907" s="446" t="s">
        <v>6347</v>
      </c>
      <c r="L907" s="450"/>
      <c r="M907" s="450"/>
      <c r="N907" s="450"/>
      <c r="O907" s="450"/>
      <c r="P907" s="450"/>
      <c r="Q907" s="450"/>
      <c r="R907" s="450"/>
      <c r="S907" s="451"/>
      <c r="T907" s="450"/>
      <c r="U907" s="451"/>
      <c r="V907" s="450"/>
      <c r="W907" s="450"/>
      <c r="X907" s="450"/>
      <c r="Y907" s="450"/>
      <c r="Z907" s="450"/>
    </row>
    <row r="908" spans="1:26" x14ac:dyDescent="0.25">
      <c r="A908" s="446" t="s">
        <v>987</v>
      </c>
      <c r="B908" s="446"/>
      <c r="C908" s="446" t="s">
        <v>408</v>
      </c>
      <c r="D908" s="446" t="s">
        <v>6348</v>
      </c>
      <c r="E908" s="448" t="s">
        <v>6342</v>
      </c>
      <c r="F908" s="448">
        <v>32344</v>
      </c>
      <c r="G908" s="446" t="s">
        <v>234</v>
      </c>
      <c r="H908" s="446" t="s">
        <v>989</v>
      </c>
      <c r="I908" s="446" t="s">
        <v>4632</v>
      </c>
      <c r="J908" s="446" t="s">
        <v>4604</v>
      </c>
      <c r="K908" s="446" t="s">
        <v>6349</v>
      </c>
      <c r="L908" s="450"/>
      <c r="M908" s="450"/>
      <c r="N908" s="450"/>
      <c r="O908" s="450"/>
      <c r="P908" s="450"/>
      <c r="Q908" s="450"/>
      <c r="R908" s="450"/>
      <c r="S908" s="451"/>
      <c r="T908" s="450"/>
      <c r="U908" s="451"/>
      <c r="V908" s="450"/>
      <c r="W908" s="450"/>
      <c r="X908" s="450"/>
      <c r="Y908" s="450"/>
      <c r="Z908" s="450"/>
    </row>
    <row r="909" spans="1:26" x14ac:dyDescent="0.25">
      <c r="A909" s="446" t="s">
        <v>990</v>
      </c>
      <c r="B909" s="446"/>
      <c r="C909" s="446" t="s">
        <v>585</v>
      </c>
      <c r="D909" s="446" t="s">
        <v>6350</v>
      </c>
      <c r="E909" s="448" t="s">
        <v>6351</v>
      </c>
      <c r="F909" s="448">
        <v>32350</v>
      </c>
      <c r="G909" s="446" t="s">
        <v>4448</v>
      </c>
      <c r="H909" s="446" t="s">
        <v>6352</v>
      </c>
      <c r="I909" s="446" t="s">
        <v>4632</v>
      </c>
      <c r="J909" s="446" t="s">
        <v>4604</v>
      </c>
      <c r="K909" s="446" t="s">
        <v>6353</v>
      </c>
      <c r="L909" s="450"/>
      <c r="M909" s="450"/>
      <c r="N909" s="450"/>
      <c r="O909" s="450"/>
      <c r="P909" s="450"/>
      <c r="Q909" s="450"/>
      <c r="R909" s="450"/>
      <c r="S909" s="451"/>
      <c r="T909" s="450"/>
      <c r="U909" s="451"/>
      <c r="V909" s="450"/>
      <c r="W909" s="450"/>
      <c r="X909" s="450"/>
      <c r="Y909" s="450"/>
      <c r="Z909" s="450"/>
    </row>
    <row r="910" spans="1:26" x14ac:dyDescent="0.25">
      <c r="A910" s="446" t="s">
        <v>6354</v>
      </c>
      <c r="B910" s="446"/>
      <c r="C910" s="446" t="s">
        <v>4618</v>
      </c>
      <c r="D910" s="446" t="s">
        <v>6355</v>
      </c>
      <c r="E910" s="448" t="s">
        <v>6351</v>
      </c>
      <c r="F910" s="448">
        <v>32350</v>
      </c>
      <c r="G910" s="446" t="s">
        <v>6356</v>
      </c>
      <c r="H910" s="446" t="s">
        <v>6357</v>
      </c>
      <c r="I910" s="446" t="s">
        <v>4632</v>
      </c>
      <c r="J910" s="446" t="s">
        <v>746</v>
      </c>
      <c r="K910" s="446" t="s">
        <v>6358</v>
      </c>
      <c r="L910" s="450"/>
      <c r="M910" s="450"/>
      <c r="N910" s="450"/>
      <c r="O910" s="450"/>
      <c r="P910" s="450"/>
      <c r="Q910" s="450"/>
      <c r="R910" s="450"/>
      <c r="S910" s="451"/>
      <c r="T910" s="450"/>
      <c r="U910" s="451"/>
      <c r="V910" s="450"/>
      <c r="W910" s="450"/>
      <c r="X910" s="450"/>
      <c r="Y910" s="450"/>
      <c r="Z910" s="450"/>
    </row>
    <row r="911" spans="1:26" x14ac:dyDescent="0.25">
      <c r="A911" s="446" t="s">
        <v>6359</v>
      </c>
      <c r="B911" s="446"/>
      <c r="C911" s="446" t="s">
        <v>4618</v>
      </c>
      <c r="D911" s="446" t="s">
        <v>6360</v>
      </c>
      <c r="E911" s="448" t="s">
        <v>6361</v>
      </c>
      <c r="F911" s="448">
        <v>32398</v>
      </c>
      <c r="G911" s="446" t="s">
        <v>5484</v>
      </c>
      <c r="H911" s="446" t="s">
        <v>775</v>
      </c>
      <c r="I911" s="446" t="s">
        <v>4632</v>
      </c>
      <c r="J911" s="446" t="s">
        <v>746</v>
      </c>
      <c r="K911" s="446" t="s">
        <v>6362</v>
      </c>
      <c r="L911" s="450"/>
      <c r="M911" s="450"/>
      <c r="N911" s="450"/>
      <c r="O911" s="450"/>
      <c r="P911" s="450"/>
      <c r="Q911" s="450"/>
      <c r="R911" s="450"/>
      <c r="S911" s="451"/>
      <c r="T911" s="450"/>
      <c r="U911" s="451"/>
      <c r="V911" s="450"/>
      <c r="W911" s="450"/>
      <c r="X911" s="450"/>
      <c r="Y911" s="450"/>
      <c r="Z911" s="450"/>
    </row>
    <row r="912" spans="1:26" x14ac:dyDescent="0.25">
      <c r="A912" s="446" t="s">
        <v>995</v>
      </c>
      <c r="B912" s="446"/>
      <c r="C912" s="446" t="s">
        <v>408</v>
      </c>
      <c r="D912" s="446" t="s">
        <v>6363</v>
      </c>
      <c r="E912" s="448" t="s">
        <v>6364</v>
      </c>
      <c r="F912" s="448">
        <v>32405</v>
      </c>
      <c r="G912" s="446" t="s">
        <v>997</v>
      </c>
      <c r="H912" s="446" t="s">
        <v>6365</v>
      </c>
      <c r="I912" s="446" t="s">
        <v>4632</v>
      </c>
      <c r="J912" s="446" t="s">
        <v>4604</v>
      </c>
      <c r="K912" s="446" t="s">
        <v>6366</v>
      </c>
      <c r="L912" s="450"/>
      <c r="M912" s="450"/>
      <c r="N912" s="450"/>
      <c r="O912" s="450"/>
      <c r="P912" s="450"/>
      <c r="Q912" s="450"/>
      <c r="R912" s="450"/>
      <c r="S912" s="451"/>
      <c r="T912" s="450"/>
      <c r="U912" s="451"/>
      <c r="V912" s="450"/>
      <c r="W912" s="450"/>
      <c r="X912" s="450"/>
      <c r="Y912" s="450"/>
      <c r="Z912" s="450"/>
    </row>
    <row r="913" spans="1:26" x14ac:dyDescent="0.25">
      <c r="A913" s="446" t="s">
        <v>999</v>
      </c>
      <c r="B913" s="446"/>
      <c r="C913" s="446" t="s">
        <v>408</v>
      </c>
      <c r="D913" s="446" t="s">
        <v>6367</v>
      </c>
      <c r="E913" s="448" t="s">
        <v>6368</v>
      </c>
      <c r="F913" s="448">
        <v>32449</v>
      </c>
      <c r="G913" s="446" t="s">
        <v>731</v>
      </c>
      <c r="H913" s="446" t="s">
        <v>949</v>
      </c>
      <c r="I913" s="446" t="s">
        <v>4632</v>
      </c>
      <c r="J913" s="446" t="s">
        <v>4604</v>
      </c>
      <c r="K913" s="446" t="s">
        <v>6369</v>
      </c>
      <c r="L913" s="450"/>
      <c r="M913" s="450"/>
      <c r="N913" s="450"/>
      <c r="O913" s="450"/>
      <c r="P913" s="450"/>
      <c r="Q913" s="450"/>
      <c r="R913" s="450"/>
      <c r="S913" s="451"/>
      <c r="T913" s="450"/>
      <c r="U913" s="451"/>
      <c r="V913" s="450"/>
      <c r="W913" s="450"/>
      <c r="X913" s="450"/>
      <c r="Y913" s="450"/>
      <c r="Z913" s="450"/>
    </row>
    <row r="914" spans="1:26" x14ac:dyDescent="0.25">
      <c r="A914" s="446" t="s">
        <v>6370</v>
      </c>
      <c r="B914" s="446"/>
      <c r="C914" s="446" t="s">
        <v>202</v>
      </c>
      <c r="D914" s="446" t="s">
        <v>6371</v>
      </c>
      <c r="E914" s="448" t="s">
        <v>6372</v>
      </c>
      <c r="F914" s="448">
        <v>32525</v>
      </c>
      <c r="G914" s="446" t="s">
        <v>2862</v>
      </c>
      <c r="H914" s="446" t="s">
        <v>6373</v>
      </c>
      <c r="I914" s="446" t="s">
        <v>231</v>
      </c>
      <c r="J914" s="446" t="s">
        <v>746</v>
      </c>
      <c r="K914" s="446" t="s">
        <v>6374</v>
      </c>
      <c r="L914" s="450"/>
      <c r="M914" s="450"/>
      <c r="N914" s="450"/>
      <c r="O914" s="450"/>
      <c r="P914" s="450"/>
      <c r="Q914" s="450"/>
      <c r="R914" s="450"/>
      <c r="S914" s="451"/>
      <c r="T914" s="450"/>
      <c r="U914" s="451"/>
      <c r="V914" s="450"/>
      <c r="W914" s="450"/>
      <c r="X914" s="450"/>
      <c r="Y914" s="450"/>
      <c r="Z914" s="450"/>
    </row>
    <row r="915" spans="1:26" x14ac:dyDescent="0.25">
      <c r="A915" s="446" t="s">
        <v>6375</v>
      </c>
      <c r="B915" s="446"/>
      <c r="C915" s="446" t="s">
        <v>202</v>
      </c>
      <c r="D915" s="446" t="s">
        <v>6376</v>
      </c>
      <c r="E915" s="448" t="s">
        <v>6372</v>
      </c>
      <c r="F915" s="448">
        <v>32525</v>
      </c>
      <c r="G915" s="446" t="s">
        <v>1042</v>
      </c>
      <c r="H915" s="446" t="s">
        <v>6373</v>
      </c>
      <c r="I915" s="446" t="s">
        <v>231</v>
      </c>
      <c r="J915" s="446" t="s">
        <v>746</v>
      </c>
      <c r="K915" s="446" t="s">
        <v>6377</v>
      </c>
      <c r="L915" s="450"/>
      <c r="M915" s="450"/>
      <c r="N915" s="450"/>
      <c r="O915" s="450"/>
      <c r="P915" s="450"/>
      <c r="Q915" s="450"/>
      <c r="R915" s="450"/>
      <c r="S915" s="451"/>
      <c r="T915" s="450"/>
      <c r="U915" s="451"/>
      <c r="V915" s="450"/>
      <c r="W915" s="450"/>
      <c r="X915" s="450"/>
      <c r="Y915" s="450"/>
      <c r="Z915" s="450"/>
    </row>
    <row r="916" spans="1:26" x14ac:dyDescent="0.25">
      <c r="A916" s="446" t="s">
        <v>6378</v>
      </c>
      <c r="B916" s="446"/>
      <c r="C916" s="446" t="s">
        <v>202</v>
      </c>
      <c r="D916" s="446" t="s">
        <v>6379</v>
      </c>
      <c r="E916" s="448" t="s">
        <v>6372</v>
      </c>
      <c r="F916" s="448">
        <v>32525</v>
      </c>
      <c r="G916" s="446" t="s">
        <v>1042</v>
      </c>
      <c r="H916" s="446" t="s">
        <v>6373</v>
      </c>
      <c r="I916" s="446" t="s">
        <v>231</v>
      </c>
      <c r="J916" s="446" t="s">
        <v>746</v>
      </c>
      <c r="K916" s="446" t="s">
        <v>6380</v>
      </c>
      <c r="L916" s="450"/>
      <c r="M916" s="450"/>
      <c r="N916" s="450"/>
      <c r="O916" s="450"/>
      <c r="P916" s="450"/>
      <c r="Q916" s="450"/>
      <c r="R916" s="450"/>
      <c r="S916" s="451"/>
      <c r="T916" s="450"/>
      <c r="U916" s="451"/>
      <c r="V916" s="450"/>
      <c r="W916" s="450"/>
      <c r="X916" s="450"/>
      <c r="Y916" s="450"/>
      <c r="Z916" s="450"/>
    </row>
    <row r="917" spans="1:26" x14ac:dyDescent="0.25">
      <c r="A917" s="446" t="s">
        <v>6381</v>
      </c>
      <c r="B917" s="446"/>
      <c r="C917" s="446" t="s">
        <v>202</v>
      </c>
      <c r="D917" s="446" t="s">
        <v>6382</v>
      </c>
      <c r="E917" s="448" t="s">
        <v>6372</v>
      </c>
      <c r="F917" s="448">
        <v>32525</v>
      </c>
      <c r="G917" s="446" t="s">
        <v>726</v>
      </c>
      <c r="H917" s="446" t="s">
        <v>6373</v>
      </c>
      <c r="I917" s="446" t="s">
        <v>231</v>
      </c>
      <c r="J917" s="446" t="s">
        <v>746</v>
      </c>
      <c r="K917" s="446" t="s">
        <v>6383</v>
      </c>
      <c r="L917" s="450"/>
      <c r="M917" s="450"/>
      <c r="N917" s="450"/>
      <c r="O917" s="450"/>
      <c r="P917" s="450"/>
      <c r="Q917" s="450"/>
      <c r="R917" s="450"/>
      <c r="S917" s="451"/>
      <c r="T917" s="450"/>
      <c r="U917" s="451"/>
      <c r="V917" s="450"/>
      <c r="W917" s="450"/>
      <c r="X917" s="450"/>
      <c r="Y917" s="450"/>
      <c r="Z917" s="450"/>
    </row>
    <row r="918" spans="1:26" x14ac:dyDescent="0.25">
      <c r="A918" s="446" t="s">
        <v>6384</v>
      </c>
      <c r="B918" s="446"/>
      <c r="C918" s="446" t="s">
        <v>202</v>
      </c>
      <c r="D918" s="446" t="s">
        <v>6385</v>
      </c>
      <c r="E918" s="448" t="s">
        <v>6372</v>
      </c>
      <c r="F918" s="448">
        <v>32525</v>
      </c>
      <c r="G918" s="446" t="s">
        <v>2861</v>
      </c>
      <c r="H918" s="446" t="s">
        <v>6373</v>
      </c>
      <c r="I918" s="446" t="s">
        <v>231</v>
      </c>
      <c r="J918" s="446" t="s">
        <v>746</v>
      </c>
      <c r="K918" s="446" t="s">
        <v>6386</v>
      </c>
      <c r="L918" s="450"/>
      <c r="M918" s="450"/>
      <c r="N918" s="450"/>
      <c r="O918" s="450"/>
      <c r="P918" s="450"/>
      <c r="Q918" s="450"/>
      <c r="R918" s="450"/>
      <c r="S918" s="451"/>
      <c r="T918" s="450"/>
      <c r="U918" s="451"/>
      <c r="V918" s="450"/>
      <c r="W918" s="450"/>
      <c r="X918" s="450"/>
      <c r="Y918" s="450"/>
      <c r="Z918" s="450"/>
    </row>
    <row r="919" spans="1:26" x14ac:dyDescent="0.25">
      <c r="A919" s="446" t="s">
        <v>1004</v>
      </c>
      <c r="B919" s="446"/>
      <c r="C919" s="446" t="s">
        <v>756</v>
      </c>
      <c r="D919" s="446" t="s">
        <v>6387</v>
      </c>
      <c r="E919" s="448" t="s">
        <v>6388</v>
      </c>
      <c r="F919" s="448">
        <v>32531</v>
      </c>
      <c r="G919" s="446" t="s">
        <v>1006</v>
      </c>
      <c r="H919" s="446" t="s">
        <v>102</v>
      </c>
      <c r="I919" s="446" t="s">
        <v>4632</v>
      </c>
      <c r="J919" s="446" t="s">
        <v>760</v>
      </c>
      <c r="K919" s="446" t="s">
        <v>6389</v>
      </c>
      <c r="L919" s="450"/>
      <c r="M919" s="450"/>
      <c r="N919" s="450"/>
      <c r="O919" s="450"/>
      <c r="P919" s="450"/>
      <c r="Q919" s="450"/>
      <c r="R919" s="450"/>
      <c r="S919" s="451"/>
      <c r="T919" s="450"/>
      <c r="U919" s="451"/>
      <c r="V919" s="450"/>
      <c r="W919" s="450"/>
      <c r="X919" s="450"/>
      <c r="Y919" s="450"/>
      <c r="Z919" s="450"/>
    </row>
    <row r="920" spans="1:26" x14ac:dyDescent="0.25">
      <c r="A920" s="446" t="s">
        <v>6390</v>
      </c>
      <c r="B920" s="446"/>
      <c r="C920" s="446" t="s">
        <v>202</v>
      </c>
      <c r="D920" s="446" t="s">
        <v>6391</v>
      </c>
      <c r="E920" s="448" t="s">
        <v>6392</v>
      </c>
      <c r="F920" s="448">
        <v>32560</v>
      </c>
      <c r="G920" s="446" t="s">
        <v>214</v>
      </c>
      <c r="H920" s="446" t="s">
        <v>6373</v>
      </c>
      <c r="I920" s="446" t="s">
        <v>231</v>
      </c>
      <c r="J920" s="446" t="s">
        <v>746</v>
      </c>
      <c r="K920" s="446" t="s">
        <v>6393</v>
      </c>
      <c r="L920" s="450"/>
      <c r="M920" s="450"/>
      <c r="N920" s="450"/>
      <c r="O920" s="450"/>
      <c r="P920" s="450"/>
      <c r="Q920" s="450"/>
      <c r="R920" s="450"/>
      <c r="S920" s="451"/>
      <c r="T920" s="450"/>
      <c r="U920" s="451"/>
      <c r="V920" s="450"/>
      <c r="W920" s="450"/>
      <c r="X920" s="450"/>
      <c r="Y920" s="450"/>
      <c r="Z920" s="450"/>
    </row>
    <row r="921" spans="1:26" x14ac:dyDescent="0.25">
      <c r="A921" s="446" t="s">
        <v>1011</v>
      </c>
      <c r="B921" s="446"/>
      <c r="C921" s="446" t="s">
        <v>408</v>
      </c>
      <c r="D921" s="446" t="s">
        <v>6394</v>
      </c>
      <c r="E921" s="448" t="s">
        <v>6395</v>
      </c>
      <c r="F921" s="448">
        <v>32566</v>
      </c>
      <c r="G921" s="446" t="s">
        <v>1013</v>
      </c>
      <c r="H921" s="446" t="s">
        <v>1014</v>
      </c>
      <c r="I921" s="446" t="s">
        <v>4632</v>
      </c>
      <c r="J921" s="446" t="s">
        <v>4604</v>
      </c>
      <c r="K921" s="446" t="s">
        <v>6396</v>
      </c>
      <c r="L921" s="450"/>
      <c r="M921" s="450"/>
      <c r="N921" s="450"/>
      <c r="O921" s="450"/>
      <c r="P921" s="450"/>
      <c r="Q921" s="450"/>
      <c r="R921" s="450"/>
      <c r="S921" s="451"/>
      <c r="T921" s="450"/>
      <c r="U921" s="451"/>
      <c r="V921" s="450"/>
      <c r="W921" s="450"/>
      <c r="X921" s="450"/>
      <c r="Y921" s="450"/>
      <c r="Z921" s="450"/>
    </row>
    <row r="922" spans="1:26" x14ac:dyDescent="0.25">
      <c r="A922" s="446" t="s">
        <v>1017</v>
      </c>
      <c r="B922" s="446"/>
      <c r="C922" s="446" t="s">
        <v>585</v>
      </c>
      <c r="D922" s="446" t="s">
        <v>6397</v>
      </c>
      <c r="E922" s="448" t="s">
        <v>6398</v>
      </c>
      <c r="F922" s="448">
        <v>32579</v>
      </c>
      <c r="G922" s="446" t="s">
        <v>2874</v>
      </c>
      <c r="H922" s="446" t="s">
        <v>1020</v>
      </c>
      <c r="I922" s="446" t="s">
        <v>4632</v>
      </c>
      <c r="J922" s="446" t="s">
        <v>4604</v>
      </c>
      <c r="K922" s="446" t="s">
        <v>6399</v>
      </c>
      <c r="L922" s="450"/>
      <c r="M922" s="450"/>
      <c r="N922" s="450"/>
      <c r="O922" s="450"/>
      <c r="P922" s="450"/>
      <c r="Q922" s="450"/>
      <c r="R922" s="450"/>
      <c r="S922" s="451"/>
      <c r="T922" s="450"/>
      <c r="U922" s="451"/>
      <c r="V922" s="450"/>
      <c r="W922" s="450"/>
      <c r="X922" s="450"/>
      <c r="Y922" s="450"/>
      <c r="Z922" s="450"/>
    </row>
    <row r="923" spans="1:26" x14ac:dyDescent="0.25">
      <c r="A923" s="446" t="s">
        <v>6400</v>
      </c>
      <c r="B923" s="446"/>
      <c r="C923" s="446" t="s">
        <v>4618</v>
      </c>
      <c r="D923" s="446" t="s">
        <v>6401</v>
      </c>
      <c r="E923" s="448" t="s">
        <v>6402</v>
      </c>
      <c r="F923" s="448">
        <v>32590</v>
      </c>
      <c r="G923" s="446" t="s">
        <v>6403</v>
      </c>
      <c r="H923" s="446" t="s">
        <v>6404</v>
      </c>
      <c r="I923" s="446" t="s">
        <v>4632</v>
      </c>
      <c r="J923" s="446" t="s">
        <v>746</v>
      </c>
      <c r="K923" s="446" t="s">
        <v>6405</v>
      </c>
      <c r="L923" s="450"/>
      <c r="M923" s="450"/>
      <c r="N923" s="450"/>
      <c r="O923" s="450"/>
      <c r="P923" s="450"/>
      <c r="Q923" s="450"/>
      <c r="R923" s="450"/>
      <c r="S923" s="451"/>
      <c r="T923" s="450"/>
      <c r="U923" s="451"/>
      <c r="V923" s="450"/>
      <c r="W923" s="450"/>
      <c r="X923" s="450"/>
      <c r="Y923" s="450"/>
      <c r="Z923" s="450"/>
    </row>
    <row r="924" spans="1:26" x14ac:dyDescent="0.25">
      <c r="A924" s="446" t="s">
        <v>1007</v>
      </c>
      <c r="B924" s="446"/>
      <c r="C924" s="446" t="s">
        <v>461</v>
      </c>
      <c r="D924" s="446" t="s">
        <v>6406</v>
      </c>
      <c r="E924" s="448" t="s">
        <v>6407</v>
      </c>
      <c r="F924" s="448">
        <v>32531</v>
      </c>
      <c r="G924" s="446" t="s">
        <v>1009</v>
      </c>
      <c r="H924" s="446" t="s">
        <v>102</v>
      </c>
      <c r="I924" s="446" t="s">
        <v>5207</v>
      </c>
      <c r="J924" s="446" t="s">
        <v>760</v>
      </c>
      <c r="K924" s="446" t="s">
        <v>6408</v>
      </c>
      <c r="L924" s="450"/>
      <c r="M924" s="450"/>
      <c r="N924" s="450"/>
      <c r="O924" s="450"/>
      <c r="P924" s="450"/>
      <c r="Q924" s="450"/>
      <c r="R924" s="450"/>
      <c r="S924" s="451"/>
      <c r="T924" s="450"/>
      <c r="U924" s="451"/>
      <c r="V924" s="450"/>
      <c r="W924" s="450"/>
      <c r="X924" s="450"/>
      <c r="Y924" s="450"/>
      <c r="Z924" s="450"/>
    </row>
    <row r="925" spans="1:26" x14ac:dyDescent="0.25">
      <c r="A925" s="446" t="s">
        <v>1022</v>
      </c>
      <c r="B925" s="446"/>
      <c r="C925" s="446" t="s">
        <v>408</v>
      </c>
      <c r="D925" s="446" t="s">
        <v>6409</v>
      </c>
      <c r="E925" s="448" t="s">
        <v>6410</v>
      </c>
      <c r="F925" s="448">
        <v>32612</v>
      </c>
      <c r="G925" s="446" t="s">
        <v>234</v>
      </c>
      <c r="H925" s="446" t="s">
        <v>980</v>
      </c>
      <c r="I925" s="446" t="s">
        <v>4632</v>
      </c>
      <c r="J925" s="446" t="s">
        <v>4604</v>
      </c>
      <c r="K925" s="446" t="s">
        <v>6411</v>
      </c>
      <c r="L925" s="450"/>
      <c r="M925" s="450"/>
      <c r="N925" s="450"/>
      <c r="O925" s="450"/>
      <c r="P925" s="450"/>
      <c r="Q925" s="450"/>
      <c r="R925" s="450"/>
      <c r="S925" s="451"/>
      <c r="T925" s="450"/>
      <c r="U925" s="451"/>
      <c r="V925" s="450"/>
      <c r="W925" s="450"/>
      <c r="X925" s="450"/>
      <c r="Y925" s="450"/>
      <c r="Z925" s="450"/>
    </row>
    <row r="926" spans="1:26" x14ac:dyDescent="0.25">
      <c r="A926" s="446" t="s">
        <v>1024</v>
      </c>
      <c r="B926" s="446"/>
      <c r="C926" s="446" t="s">
        <v>408</v>
      </c>
      <c r="D926" s="446" t="s">
        <v>6412</v>
      </c>
      <c r="E926" s="448" t="s">
        <v>6410</v>
      </c>
      <c r="F926" s="448">
        <v>32612</v>
      </c>
      <c r="G926" s="446" t="s">
        <v>234</v>
      </c>
      <c r="H926" s="446" t="s">
        <v>986</v>
      </c>
      <c r="I926" s="446" t="s">
        <v>4632</v>
      </c>
      <c r="J926" s="446" t="s">
        <v>4604</v>
      </c>
      <c r="K926" s="446" t="s">
        <v>6413</v>
      </c>
      <c r="L926" s="450"/>
      <c r="M926" s="450"/>
      <c r="N926" s="450"/>
      <c r="O926" s="450"/>
      <c r="P926" s="450"/>
      <c r="Q926" s="450"/>
      <c r="R926" s="450"/>
      <c r="S926" s="451"/>
      <c r="T926" s="450"/>
      <c r="U926" s="451"/>
      <c r="V926" s="450"/>
      <c r="W926" s="450"/>
      <c r="X926" s="450"/>
      <c r="Y926" s="450"/>
      <c r="Z926" s="450"/>
    </row>
    <row r="927" spans="1:26" x14ac:dyDescent="0.25">
      <c r="A927" s="446" t="s">
        <v>1026</v>
      </c>
      <c r="B927" s="446"/>
      <c r="C927" s="446" t="s">
        <v>408</v>
      </c>
      <c r="D927" s="446" t="s">
        <v>6414</v>
      </c>
      <c r="E927" s="448" t="s">
        <v>6410</v>
      </c>
      <c r="F927" s="448">
        <v>32612</v>
      </c>
      <c r="G927" s="446" t="s">
        <v>234</v>
      </c>
      <c r="H927" s="446" t="s">
        <v>983</v>
      </c>
      <c r="I927" s="446" t="s">
        <v>4632</v>
      </c>
      <c r="J927" s="446" t="s">
        <v>4604</v>
      </c>
      <c r="K927" s="446" t="s">
        <v>6415</v>
      </c>
      <c r="L927" s="450"/>
      <c r="M927" s="450"/>
      <c r="N927" s="450"/>
      <c r="O927" s="450"/>
      <c r="P927" s="450"/>
      <c r="Q927" s="450"/>
      <c r="R927" s="450"/>
      <c r="S927" s="451"/>
      <c r="T927" s="450"/>
      <c r="U927" s="451"/>
      <c r="V927" s="450"/>
      <c r="W927" s="450"/>
      <c r="X927" s="450"/>
      <c r="Y927" s="450"/>
      <c r="Z927" s="450"/>
    </row>
    <row r="928" spans="1:26" x14ac:dyDescent="0.25">
      <c r="A928" s="446" t="s">
        <v>1028</v>
      </c>
      <c r="B928" s="446"/>
      <c r="C928" s="446" t="s">
        <v>408</v>
      </c>
      <c r="D928" s="446" t="s">
        <v>6416</v>
      </c>
      <c r="E928" s="448" t="s">
        <v>6410</v>
      </c>
      <c r="F928" s="448">
        <v>32612</v>
      </c>
      <c r="G928" s="446" t="s">
        <v>234</v>
      </c>
      <c r="H928" s="446" t="s">
        <v>989</v>
      </c>
      <c r="I928" s="446" t="s">
        <v>4632</v>
      </c>
      <c r="J928" s="446" t="s">
        <v>4604</v>
      </c>
      <c r="K928" s="446" t="s">
        <v>6417</v>
      </c>
      <c r="L928" s="450"/>
      <c r="M928" s="450"/>
      <c r="N928" s="450"/>
      <c r="O928" s="450"/>
      <c r="P928" s="450"/>
      <c r="Q928" s="450"/>
      <c r="R928" s="450"/>
      <c r="S928" s="451"/>
      <c r="T928" s="450"/>
      <c r="U928" s="451"/>
      <c r="V928" s="450"/>
      <c r="W928" s="450"/>
      <c r="X928" s="450"/>
      <c r="Y928" s="450"/>
      <c r="Z928" s="450"/>
    </row>
    <row r="929" spans="1:26" x14ac:dyDescent="0.25">
      <c r="A929" s="446" t="s">
        <v>6418</v>
      </c>
      <c r="B929" s="446"/>
      <c r="C929" s="446" t="s">
        <v>4618</v>
      </c>
      <c r="D929" s="446" t="s">
        <v>6419</v>
      </c>
      <c r="E929" s="448" t="s">
        <v>6420</v>
      </c>
      <c r="F929" s="448">
        <v>32622</v>
      </c>
      <c r="G929" s="446" t="s">
        <v>5484</v>
      </c>
      <c r="H929" s="446" t="s">
        <v>775</v>
      </c>
      <c r="I929" s="446" t="s">
        <v>231</v>
      </c>
      <c r="J929" s="446" t="s">
        <v>746</v>
      </c>
      <c r="K929" s="446" t="s">
        <v>6421</v>
      </c>
      <c r="L929" s="450"/>
      <c r="M929" s="450"/>
      <c r="N929" s="450"/>
      <c r="O929" s="450"/>
      <c r="P929" s="450"/>
      <c r="Q929" s="450"/>
      <c r="R929" s="450"/>
      <c r="S929" s="451"/>
      <c r="T929" s="450"/>
      <c r="U929" s="451"/>
      <c r="V929" s="450"/>
      <c r="W929" s="450"/>
      <c r="X929" s="450"/>
      <c r="Y929" s="450"/>
      <c r="Z929" s="450"/>
    </row>
    <row r="930" spans="1:26" x14ac:dyDescent="0.25">
      <c r="A930" s="446" t="s">
        <v>6422</v>
      </c>
      <c r="B930" s="446"/>
      <c r="C930" s="446" t="s">
        <v>202</v>
      </c>
      <c r="D930" s="446" t="s">
        <v>6423</v>
      </c>
      <c r="E930" s="448" t="s">
        <v>6424</v>
      </c>
      <c r="F930" s="448">
        <v>32653</v>
      </c>
      <c r="G930" s="446" t="s">
        <v>949</v>
      </c>
      <c r="H930" s="446" t="s">
        <v>6373</v>
      </c>
      <c r="I930" s="446" t="s">
        <v>231</v>
      </c>
      <c r="J930" s="446" t="s">
        <v>746</v>
      </c>
      <c r="K930" s="446" t="s">
        <v>6425</v>
      </c>
      <c r="L930" s="450"/>
      <c r="M930" s="450"/>
      <c r="N930" s="450"/>
      <c r="O930" s="450"/>
      <c r="P930" s="450"/>
      <c r="Q930" s="450"/>
      <c r="R930" s="450"/>
      <c r="S930" s="451"/>
      <c r="T930" s="450"/>
      <c r="U930" s="451"/>
      <c r="V930" s="450"/>
      <c r="W930" s="450"/>
      <c r="X930" s="450"/>
      <c r="Y930" s="450"/>
      <c r="Z930" s="450"/>
    </row>
    <row r="931" spans="1:26" x14ac:dyDescent="0.25">
      <c r="A931" s="446" t="s">
        <v>6426</v>
      </c>
      <c r="B931" s="446"/>
      <c r="C931" s="446" t="s">
        <v>1456</v>
      </c>
      <c r="D931" s="446" t="s">
        <v>6427</v>
      </c>
      <c r="E931" s="448" t="s">
        <v>6428</v>
      </c>
      <c r="F931" s="448">
        <v>32674</v>
      </c>
      <c r="G931" s="446" t="s">
        <v>792</v>
      </c>
      <c r="H931" s="446" t="s">
        <v>6429</v>
      </c>
      <c r="I931" s="446" t="s">
        <v>4632</v>
      </c>
      <c r="J931" s="446" t="s">
        <v>746</v>
      </c>
      <c r="K931" s="446" t="s">
        <v>6430</v>
      </c>
      <c r="L931" s="450"/>
      <c r="M931" s="450"/>
      <c r="N931" s="450"/>
      <c r="O931" s="450"/>
      <c r="P931" s="450"/>
      <c r="Q931" s="450"/>
      <c r="R931" s="450"/>
      <c r="S931" s="451"/>
      <c r="T931" s="450"/>
      <c r="U931" s="451"/>
      <c r="V931" s="450"/>
      <c r="W931" s="450"/>
      <c r="X931" s="450"/>
      <c r="Y931" s="450"/>
      <c r="Z931" s="450"/>
    </row>
    <row r="932" spans="1:26" x14ac:dyDescent="0.25">
      <c r="A932" s="446" t="s">
        <v>6431</v>
      </c>
      <c r="B932" s="446"/>
      <c r="C932" s="446" t="s">
        <v>202</v>
      </c>
      <c r="D932" s="446" t="s">
        <v>6432</v>
      </c>
      <c r="E932" s="448" t="s">
        <v>6433</v>
      </c>
      <c r="F932" s="448">
        <v>32678</v>
      </c>
      <c r="G932" s="446" t="s">
        <v>1013</v>
      </c>
      <c r="H932" s="446" t="s">
        <v>6434</v>
      </c>
      <c r="I932" s="446" t="s">
        <v>4632</v>
      </c>
      <c r="J932" s="446" t="s">
        <v>746</v>
      </c>
      <c r="K932" s="446" t="s">
        <v>6435</v>
      </c>
      <c r="L932" s="450"/>
      <c r="M932" s="450"/>
      <c r="N932" s="450"/>
      <c r="O932" s="450"/>
      <c r="P932" s="450"/>
      <c r="Q932" s="450"/>
      <c r="R932" s="450"/>
      <c r="S932" s="451"/>
      <c r="T932" s="450"/>
      <c r="U932" s="451"/>
      <c r="V932" s="450"/>
      <c r="W932" s="450"/>
      <c r="X932" s="450"/>
      <c r="Y932" s="450"/>
      <c r="Z932" s="450"/>
    </row>
    <row r="933" spans="1:26" x14ac:dyDescent="0.25">
      <c r="A933" s="446" t="s">
        <v>1043</v>
      </c>
      <c r="B933" s="446"/>
      <c r="C933" s="446" t="s">
        <v>619</v>
      </c>
      <c r="D933" s="446" t="s">
        <v>6436</v>
      </c>
      <c r="E933" s="448" t="s">
        <v>6437</v>
      </c>
      <c r="F933" s="448">
        <v>32706</v>
      </c>
      <c r="G933" s="446" t="s">
        <v>6438</v>
      </c>
      <c r="H933" s="446" t="s">
        <v>1045</v>
      </c>
      <c r="I933" s="446" t="s">
        <v>4632</v>
      </c>
      <c r="J933" s="446" t="s">
        <v>404</v>
      </c>
      <c r="K933" s="446" t="s">
        <v>6439</v>
      </c>
      <c r="L933" s="450"/>
      <c r="M933" s="450"/>
      <c r="N933" s="450"/>
      <c r="O933" s="450"/>
      <c r="P933" s="450"/>
      <c r="Q933" s="450"/>
      <c r="R933" s="450"/>
      <c r="S933" s="451"/>
      <c r="T933" s="450"/>
      <c r="U933" s="451"/>
      <c r="V933" s="450"/>
      <c r="W933" s="450"/>
      <c r="X933" s="450"/>
      <c r="Y933" s="450"/>
      <c r="Z933" s="450"/>
    </row>
    <row r="934" spans="1:26" x14ac:dyDescent="0.25">
      <c r="A934" s="446" t="s">
        <v>1030</v>
      </c>
      <c r="B934" s="446"/>
      <c r="C934" s="446" t="s">
        <v>408</v>
      </c>
      <c r="D934" s="446" t="s">
        <v>6440</v>
      </c>
      <c r="E934" s="448" t="s">
        <v>6437</v>
      </c>
      <c r="F934" s="448">
        <v>32706</v>
      </c>
      <c r="G934" s="446" t="s">
        <v>6441</v>
      </c>
      <c r="H934" s="446" t="s">
        <v>940</v>
      </c>
      <c r="I934" s="446" t="s">
        <v>4632</v>
      </c>
      <c r="J934" s="446" t="s">
        <v>4604</v>
      </c>
      <c r="K934" s="446" t="s">
        <v>6442</v>
      </c>
      <c r="L934" s="450"/>
      <c r="M934" s="450"/>
      <c r="N934" s="450"/>
      <c r="O934" s="450"/>
      <c r="P934" s="450"/>
      <c r="Q934" s="450"/>
      <c r="R934" s="450"/>
      <c r="S934" s="451"/>
      <c r="T934" s="450"/>
      <c r="U934" s="451"/>
      <c r="V934" s="450"/>
      <c r="W934" s="450"/>
      <c r="X934" s="450"/>
      <c r="Y934" s="450"/>
      <c r="Z934" s="450"/>
    </row>
    <row r="935" spans="1:26" x14ac:dyDescent="0.25">
      <c r="A935" s="446" t="s">
        <v>1034</v>
      </c>
      <c r="B935" s="446"/>
      <c r="C935" s="446" t="s">
        <v>408</v>
      </c>
      <c r="D935" s="446" t="s">
        <v>6443</v>
      </c>
      <c r="E935" s="448" t="s">
        <v>6437</v>
      </c>
      <c r="F935" s="448">
        <v>32706</v>
      </c>
      <c r="G935" s="446" t="s">
        <v>6438</v>
      </c>
      <c r="H935" s="446" t="s">
        <v>1036</v>
      </c>
      <c r="I935" s="446" t="s">
        <v>4632</v>
      </c>
      <c r="J935" s="446" t="s">
        <v>4604</v>
      </c>
      <c r="K935" s="446" t="s">
        <v>6444</v>
      </c>
      <c r="L935" s="450"/>
      <c r="M935" s="450"/>
      <c r="N935" s="450"/>
      <c r="O935" s="450"/>
      <c r="P935" s="450"/>
      <c r="Q935" s="450"/>
      <c r="R935" s="450"/>
      <c r="S935" s="451"/>
      <c r="T935" s="450"/>
      <c r="U935" s="451"/>
      <c r="V935" s="450"/>
      <c r="W935" s="450"/>
      <c r="X935" s="450"/>
      <c r="Y935" s="450"/>
      <c r="Z935" s="450"/>
    </row>
    <row r="936" spans="1:26" x14ac:dyDescent="0.25">
      <c r="A936" s="446" t="s">
        <v>1037</v>
      </c>
      <c r="B936" s="446"/>
      <c r="C936" s="446" t="s">
        <v>408</v>
      </c>
      <c r="D936" s="446" t="s">
        <v>6445</v>
      </c>
      <c r="E936" s="448" t="s">
        <v>6437</v>
      </c>
      <c r="F936" s="448">
        <v>32706</v>
      </c>
      <c r="G936" s="446" t="s">
        <v>6438</v>
      </c>
      <c r="H936" s="446" t="s">
        <v>1039</v>
      </c>
      <c r="I936" s="446" t="s">
        <v>4632</v>
      </c>
      <c r="J936" s="446" t="s">
        <v>4604</v>
      </c>
      <c r="K936" s="446" t="s">
        <v>6446</v>
      </c>
      <c r="L936" s="450"/>
      <c r="M936" s="450"/>
      <c r="N936" s="450"/>
      <c r="O936" s="450"/>
      <c r="P936" s="450"/>
      <c r="Q936" s="450"/>
      <c r="R936" s="450"/>
      <c r="S936" s="451"/>
      <c r="T936" s="450"/>
      <c r="U936" s="451"/>
      <c r="V936" s="450"/>
      <c r="W936" s="450"/>
      <c r="X936" s="450"/>
      <c r="Y936" s="450"/>
      <c r="Z936" s="450"/>
    </row>
    <row r="937" spans="1:26" x14ac:dyDescent="0.25">
      <c r="A937" s="446" t="s">
        <v>1040</v>
      </c>
      <c r="B937" s="446"/>
      <c r="C937" s="446" t="s">
        <v>408</v>
      </c>
      <c r="D937" s="446" t="s">
        <v>6447</v>
      </c>
      <c r="E937" s="448" t="s">
        <v>6437</v>
      </c>
      <c r="F937" s="448">
        <v>32706</v>
      </c>
      <c r="G937" s="446" t="s">
        <v>6438</v>
      </c>
      <c r="H937" s="446" t="s">
        <v>1042</v>
      </c>
      <c r="I937" s="446" t="s">
        <v>4632</v>
      </c>
      <c r="J937" s="446" t="s">
        <v>4604</v>
      </c>
      <c r="K937" s="446" t="s">
        <v>6448</v>
      </c>
      <c r="L937" s="450"/>
      <c r="M937" s="450"/>
      <c r="N937" s="450"/>
      <c r="O937" s="450"/>
      <c r="P937" s="450"/>
      <c r="Q937" s="450"/>
      <c r="R937" s="450"/>
      <c r="S937" s="451"/>
      <c r="T937" s="450"/>
      <c r="U937" s="451"/>
      <c r="V937" s="450"/>
      <c r="W937" s="450"/>
      <c r="X937" s="450"/>
      <c r="Y937" s="450"/>
      <c r="Z937" s="450"/>
    </row>
    <row r="938" spans="1:26" x14ac:dyDescent="0.25">
      <c r="A938" s="446" t="s">
        <v>1046</v>
      </c>
      <c r="B938" s="446"/>
      <c r="C938" s="446" t="s">
        <v>408</v>
      </c>
      <c r="D938" s="446" t="s">
        <v>6449</v>
      </c>
      <c r="E938" s="448" t="s">
        <v>6437</v>
      </c>
      <c r="F938" s="448">
        <v>32706</v>
      </c>
      <c r="G938" s="446" t="s">
        <v>6438</v>
      </c>
      <c r="H938" s="446" t="s">
        <v>1048</v>
      </c>
      <c r="I938" s="446" t="s">
        <v>4632</v>
      </c>
      <c r="J938" s="446" t="s">
        <v>4604</v>
      </c>
      <c r="K938" s="446" t="s">
        <v>6450</v>
      </c>
      <c r="L938" s="450"/>
      <c r="M938" s="450"/>
      <c r="N938" s="450"/>
      <c r="O938" s="450"/>
      <c r="P938" s="450"/>
      <c r="Q938" s="450"/>
      <c r="R938" s="450"/>
      <c r="S938" s="451"/>
      <c r="T938" s="450"/>
      <c r="U938" s="451"/>
      <c r="V938" s="450"/>
      <c r="W938" s="450"/>
      <c r="X938" s="450"/>
      <c r="Y938" s="450"/>
      <c r="Z938" s="450"/>
    </row>
    <row r="939" spans="1:26" x14ac:dyDescent="0.25">
      <c r="A939" s="446" t="s">
        <v>1049</v>
      </c>
      <c r="B939" s="446"/>
      <c r="C939" s="446" t="s">
        <v>408</v>
      </c>
      <c r="D939" s="446" t="s">
        <v>6451</v>
      </c>
      <c r="E939" s="448" t="s">
        <v>6437</v>
      </c>
      <c r="F939" s="448">
        <v>32706</v>
      </c>
      <c r="G939" s="446" t="s">
        <v>6438</v>
      </c>
      <c r="H939" s="446" t="s">
        <v>1051</v>
      </c>
      <c r="I939" s="446" t="s">
        <v>4632</v>
      </c>
      <c r="J939" s="446" t="s">
        <v>4604</v>
      </c>
      <c r="K939" s="446" t="s">
        <v>6452</v>
      </c>
      <c r="L939" s="450"/>
      <c r="M939" s="450"/>
      <c r="N939" s="450"/>
      <c r="O939" s="450"/>
      <c r="P939" s="450"/>
      <c r="Q939" s="450"/>
      <c r="R939" s="450"/>
      <c r="S939" s="451"/>
      <c r="T939" s="450"/>
      <c r="U939" s="451"/>
      <c r="V939" s="450"/>
      <c r="W939" s="450"/>
      <c r="X939" s="450"/>
      <c r="Y939" s="450"/>
      <c r="Z939" s="450"/>
    </row>
    <row r="940" spans="1:26" x14ac:dyDescent="0.25">
      <c r="A940" s="446" t="s">
        <v>1052</v>
      </c>
      <c r="B940" s="446"/>
      <c r="C940" s="446" t="s">
        <v>408</v>
      </c>
      <c r="D940" s="446" t="s">
        <v>6453</v>
      </c>
      <c r="E940" s="448" t="s">
        <v>6437</v>
      </c>
      <c r="F940" s="448">
        <v>32706</v>
      </c>
      <c r="G940" s="446" t="s">
        <v>6438</v>
      </c>
      <c r="H940" s="446" t="s">
        <v>1054</v>
      </c>
      <c r="I940" s="446" t="s">
        <v>4632</v>
      </c>
      <c r="J940" s="446" t="s">
        <v>4604</v>
      </c>
      <c r="K940" s="446" t="s">
        <v>6454</v>
      </c>
      <c r="L940" s="450"/>
      <c r="M940" s="450"/>
      <c r="N940" s="450"/>
      <c r="O940" s="450"/>
      <c r="P940" s="450"/>
      <c r="Q940" s="450"/>
      <c r="R940" s="450"/>
      <c r="S940" s="451"/>
      <c r="T940" s="450"/>
      <c r="U940" s="451"/>
      <c r="V940" s="450"/>
      <c r="W940" s="450"/>
      <c r="X940" s="450"/>
      <c r="Y940" s="450"/>
      <c r="Z940" s="450"/>
    </row>
    <row r="941" spans="1:26" x14ac:dyDescent="0.25">
      <c r="A941" s="446" t="s">
        <v>1055</v>
      </c>
      <c r="B941" s="446"/>
      <c r="C941" s="446" t="s">
        <v>408</v>
      </c>
      <c r="D941" s="446" t="s">
        <v>6455</v>
      </c>
      <c r="E941" s="448" t="s">
        <v>6437</v>
      </c>
      <c r="F941" s="448">
        <v>32706</v>
      </c>
      <c r="G941" s="446" t="s">
        <v>6438</v>
      </c>
      <c r="H941" s="446" t="s">
        <v>1057</v>
      </c>
      <c r="I941" s="446" t="s">
        <v>4632</v>
      </c>
      <c r="J941" s="446" t="s">
        <v>4604</v>
      </c>
      <c r="K941" s="446" t="s">
        <v>6456</v>
      </c>
      <c r="L941" s="450"/>
      <c r="M941" s="450"/>
      <c r="N941" s="450"/>
      <c r="O941" s="450"/>
      <c r="P941" s="450"/>
      <c r="Q941" s="450"/>
      <c r="R941" s="450"/>
      <c r="S941" s="451"/>
      <c r="T941" s="450"/>
      <c r="U941" s="451"/>
      <c r="V941" s="450"/>
      <c r="W941" s="450"/>
      <c r="X941" s="450"/>
      <c r="Y941" s="450"/>
      <c r="Z941" s="450"/>
    </row>
    <row r="942" spans="1:26" x14ac:dyDescent="0.25">
      <c r="A942" s="446" t="s">
        <v>6457</v>
      </c>
      <c r="B942" s="446"/>
      <c r="C942" s="446" t="s">
        <v>4618</v>
      </c>
      <c r="D942" s="446" t="s">
        <v>6458</v>
      </c>
      <c r="E942" s="448" t="s">
        <v>6459</v>
      </c>
      <c r="F942" s="448">
        <v>32709</v>
      </c>
      <c r="G942" s="446" t="s">
        <v>6460</v>
      </c>
      <c r="H942" s="446" t="s">
        <v>6461</v>
      </c>
      <c r="I942" s="446" t="s">
        <v>4632</v>
      </c>
      <c r="J942" s="446" t="s">
        <v>746</v>
      </c>
      <c r="K942" s="446" t="s">
        <v>6462</v>
      </c>
      <c r="L942" s="450"/>
      <c r="M942" s="450"/>
      <c r="N942" s="450"/>
      <c r="O942" s="450"/>
      <c r="P942" s="450"/>
      <c r="Q942" s="450"/>
      <c r="R942" s="450"/>
      <c r="S942" s="451"/>
      <c r="T942" s="450"/>
      <c r="U942" s="451"/>
      <c r="V942" s="450"/>
      <c r="W942" s="450"/>
      <c r="X942" s="450"/>
      <c r="Y942" s="450"/>
      <c r="Z942" s="450"/>
    </row>
    <row r="943" spans="1:26" x14ac:dyDescent="0.25">
      <c r="A943" s="446" t="s">
        <v>6463</v>
      </c>
      <c r="B943" s="446"/>
      <c r="C943" s="446" t="s">
        <v>1456</v>
      </c>
      <c r="D943" s="446" t="s">
        <v>6464</v>
      </c>
      <c r="E943" s="448" t="s">
        <v>6465</v>
      </c>
      <c r="F943" s="448">
        <v>32713</v>
      </c>
      <c r="G943" s="446" t="s">
        <v>6466</v>
      </c>
      <c r="H943" s="446" t="s">
        <v>6467</v>
      </c>
      <c r="I943" s="446" t="s">
        <v>4632</v>
      </c>
      <c r="J943" s="446" t="s">
        <v>746</v>
      </c>
      <c r="K943" s="446" t="s">
        <v>6468</v>
      </c>
      <c r="L943" s="450"/>
      <c r="M943" s="450"/>
      <c r="N943" s="450"/>
      <c r="O943" s="450"/>
      <c r="P943" s="450"/>
      <c r="Q943" s="450"/>
      <c r="R943" s="450"/>
      <c r="S943" s="451"/>
      <c r="T943" s="450"/>
      <c r="U943" s="451"/>
      <c r="V943" s="450"/>
      <c r="W943" s="450"/>
      <c r="X943" s="450"/>
      <c r="Y943" s="450"/>
      <c r="Z943" s="450"/>
    </row>
    <row r="944" spans="1:26" x14ac:dyDescent="0.25">
      <c r="A944" s="446" t="s">
        <v>6469</v>
      </c>
      <c r="B944" s="446"/>
      <c r="C944" s="446" t="s">
        <v>4618</v>
      </c>
      <c r="D944" s="446" t="s">
        <v>6470</v>
      </c>
      <c r="E944" s="448" t="s">
        <v>6471</v>
      </c>
      <c r="F944" s="448">
        <v>32787</v>
      </c>
      <c r="G944" s="446" t="s">
        <v>901</v>
      </c>
      <c r="H944" s="446" t="s">
        <v>6472</v>
      </c>
      <c r="I944" s="446" t="s">
        <v>4632</v>
      </c>
      <c r="J944" s="446" t="s">
        <v>746</v>
      </c>
      <c r="K944" s="446" t="s">
        <v>6473</v>
      </c>
      <c r="L944" s="450"/>
      <c r="M944" s="450"/>
      <c r="N944" s="450"/>
      <c r="O944" s="450"/>
      <c r="P944" s="450"/>
      <c r="Q944" s="450"/>
      <c r="R944" s="450"/>
      <c r="S944" s="451"/>
      <c r="T944" s="450"/>
      <c r="U944" s="451"/>
      <c r="V944" s="450"/>
      <c r="W944" s="450"/>
      <c r="X944" s="450"/>
      <c r="Y944" s="450"/>
      <c r="Z944" s="450"/>
    </row>
    <row r="945" spans="1:26" x14ac:dyDescent="0.25">
      <c r="A945" s="446" t="s">
        <v>6474</v>
      </c>
      <c r="B945" s="446"/>
      <c r="C945" s="446" t="s">
        <v>1456</v>
      </c>
      <c r="D945" s="446" t="s">
        <v>6475</v>
      </c>
      <c r="E945" s="448" t="s">
        <v>6471</v>
      </c>
      <c r="F945" s="448">
        <v>32787</v>
      </c>
      <c r="G945" s="446" t="s">
        <v>901</v>
      </c>
      <c r="H945" s="446" t="s">
        <v>6476</v>
      </c>
      <c r="I945" s="446" t="s">
        <v>4632</v>
      </c>
      <c r="J945" s="446" t="s">
        <v>746</v>
      </c>
      <c r="K945" s="446" t="s">
        <v>6477</v>
      </c>
      <c r="L945" s="450"/>
      <c r="M945" s="450"/>
      <c r="N945" s="450"/>
      <c r="O945" s="450"/>
      <c r="P945" s="450"/>
      <c r="Q945" s="450"/>
      <c r="R945" s="450"/>
      <c r="S945" s="451"/>
      <c r="T945" s="450"/>
      <c r="U945" s="451"/>
      <c r="V945" s="450"/>
      <c r="W945" s="450"/>
      <c r="X945" s="450"/>
      <c r="Y945" s="450"/>
      <c r="Z945" s="450"/>
    </row>
    <row r="946" spans="1:26" x14ac:dyDescent="0.25">
      <c r="A946" s="446" t="s">
        <v>1058</v>
      </c>
      <c r="B946" s="446"/>
      <c r="C946" s="446" t="s">
        <v>585</v>
      </c>
      <c r="D946" s="446" t="s">
        <v>6478</v>
      </c>
      <c r="E946" s="448" t="s">
        <v>6479</v>
      </c>
      <c r="F946" s="448">
        <v>32794</v>
      </c>
      <c r="G946" s="446" t="s">
        <v>6480</v>
      </c>
      <c r="H946" s="446" t="s">
        <v>6481</v>
      </c>
      <c r="I946" s="446" t="s">
        <v>4632</v>
      </c>
      <c r="J946" s="446" t="s">
        <v>4604</v>
      </c>
      <c r="K946" s="446" t="s">
        <v>6482</v>
      </c>
      <c r="L946" s="450"/>
      <c r="M946" s="450"/>
      <c r="N946" s="450"/>
      <c r="O946" s="450"/>
      <c r="P946" s="450"/>
      <c r="Q946" s="450"/>
      <c r="R946" s="450"/>
      <c r="S946" s="451"/>
      <c r="T946" s="450"/>
      <c r="U946" s="451"/>
      <c r="V946" s="450"/>
      <c r="W946" s="450"/>
      <c r="X946" s="450"/>
      <c r="Y946" s="450"/>
      <c r="Z946" s="450"/>
    </row>
    <row r="947" spans="1:26" x14ac:dyDescent="0.25">
      <c r="A947" s="446" t="s">
        <v>6483</v>
      </c>
      <c r="B947" s="446"/>
      <c r="C947" s="446" t="s">
        <v>202</v>
      </c>
      <c r="D947" s="446" t="s">
        <v>6484</v>
      </c>
      <c r="E947" s="448" t="s">
        <v>6485</v>
      </c>
      <c r="F947" s="448">
        <v>32800</v>
      </c>
      <c r="G947" s="446" t="s">
        <v>4342</v>
      </c>
      <c r="H947" s="446" t="s">
        <v>205</v>
      </c>
      <c r="I947" s="446" t="s">
        <v>231</v>
      </c>
      <c r="J947" s="446" t="s">
        <v>746</v>
      </c>
      <c r="K947" s="446" t="s">
        <v>6486</v>
      </c>
      <c r="L947" s="450"/>
      <c r="M947" s="450"/>
      <c r="N947" s="450"/>
      <c r="O947" s="450"/>
      <c r="P947" s="450"/>
      <c r="Q947" s="450"/>
      <c r="R947" s="450"/>
      <c r="S947" s="451"/>
      <c r="T947" s="450"/>
      <c r="U947" s="451"/>
      <c r="V947" s="450"/>
      <c r="W947" s="450"/>
      <c r="X947" s="450"/>
      <c r="Y947" s="450"/>
      <c r="Z947" s="450"/>
    </row>
    <row r="948" spans="1:26" x14ac:dyDescent="0.25">
      <c r="A948" s="446" t="s">
        <v>6487</v>
      </c>
      <c r="B948" s="446"/>
      <c r="C948" s="446" t="s">
        <v>1456</v>
      </c>
      <c r="D948" s="446" t="s">
        <v>6488</v>
      </c>
      <c r="E948" s="448" t="s">
        <v>6485</v>
      </c>
      <c r="F948" s="448">
        <v>32800</v>
      </c>
      <c r="G948" s="446" t="s">
        <v>205</v>
      </c>
      <c r="H948" s="446" t="s">
        <v>6489</v>
      </c>
      <c r="I948" s="446" t="s">
        <v>231</v>
      </c>
      <c r="J948" s="446" t="s">
        <v>746</v>
      </c>
      <c r="K948" s="446" t="s">
        <v>6490</v>
      </c>
      <c r="L948" s="450"/>
      <c r="M948" s="450"/>
      <c r="N948" s="450"/>
      <c r="O948" s="450"/>
      <c r="P948" s="450"/>
      <c r="Q948" s="450"/>
      <c r="R948" s="450"/>
      <c r="S948" s="451"/>
      <c r="T948" s="450"/>
      <c r="U948" s="451"/>
      <c r="V948" s="450"/>
      <c r="W948" s="450"/>
      <c r="X948" s="450"/>
      <c r="Y948" s="450"/>
      <c r="Z948" s="450"/>
    </row>
    <row r="949" spans="1:26" x14ac:dyDescent="0.25">
      <c r="A949" s="446" t="s">
        <v>1061</v>
      </c>
      <c r="B949" s="446"/>
      <c r="C949" s="446" t="s">
        <v>756</v>
      </c>
      <c r="D949" s="446" t="s">
        <v>6491</v>
      </c>
      <c r="E949" s="448" t="s">
        <v>6492</v>
      </c>
      <c r="F949" s="448">
        <v>32806</v>
      </c>
      <c r="G949" s="446" t="s">
        <v>327</v>
      </c>
      <c r="H949" s="446" t="s">
        <v>6493</v>
      </c>
      <c r="I949" s="446" t="s">
        <v>4632</v>
      </c>
      <c r="J949" s="446" t="s">
        <v>760</v>
      </c>
      <c r="K949" s="446" t="s">
        <v>6494</v>
      </c>
      <c r="L949" s="450"/>
      <c r="M949" s="450"/>
      <c r="N949" s="450"/>
      <c r="O949" s="450"/>
      <c r="P949" s="450"/>
      <c r="Q949" s="450"/>
      <c r="R949" s="450"/>
      <c r="S949" s="451"/>
      <c r="T949" s="450"/>
      <c r="U949" s="451"/>
      <c r="V949" s="450"/>
      <c r="W949" s="450"/>
      <c r="X949" s="450"/>
      <c r="Y949" s="450"/>
      <c r="Z949" s="450"/>
    </row>
    <row r="950" spans="1:26" x14ac:dyDescent="0.25">
      <c r="A950" s="446" t="s">
        <v>1064</v>
      </c>
      <c r="B950" s="446"/>
      <c r="C950" s="446" t="s">
        <v>408</v>
      </c>
      <c r="D950" s="446" t="s">
        <v>6495</v>
      </c>
      <c r="E950" s="448" t="s">
        <v>6496</v>
      </c>
      <c r="F950" s="448">
        <v>32847</v>
      </c>
      <c r="G950" s="446" t="s">
        <v>928</v>
      </c>
      <c r="H950" s="446" t="s">
        <v>1066</v>
      </c>
      <c r="I950" s="446" t="s">
        <v>4632</v>
      </c>
      <c r="J950" s="446" t="s">
        <v>4604</v>
      </c>
      <c r="K950" s="446" t="s">
        <v>6497</v>
      </c>
      <c r="L950" s="450"/>
      <c r="M950" s="450"/>
      <c r="N950" s="450"/>
      <c r="O950" s="450"/>
      <c r="P950" s="450"/>
      <c r="Q950" s="450"/>
      <c r="R950" s="450"/>
      <c r="S950" s="451"/>
      <c r="T950" s="450"/>
      <c r="U950" s="451"/>
      <c r="V950" s="450"/>
      <c r="W950" s="450"/>
      <c r="X950" s="450"/>
      <c r="Y950" s="450"/>
      <c r="Z950" s="450"/>
    </row>
    <row r="951" spans="1:26" x14ac:dyDescent="0.25">
      <c r="A951" s="446" t="s">
        <v>6498</v>
      </c>
      <c r="B951" s="446"/>
      <c r="C951" s="446" t="s">
        <v>202</v>
      </c>
      <c r="D951" s="446" t="s">
        <v>6499</v>
      </c>
      <c r="E951" s="448" t="s">
        <v>6500</v>
      </c>
      <c r="F951" s="448">
        <v>32864</v>
      </c>
      <c r="G951" s="446" t="s">
        <v>335</v>
      </c>
      <c r="H951" s="446" t="s">
        <v>6373</v>
      </c>
      <c r="I951" s="446" t="s">
        <v>231</v>
      </c>
      <c r="J951" s="446" t="s">
        <v>746</v>
      </c>
      <c r="K951" s="446" t="s">
        <v>6501</v>
      </c>
      <c r="L951" s="450"/>
      <c r="M951" s="450"/>
      <c r="N951" s="450"/>
      <c r="O951" s="450"/>
      <c r="P951" s="450"/>
      <c r="Q951" s="450"/>
      <c r="R951" s="450"/>
      <c r="S951" s="451"/>
      <c r="T951" s="450"/>
      <c r="U951" s="451"/>
      <c r="V951" s="450"/>
      <c r="W951" s="450"/>
      <c r="X951" s="450"/>
      <c r="Y951" s="450"/>
      <c r="Z951" s="450"/>
    </row>
    <row r="952" spans="1:26" x14ac:dyDescent="0.25">
      <c r="A952" s="446" t="s">
        <v>6502</v>
      </c>
      <c r="B952" s="446"/>
      <c r="C952" s="446" t="s">
        <v>202</v>
      </c>
      <c r="D952" s="446" t="s">
        <v>6503</v>
      </c>
      <c r="E952" s="448" t="s">
        <v>6500</v>
      </c>
      <c r="F952" s="448">
        <v>32864</v>
      </c>
      <c r="G952" s="446" t="s">
        <v>6504</v>
      </c>
      <c r="H952" s="446" t="s">
        <v>6373</v>
      </c>
      <c r="I952" s="446" t="s">
        <v>231</v>
      </c>
      <c r="J952" s="446" t="s">
        <v>746</v>
      </c>
      <c r="K952" s="446" t="s">
        <v>6505</v>
      </c>
      <c r="L952" s="450"/>
      <c r="M952" s="450"/>
      <c r="N952" s="450"/>
      <c r="O952" s="450"/>
      <c r="P952" s="450"/>
      <c r="Q952" s="450"/>
      <c r="R952" s="450"/>
      <c r="S952" s="451"/>
      <c r="T952" s="450"/>
      <c r="U952" s="451"/>
      <c r="V952" s="450"/>
      <c r="W952" s="450"/>
      <c r="X952" s="450"/>
      <c r="Y952" s="450"/>
      <c r="Z952" s="450"/>
    </row>
    <row r="953" spans="1:26" x14ac:dyDescent="0.25">
      <c r="A953" s="446" t="s">
        <v>1067</v>
      </c>
      <c r="B953" s="446"/>
      <c r="C953" s="446" t="s">
        <v>408</v>
      </c>
      <c r="D953" s="446" t="s">
        <v>6506</v>
      </c>
      <c r="E953" s="448" t="s">
        <v>6507</v>
      </c>
      <c r="F953" s="448">
        <v>32869</v>
      </c>
      <c r="G953" s="446" t="s">
        <v>6508</v>
      </c>
      <c r="H953" s="446" t="s">
        <v>348</v>
      </c>
      <c r="I953" s="446" t="s">
        <v>4632</v>
      </c>
      <c r="J953" s="446" t="s">
        <v>4604</v>
      </c>
      <c r="K953" s="446" t="s">
        <v>6509</v>
      </c>
      <c r="L953" s="450"/>
      <c r="M953" s="450"/>
      <c r="N953" s="450"/>
      <c r="O953" s="450"/>
      <c r="P953" s="450"/>
      <c r="Q953" s="450"/>
      <c r="R953" s="450"/>
      <c r="S953" s="451"/>
      <c r="T953" s="450"/>
      <c r="U953" s="451"/>
      <c r="V953" s="450"/>
      <c r="W953" s="450"/>
      <c r="X953" s="450"/>
      <c r="Y953" s="450"/>
      <c r="Z953" s="450"/>
    </row>
    <row r="954" spans="1:26" x14ac:dyDescent="0.25">
      <c r="A954" s="446" t="s">
        <v>1071</v>
      </c>
      <c r="B954" s="446"/>
      <c r="C954" s="446" t="s">
        <v>408</v>
      </c>
      <c r="D954" s="446" t="s">
        <v>6510</v>
      </c>
      <c r="E954" s="448" t="s">
        <v>6507</v>
      </c>
      <c r="F954" s="448">
        <v>32869</v>
      </c>
      <c r="G954" s="446" t="s">
        <v>6508</v>
      </c>
      <c r="H954" s="446" t="s">
        <v>351</v>
      </c>
      <c r="I954" s="446" t="s">
        <v>4632</v>
      </c>
      <c r="J954" s="446" t="s">
        <v>4604</v>
      </c>
      <c r="K954" s="446" t="s">
        <v>6511</v>
      </c>
      <c r="L954" s="450"/>
      <c r="M954" s="450"/>
      <c r="N954" s="450"/>
      <c r="O954" s="450"/>
      <c r="P954" s="450"/>
      <c r="Q954" s="450"/>
      <c r="R954" s="450"/>
      <c r="S954" s="451"/>
      <c r="T954" s="450"/>
      <c r="U954" s="451"/>
      <c r="V954" s="450"/>
      <c r="W954" s="450"/>
      <c r="X954" s="450"/>
      <c r="Y954" s="450"/>
      <c r="Z954" s="450"/>
    </row>
    <row r="955" spans="1:26" x14ac:dyDescent="0.25">
      <c r="A955" s="446" t="s">
        <v>6512</v>
      </c>
      <c r="B955" s="446"/>
      <c r="C955" s="446" t="s">
        <v>4618</v>
      </c>
      <c r="D955" s="446" t="s">
        <v>6513</v>
      </c>
      <c r="E955" s="448" t="s">
        <v>6514</v>
      </c>
      <c r="F955" s="448">
        <v>32897</v>
      </c>
      <c r="G955" s="446" t="s">
        <v>6515</v>
      </c>
      <c r="H955" s="446" t="s">
        <v>6516</v>
      </c>
      <c r="I955" s="446" t="s">
        <v>4632</v>
      </c>
      <c r="J955" s="446" t="s">
        <v>746</v>
      </c>
      <c r="K955" s="446" t="s">
        <v>6517</v>
      </c>
      <c r="L955" s="450"/>
      <c r="M955" s="450"/>
      <c r="N955" s="450"/>
      <c r="O955" s="450"/>
      <c r="P955" s="450"/>
      <c r="Q955" s="450"/>
      <c r="R955" s="450"/>
      <c r="S955" s="451"/>
      <c r="T955" s="450"/>
      <c r="U955" s="451"/>
      <c r="V955" s="450"/>
      <c r="W955" s="450"/>
      <c r="X955" s="450"/>
      <c r="Y955" s="450"/>
      <c r="Z955" s="450"/>
    </row>
    <row r="956" spans="1:26" x14ac:dyDescent="0.25">
      <c r="A956" s="446" t="s">
        <v>6518</v>
      </c>
      <c r="B956" s="446"/>
      <c r="C956" s="446" t="s">
        <v>1456</v>
      </c>
      <c r="D956" s="446" t="s">
        <v>6519</v>
      </c>
      <c r="E956" s="448" t="s">
        <v>6520</v>
      </c>
      <c r="F956" s="448">
        <v>32903</v>
      </c>
      <c r="G956" s="446" t="s">
        <v>6373</v>
      </c>
      <c r="H956" s="446" t="s">
        <v>6521</v>
      </c>
      <c r="I956" s="446" t="s">
        <v>4632</v>
      </c>
      <c r="J956" s="446" t="s">
        <v>746</v>
      </c>
      <c r="K956" s="446" t="s">
        <v>6522</v>
      </c>
      <c r="L956" s="450"/>
      <c r="M956" s="450"/>
      <c r="N956" s="450"/>
      <c r="O956" s="450"/>
      <c r="P956" s="450"/>
      <c r="Q956" s="450"/>
      <c r="R956" s="450"/>
      <c r="S956" s="451"/>
      <c r="T956" s="450"/>
      <c r="U956" s="451"/>
      <c r="V956" s="450"/>
      <c r="W956" s="450"/>
      <c r="X956" s="450"/>
      <c r="Y956" s="450"/>
      <c r="Z956" s="450"/>
    </row>
    <row r="957" spans="1:26" x14ac:dyDescent="0.25">
      <c r="A957" s="446" t="s">
        <v>6523</v>
      </c>
      <c r="B957" s="446"/>
      <c r="C957" s="446" t="s">
        <v>202</v>
      </c>
      <c r="D957" s="446" t="s">
        <v>6524</v>
      </c>
      <c r="E957" s="448" t="s">
        <v>6520</v>
      </c>
      <c r="F957" s="448">
        <v>32903</v>
      </c>
      <c r="G957" s="446" t="s">
        <v>1042</v>
      </c>
      <c r="H957" s="446" t="s">
        <v>6373</v>
      </c>
      <c r="I957" s="446" t="s">
        <v>4632</v>
      </c>
      <c r="J957" s="446" t="s">
        <v>746</v>
      </c>
      <c r="K957" s="446" t="s">
        <v>6525</v>
      </c>
      <c r="L957" s="450"/>
      <c r="M957" s="450"/>
      <c r="N957" s="450"/>
      <c r="O957" s="450"/>
      <c r="P957" s="450"/>
      <c r="Q957" s="450"/>
      <c r="R957" s="450"/>
      <c r="S957" s="451"/>
      <c r="T957" s="450"/>
      <c r="U957" s="451"/>
      <c r="V957" s="450"/>
      <c r="W957" s="450"/>
      <c r="X957" s="450"/>
      <c r="Y957" s="450"/>
      <c r="Z957" s="450"/>
    </row>
    <row r="958" spans="1:26" x14ac:dyDescent="0.25">
      <c r="A958" s="446" t="s">
        <v>6526</v>
      </c>
      <c r="B958" s="446"/>
      <c r="C958" s="446" t="s">
        <v>202</v>
      </c>
      <c r="D958" s="446" t="s">
        <v>6527</v>
      </c>
      <c r="E958" s="448" t="s">
        <v>6520</v>
      </c>
      <c r="F958" s="448">
        <v>32903</v>
      </c>
      <c r="G958" s="446" t="s">
        <v>6528</v>
      </c>
      <c r="H958" s="446" t="s">
        <v>6529</v>
      </c>
      <c r="I958" s="446" t="s">
        <v>231</v>
      </c>
      <c r="J958" s="446" t="s">
        <v>746</v>
      </c>
      <c r="K958" s="446" t="s">
        <v>6530</v>
      </c>
      <c r="L958" s="450"/>
      <c r="M958" s="450"/>
      <c r="N958" s="450"/>
      <c r="O958" s="450"/>
      <c r="P958" s="450"/>
      <c r="Q958" s="450"/>
      <c r="R958" s="450"/>
      <c r="S958" s="451"/>
      <c r="T958" s="450"/>
      <c r="U958" s="451"/>
      <c r="V958" s="450"/>
      <c r="W958" s="450"/>
      <c r="X958" s="450"/>
      <c r="Y958" s="450"/>
      <c r="Z958" s="450"/>
    </row>
    <row r="959" spans="1:26" x14ac:dyDescent="0.25">
      <c r="A959" s="446" t="s">
        <v>6531</v>
      </c>
      <c r="B959" s="446"/>
      <c r="C959" s="446" t="s">
        <v>202</v>
      </c>
      <c r="D959" s="446" t="s">
        <v>6532</v>
      </c>
      <c r="E959" s="448" t="s">
        <v>6520</v>
      </c>
      <c r="F959" s="448">
        <v>32903</v>
      </c>
      <c r="G959" s="446" t="s">
        <v>209</v>
      </c>
      <c r="H959" s="446" t="s">
        <v>6529</v>
      </c>
      <c r="I959" s="446" t="s">
        <v>231</v>
      </c>
      <c r="J959" s="446" t="s">
        <v>746</v>
      </c>
      <c r="K959" s="446" t="s">
        <v>6533</v>
      </c>
      <c r="L959" s="450"/>
      <c r="M959" s="450"/>
      <c r="N959" s="450"/>
      <c r="O959" s="450"/>
      <c r="P959" s="450"/>
      <c r="Q959" s="450"/>
      <c r="R959" s="450"/>
      <c r="S959" s="451"/>
      <c r="T959" s="450"/>
      <c r="U959" s="451"/>
      <c r="V959" s="450"/>
      <c r="W959" s="450"/>
      <c r="X959" s="450"/>
      <c r="Y959" s="450"/>
      <c r="Z959" s="450"/>
    </row>
    <row r="960" spans="1:26" x14ac:dyDescent="0.25">
      <c r="A960" s="446" t="s">
        <v>6534</v>
      </c>
      <c r="B960" s="446"/>
      <c r="C960" s="446" t="s">
        <v>202</v>
      </c>
      <c r="D960" s="446" t="s">
        <v>6535</v>
      </c>
      <c r="E960" s="448" t="s">
        <v>6520</v>
      </c>
      <c r="F960" s="448">
        <v>32903</v>
      </c>
      <c r="G960" s="446" t="s">
        <v>204</v>
      </c>
      <c r="H960" s="446" t="s">
        <v>6529</v>
      </c>
      <c r="I960" s="446" t="s">
        <v>231</v>
      </c>
      <c r="J960" s="446" t="s">
        <v>746</v>
      </c>
      <c r="K960" s="446" t="s">
        <v>6536</v>
      </c>
      <c r="L960" s="450"/>
      <c r="M960" s="450"/>
      <c r="N960" s="450"/>
      <c r="O960" s="450"/>
      <c r="P960" s="450"/>
      <c r="Q960" s="450"/>
      <c r="R960" s="450"/>
      <c r="S960" s="451"/>
      <c r="T960" s="450"/>
      <c r="U960" s="451"/>
      <c r="V960" s="450"/>
      <c r="W960" s="450"/>
      <c r="X960" s="450"/>
      <c r="Y960" s="450"/>
      <c r="Z960" s="450"/>
    </row>
    <row r="961" spans="1:26" x14ac:dyDescent="0.25">
      <c r="A961" s="446" t="s">
        <v>6537</v>
      </c>
      <c r="B961" s="446"/>
      <c r="C961" s="446" t="s">
        <v>202</v>
      </c>
      <c r="D961" s="446" t="s">
        <v>6538</v>
      </c>
      <c r="E961" s="448" t="s">
        <v>6520</v>
      </c>
      <c r="F961" s="448">
        <v>32903</v>
      </c>
      <c r="G961" s="446" t="s">
        <v>1220</v>
      </c>
      <c r="H961" s="446" t="s">
        <v>6529</v>
      </c>
      <c r="I961" s="446" t="s">
        <v>231</v>
      </c>
      <c r="J961" s="446" t="s">
        <v>746</v>
      </c>
      <c r="K961" s="446" t="s">
        <v>6539</v>
      </c>
      <c r="L961" s="450"/>
      <c r="M961" s="450"/>
      <c r="N961" s="450"/>
      <c r="O961" s="450"/>
      <c r="P961" s="450"/>
      <c r="Q961" s="450"/>
      <c r="R961" s="450"/>
      <c r="S961" s="451"/>
      <c r="T961" s="450"/>
      <c r="U961" s="451"/>
      <c r="V961" s="450"/>
      <c r="W961" s="450"/>
      <c r="X961" s="450"/>
      <c r="Y961" s="450"/>
      <c r="Z961" s="450"/>
    </row>
    <row r="962" spans="1:26" x14ac:dyDescent="0.25">
      <c r="A962" s="446" t="s">
        <v>6540</v>
      </c>
      <c r="B962" s="446"/>
      <c r="C962" s="446" t="s">
        <v>202</v>
      </c>
      <c r="D962" s="446" t="s">
        <v>6541</v>
      </c>
      <c r="E962" s="448" t="s">
        <v>6520</v>
      </c>
      <c r="F962" s="448">
        <v>32903</v>
      </c>
      <c r="G962" s="446" t="s">
        <v>6542</v>
      </c>
      <c r="H962" s="446" t="s">
        <v>6373</v>
      </c>
      <c r="I962" s="446" t="s">
        <v>4632</v>
      </c>
      <c r="J962" s="446" t="s">
        <v>746</v>
      </c>
      <c r="K962" s="446" t="s">
        <v>6543</v>
      </c>
      <c r="L962" s="450"/>
      <c r="M962" s="450"/>
      <c r="N962" s="450"/>
      <c r="O962" s="450"/>
      <c r="P962" s="450"/>
      <c r="Q962" s="450"/>
      <c r="R962" s="450"/>
      <c r="S962" s="451"/>
      <c r="T962" s="450"/>
      <c r="U962" s="451"/>
      <c r="V962" s="450"/>
      <c r="W962" s="450"/>
      <c r="X962" s="450"/>
      <c r="Y962" s="450"/>
      <c r="Z962" s="450"/>
    </row>
    <row r="963" spans="1:26" x14ac:dyDescent="0.25">
      <c r="A963" s="446" t="s">
        <v>6544</v>
      </c>
      <c r="B963" s="446"/>
      <c r="C963" s="446" t="s">
        <v>1456</v>
      </c>
      <c r="D963" s="446" t="s">
        <v>6545</v>
      </c>
      <c r="E963" s="448" t="s">
        <v>6546</v>
      </c>
      <c r="F963" s="448">
        <v>32904</v>
      </c>
      <c r="G963" s="446" t="s">
        <v>6334</v>
      </c>
      <c r="H963" s="446" t="s">
        <v>6373</v>
      </c>
      <c r="I963" s="446" t="s">
        <v>4632</v>
      </c>
      <c r="J963" s="446" t="s">
        <v>746</v>
      </c>
      <c r="K963" s="446" t="s">
        <v>6547</v>
      </c>
      <c r="L963" s="450"/>
      <c r="M963" s="450"/>
      <c r="N963" s="450"/>
      <c r="O963" s="450"/>
      <c r="P963" s="450"/>
      <c r="Q963" s="450"/>
      <c r="R963" s="450"/>
      <c r="S963" s="451"/>
      <c r="T963" s="450"/>
      <c r="U963" s="451"/>
      <c r="V963" s="450"/>
      <c r="W963" s="450"/>
      <c r="X963" s="450"/>
      <c r="Y963" s="450"/>
      <c r="Z963" s="450"/>
    </row>
    <row r="964" spans="1:26" x14ac:dyDescent="0.25">
      <c r="A964" s="446" t="s">
        <v>6548</v>
      </c>
      <c r="B964" s="446"/>
      <c r="C964" s="446" t="s">
        <v>1456</v>
      </c>
      <c r="D964" s="446" t="s">
        <v>6549</v>
      </c>
      <c r="E964" s="448" t="s">
        <v>6546</v>
      </c>
      <c r="F964" s="448">
        <v>32904</v>
      </c>
      <c r="G964" s="446" t="s">
        <v>6329</v>
      </c>
      <c r="H964" s="446" t="s">
        <v>6373</v>
      </c>
      <c r="I964" s="446" t="s">
        <v>231</v>
      </c>
      <c r="J964" s="446" t="s">
        <v>746</v>
      </c>
      <c r="K964" s="446" t="s">
        <v>6550</v>
      </c>
      <c r="L964" s="450"/>
      <c r="M964" s="450"/>
      <c r="N964" s="450"/>
      <c r="O964" s="450"/>
      <c r="P964" s="450"/>
      <c r="Q964" s="450"/>
      <c r="R964" s="450"/>
      <c r="S964" s="451"/>
      <c r="T964" s="450"/>
      <c r="U964" s="451"/>
      <c r="V964" s="450"/>
      <c r="W964" s="450"/>
      <c r="X964" s="450"/>
      <c r="Y964" s="450"/>
      <c r="Z964" s="450"/>
    </row>
    <row r="965" spans="1:26" x14ac:dyDescent="0.25">
      <c r="A965" s="446" t="s">
        <v>6551</v>
      </c>
      <c r="B965" s="446"/>
      <c r="C965" s="446" t="s">
        <v>202</v>
      </c>
      <c r="D965" s="446" t="s">
        <v>6552</v>
      </c>
      <c r="E965" s="448" t="s">
        <v>6546</v>
      </c>
      <c r="F965" s="448">
        <v>32904</v>
      </c>
      <c r="G965" s="446" t="s">
        <v>214</v>
      </c>
      <c r="H965" s="446" t="s">
        <v>6373</v>
      </c>
      <c r="I965" s="446" t="s">
        <v>231</v>
      </c>
      <c r="J965" s="446" t="s">
        <v>746</v>
      </c>
      <c r="K965" s="446" t="s">
        <v>6553</v>
      </c>
      <c r="L965" s="450"/>
      <c r="M965" s="450"/>
      <c r="N965" s="450"/>
      <c r="O965" s="450"/>
      <c r="P965" s="450"/>
      <c r="Q965" s="450"/>
      <c r="R965" s="450"/>
      <c r="S965" s="451"/>
      <c r="T965" s="450"/>
      <c r="U965" s="451"/>
      <c r="V965" s="450"/>
      <c r="W965" s="450"/>
      <c r="X965" s="450"/>
      <c r="Y965" s="450"/>
      <c r="Z965" s="450"/>
    </row>
    <row r="966" spans="1:26" x14ac:dyDescent="0.25">
      <c r="A966" s="446" t="s">
        <v>6554</v>
      </c>
      <c r="B966" s="446"/>
      <c r="C966" s="446" t="s">
        <v>202</v>
      </c>
      <c r="D966" s="446" t="s">
        <v>6555</v>
      </c>
      <c r="E966" s="448" t="s">
        <v>6546</v>
      </c>
      <c r="F966" s="448">
        <v>32904</v>
      </c>
      <c r="G966" s="446" t="s">
        <v>6556</v>
      </c>
      <c r="H966" s="446" t="s">
        <v>6373</v>
      </c>
      <c r="I966" s="446" t="s">
        <v>231</v>
      </c>
      <c r="J966" s="446" t="s">
        <v>746</v>
      </c>
      <c r="K966" s="446" t="s">
        <v>6557</v>
      </c>
      <c r="L966" s="450"/>
      <c r="M966" s="450"/>
      <c r="N966" s="450"/>
      <c r="O966" s="450"/>
      <c r="P966" s="450"/>
      <c r="Q966" s="450"/>
      <c r="R966" s="450"/>
      <c r="S966" s="451"/>
      <c r="T966" s="450"/>
      <c r="U966" s="451"/>
      <c r="V966" s="450"/>
      <c r="W966" s="450"/>
      <c r="X966" s="450"/>
      <c r="Y966" s="450"/>
      <c r="Z966" s="450"/>
    </row>
    <row r="967" spans="1:26" x14ac:dyDescent="0.25">
      <c r="A967" s="446" t="s">
        <v>6558</v>
      </c>
      <c r="B967" s="446"/>
      <c r="C967" s="446" t="s">
        <v>1456</v>
      </c>
      <c r="D967" s="446" t="s">
        <v>6559</v>
      </c>
      <c r="E967" s="448" t="s">
        <v>6560</v>
      </c>
      <c r="F967" s="448">
        <v>32911</v>
      </c>
      <c r="G967" s="446" t="s">
        <v>6561</v>
      </c>
      <c r="H967" s="446" t="s">
        <v>6429</v>
      </c>
      <c r="I967" s="446" t="s">
        <v>231</v>
      </c>
      <c r="J967" s="446" t="s">
        <v>746</v>
      </c>
      <c r="K967" s="446" t="s">
        <v>6562</v>
      </c>
      <c r="L967" s="450"/>
      <c r="M967" s="450"/>
      <c r="N967" s="450"/>
      <c r="O967" s="450"/>
      <c r="P967" s="450"/>
      <c r="Q967" s="450"/>
      <c r="R967" s="450"/>
      <c r="S967" s="451"/>
      <c r="T967" s="450"/>
      <c r="U967" s="451"/>
      <c r="V967" s="450"/>
      <c r="W967" s="450"/>
      <c r="X967" s="450"/>
      <c r="Y967" s="450"/>
      <c r="Z967" s="450"/>
    </row>
    <row r="968" spans="1:26" x14ac:dyDescent="0.25">
      <c r="A968" s="446" t="s">
        <v>1073</v>
      </c>
      <c r="B968" s="446"/>
      <c r="C968" s="446" t="s">
        <v>408</v>
      </c>
      <c r="D968" s="446" t="s">
        <v>6563</v>
      </c>
      <c r="E968" s="448" t="s">
        <v>6564</v>
      </c>
      <c r="F968" s="448">
        <v>32920</v>
      </c>
      <c r="G968" s="446" t="s">
        <v>6565</v>
      </c>
      <c r="H968" s="446" t="s">
        <v>353</v>
      </c>
      <c r="I968" s="446" t="s">
        <v>4632</v>
      </c>
      <c r="J968" s="446" t="s">
        <v>4604</v>
      </c>
      <c r="K968" s="446" t="s">
        <v>6566</v>
      </c>
      <c r="L968" s="450"/>
      <c r="M968" s="450"/>
      <c r="N968" s="450"/>
      <c r="O968" s="450"/>
      <c r="P968" s="450"/>
      <c r="Q968" s="450"/>
      <c r="R968" s="450"/>
      <c r="S968" s="451"/>
      <c r="T968" s="450"/>
      <c r="U968" s="451"/>
      <c r="V968" s="450"/>
      <c r="W968" s="450"/>
      <c r="X968" s="450"/>
      <c r="Y968" s="450"/>
      <c r="Z968" s="450"/>
    </row>
    <row r="969" spans="1:26" x14ac:dyDescent="0.25">
      <c r="A969" s="446" t="s">
        <v>1078</v>
      </c>
      <c r="B969" s="446"/>
      <c r="C969" s="446" t="s">
        <v>408</v>
      </c>
      <c r="D969" s="446" t="s">
        <v>6567</v>
      </c>
      <c r="E969" s="448" t="s">
        <v>6564</v>
      </c>
      <c r="F969" s="448">
        <v>32920</v>
      </c>
      <c r="G969" s="446" t="s">
        <v>6565</v>
      </c>
      <c r="H969" s="446" t="s">
        <v>1080</v>
      </c>
      <c r="I969" s="446" t="s">
        <v>4632</v>
      </c>
      <c r="J969" s="446" t="s">
        <v>4604</v>
      </c>
      <c r="K969" s="446" t="s">
        <v>6568</v>
      </c>
      <c r="L969" s="450"/>
      <c r="M969" s="450"/>
      <c r="N969" s="450"/>
      <c r="O969" s="450"/>
      <c r="P969" s="450"/>
      <c r="Q969" s="450"/>
      <c r="R969" s="450"/>
      <c r="S969" s="451"/>
      <c r="T969" s="450"/>
      <c r="U969" s="451"/>
      <c r="V969" s="450"/>
      <c r="W969" s="450"/>
      <c r="X969" s="450"/>
      <c r="Y969" s="450"/>
      <c r="Z969" s="450"/>
    </row>
    <row r="970" spans="1:26" x14ac:dyDescent="0.25">
      <c r="A970" s="446" t="s">
        <v>1081</v>
      </c>
      <c r="B970" s="446"/>
      <c r="C970" s="446" t="s">
        <v>408</v>
      </c>
      <c r="D970" s="446" t="s">
        <v>6569</v>
      </c>
      <c r="E970" s="448" t="s">
        <v>6564</v>
      </c>
      <c r="F970" s="448">
        <v>32920</v>
      </c>
      <c r="G970" s="446" t="s">
        <v>6570</v>
      </c>
      <c r="H970" s="446" t="s">
        <v>726</v>
      </c>
      <c r="I970" s="446" t="s">
        <v>4632</v>
      </c>
      <c r="J970" s="446" t="s">
        <v>4604</v>
      </c>
      <c r="K970" s="446" t="s">
        <v>6571</v>
      </c>
      <c r="L970" s="450"/>
      <c r="M970" s="450"/>
      <c r="N970" s="450"/>
      <c r="O970" s="450"/>
      <c r="P970" s="450"/>
      <c r="Q970" s="450"/>
      <c r="R970" s="450"/>
      <c r="S970" s="451"/>
      <c r="T970" s="450"/>
      <c r="U970" s="451"/>
      <c r="V970" s="450"/>
      <c r="W970" s="450"/>
      <c r="X970" s="450"/>
      <c r="Y970" s="450"/>
      <c r="Z970" s="450"/>
    </row>
    <row r="971" spans="1:26" x14ac:dyDescent="0.25">
      <c r="A971" s="446" t="s">
        <v>1083</v>
      </c>
      <c r="B971" s="446"/>
      <c r="C971" s="446" t="s">
        <v>408</v>
      </c>
      <c r="D971" s="446" t="s">
        <v>6572</v>
      </c>
      <c r="E971" s="448" t="s">
        <v>6564</v>
      </c>
      <c r="F971" s="448">
        <v>32920</v>
      </c>
      <c r="G971" s="446" t="s">
        <v>6565</v>
      </c>
      <c r="H971" s="446" t="s">
        <v>214</v>
      </c>
      <c r="I971" s="446" t="s">
        <v>4632</v>
      </c>
      <c r="J971" s="446" t="s">
        <v>4604</v>
      </c>
      <c r="K971" s="446" t="s">
        <v>6573</v>
      </c>
      <c r="L971" s="450"/>
      <c r="M971" s="450"/>
      <c r="N971" s="450"/>
      <c r="O971" s="450"/>
      <c r="P971" s="450"/>
      <c r="Q971" s="450"/>
      <c r="R971" s="450"/>
      <c r="S971" s="451"/>
      <c r="T971" s="450"/>
      <c r="U971" s="451"/>
      <c r="V971" s="450"/>
      <c r="W971" s="450"/>
      <c r="X971" s="450"/>
      <c r="Y971" s="450"/>
      <c r="Z971" s="450"/>
    </row>
    <row r="972" spans="1:26" x14ac:dyDescent="0.25">
      <c r="A972" s="446" t="s">
        <v>1085</v>
      </c>
      <c r="B972" s="446"/>
      <c r="C972" s="446" t="s">
        <v>408</v>
      </c>
      <c r="D972" s="446" t="s">
        <v>6574</v>
      </c>
      <c r="E972" s="448" t="s">
        <v>6564</v>
      </c>
      <c r="F972" s="448">
        <v>32920</v>
      </c>
      <c r="G972" s="446" t="s">
        <v>6565</v>
      </c>
      <c r="H972" s="446" t="s">
        <v>721</v>
      </c>
      <c r="I972" s="446" t="s">
        <v>4632</v>
      </c>
      <c r="J972" s="446" t="s">
        <v>4604</v>
      </c>
      <c r="K972" s="446" t="s">
        <v>6575</v>
      </c>
      <c r="L972" s="450"/>
      <c r="M972" s="450"/>
      <c r="N972" s="450"/>
      <c r="O972" s="450"/>
      <c r="P972" s="450"/>
      <c r="Q972" s="450"/>
      <c r="R972" s="450"/>
      <c r="S972" s="451"/>
      <c r="T972" s="450"/>
      <c r="U972" s="451"/>
      <c r="V972" s="450"/>
      <c r="W972" s="450"/>
      <c r="X972" s="450"/>
      <c r="Y972" s="450"/>
      <c r="Z972" s="450"/>
    </row>
    <row r="973" spans="1:26" x14ac:dyDescent="0.25">
      <c r="A973" s="446" t="s">
        <v>1087</v>
      </c>
      <c r="B973" s="446"/>
      <c r="C973" s="446" t="s">
        <v>408</v>
      </c>
      <c r="D973" s="446" t="s">
        <v>6576</v>
      </c>
      <c r="E973" s="448" t="s">
        <v>6564</v>
      </c>
      <c r="F973" s="448">
        <v>32920</v>
      </c>
      <c r="G973" s="446" t="s">
        <v>6565</v>
      </c>
      <c r="H973" s="446" t="s">
        <v>731</v>
      </c>
      <c r="I973" s="446" t="s">
        <v>4632</v>
      </c>
      <c r="J973" s="446" t="s">
        <v>4604</v>
      </c>
      <c r="K973" s="446" t="s">
        <v>6577</v>
      </c>
      <c r="L973" s="450"/>
      <c r="M973" s="450"/>
      <c r="N973" s="450"/>
      <c r="O973" s="450"/>
      <c r="P973" s="450"/>
      <c r="Q973" s="450"/>
      <c r="R973" s="450"/>
      <c r="S973" s="451"/>
      <c r="T973" s="450"/>
      <c r="U973" s="451"/>
      <c r="V973" s="450"/>
      <c r="W973" s="450"/>
      <c r="X973" s="450"/>
      <c r="Y973" s="450"/>
      <c r="Z973" s="450"/>
    </row>
    <row r="974" spans="1:26" x14ac:dyDescent="0.25">
      <c r="A974" s="446" t="s">
        <v>1089</v>
      </c>
      <c r="B974" s="446"/>
      <c r="C974" s="446" t="s">
        <v>408</v>
      </c>
      <c r="D974" s="446" t="s">
        <v>6578</v>
      </c>
      <c r="E974" s="448" t="s">
        <v>6564</v>
      </c>
      <c r="F974" s="448">
        <v>32920</v>
      </c>
      <c r="G974" s="446" t="s">
        <v>6565</v>
      </c>
      <c r="H974" s="446" t="s">
        <v>739</v>
      </c>
      <c r="I974" s="446" t="s">
        <v>4632</v>
      </c>
      <c r="J974" s="446" t="s">
        <v>4604</v>
      </c>
      <c r="K974" s="446" t="s">
        <v>6579</v>
      </c>
      <c r="L974" s="450"/>
      <c r="M974" s="450"/>
      <c r="N974" s="450"/>
      <c r="O974" s="450"/>
      <c r="P974" s="450"/>
      <c r="Q974" s="450"/>
      <c r="R974" s="450"/>
      <c r="S974" s="451"/>
      <c r="T974" s="450"/>
      <c r="U974" s="451"/>
      <c r="V974" s="450"/>
      <c r="W974" s="450"/>
      <c r="X974" s="450"/>
      <c r="Y974" s="450"/>
      <c r="Z974" s="450"/>
    </row>
    <row r="975" spans="1:26" x14ac:dyDescent="0.25">
      <c r="A975" s="446" t="s">
        <v>1091</v>
      </c>
      <c r="B975" s="446"/>
      <c r="C975" s="446" t="s">
        <v>408</v>
      </c>
      <c r="D975" s="446" t="s">
        <v>6580</v>
      </c>
      <c r="E975" s="448" t="s">
        <v>6564</v>
      </c>
      <c r="F975" s="448">
        <v>32920</v>
      </c>
      <c r="G975" s="446" t="s">
        <v>6565</v>
      </c>
      <c r="H975" s="446" t="s">
        <v>234</v>
      </c>
      <c r="I975" s="446" t="s">
        <v>4632</v>
      </c>
      <c r="J975" s="446" t="s">
        <v>4604</v>
      </c>
      <c r="K975" s="446" t="s">
        <v>6581</v>
      </c>
      <c r="L975" s="450"/>
      <c r="M975" s="450"/>
      <c r="N975" s="450"/>
      <c r="O975" s="450"/>
      <c r="P975" s="450"/>
      <c r="Q975" s="450"/>
      <c r="R975" s="450"/>
      <c r="S975" s="451"/>
      <c r="T975" s="450"/>
      <c r="U975" s="451"/>
      <c r="V975" s="450"/>
      <c r="W975" s="450"/>
      <c r="X975" s="450"/>
      <c r="Y975" s="450"/>
      <c r="Z975" s="450"/>
    </row>
    <row r="976" spans="1:26" x14ac:dyDescent="0.25">
      <c r="A976" s="446" t="s">
        <v>1093</v>
      </c>
      <c r="B976" s="446"/>
      <c r="C976" s="446" t="s">
        <v>408</v>
      </c>
      <c r="D976" s="446" t="s">
        <v>6582</v>
      </c>
      <c r="E976" s="448" t="s">
        <v>6564</v>
      </c>
      <c r="F976" s="448">
        <v>32920</v>
      </c>
      <c r="G976" s="446" t="s">
        <v>6565</v>
      </c>
      <c r="H976" s="446" t="s">
        <v>355</v>
      </c>
      <c r="I976" s="446" t="s">
        <v>231</v>
      </c>
      <c r="J976" s="446" t="s">
        <v>4604</v>
      </c>
      <c r="K976" s="446" t="s">
        <v>6583</v>
      </c>
      <c r="L976" s="450"/>
      <c r="M976" s="450"/>
      <c r="N976" s="450"/>
      <c r="O976" s="450"/>
      <c r="P976" s="450"/>
      <c r="Q976" s="450"/>
      <c r="R976" s="450"/>
      <c r="S976" s="451"/>
      <c r="T976" s="450"/>
      <c r="U976" s="451"/>
      <c r="V976" s="450"/>
      <c r="W976" s="450"/>
      <c r="X976" s="450"/>
      <c r="Y976" s="450"/>
      <c r="Z976" s="450"/>
    </row>
    <row r="977" spans="1:26" x14ac:dyDescent="0.25">
      <c r="A977" s="446" t="s">
        <v>6584</v>
      </c>
      <c r="B977" s="446"/>
      <c r="C977" s="446" t="s">
        <v>1456</v>
      </c>
      <c r="D977" s="446" t="s">
        <v>6585</v>
      </c>
      <c r="E977" s="448" t="s">
        <v>6586</v>
      </c>
      <c r="F977" s="448">
        <v>32930</v>
      </c>
      <c r="G977" s="446" t="s">
        <v>6587</v>
      </c>
      <c r="H977" s="446" t="s">
        <v>6588</v>
      </c>
      <c r="I977" s="446" t="s">
        <v>5207</v>
      </c>
      <c r="J977" s="446" t="s">
        <v>746</v>
      </c>
      <c r="K977" s="446" t="s">
        <v>6589</v>
      </c>
      <c r="L977" s="450"/>
      <c r="M977" s="450"/>
      <c r="N977" s="450"/>
      <c r="O977" s="450"/>
      <c r="P977" s="450"/>
      <c r="Q977" s="450"/>
      <c r="R977" s="450"/>
      <c r="S977" s="451"/>
      <c r="T977" s="450"/>
      <c r="U977" s="451"/>
      <c r="V977" s="450"/>
      <c r="W977" s="450"/>
      <c r="X977" s="450"/>
      <c r="Y977" s="450"/>
      <c r="Z977" s="450"/>
    </row>
    <row r="978" spans="1:26" x14ac:dyDescent="0.25">
      <c r="A978" s="446" t="s">
        <v>1095</v>
      </c>
      <c r="B978" s="446"/>
      <c r="C978" s="446" t="s">
        <v>585</v>
      </c>
      <c r="D978" s="446" t="s">
        <v>6590</v>
      </c>
      <c r="E978" s="448" t="s">
        <v>6591</v>
      </c>
      <c r="F978" s="448">
        <v>32952</v>
      </c>
      <c r="G978" s="446" t="s">
        <v>6592</v>
      </c>
      <c r="H978" s="446" t="s">
        <v>102</v>
      </c>
      <c r="I978" s="446" t="s">
        <v>4632</v>
      </c>
      <c r="J978" s="446" t="s">
        <v>4604</v>
      </c>
      <c r="K978" s="446" t="s">
        <v>6593</v>
      </c>
      <c r="L978" s="450"/>
      <c r="M978" s="450"/>
      <c r="N978" s="450"/>
      <c r="O978" s="450"/>
      <c r="P978" s="450"/>
      <c r="Q978" s="450"/>
      <c r="R978" s="450"/>
      <c r="S978" s="451"/>
      <c r="T978" s="450"/>
      <c r="U978" s="451"/>
      <c r="V978" s="450"/>
      <c r="W978" s="450"/>
      <c r="X978" s="450"/>
      <c r="Y978" s="450"/>
      <c r="Z978" s="450"/>
    </row>
    <row r="979" spans="1:26" x14ac:dyDescent="0.25">
      <c r="A979" s="446" t="s">
        <v>6594</v>
      </c>
      <c r="B979" s="446"/>
      <c r="C979" s="446" t="s">
        <v>4618</v>
      </c>
      <c r="D979" s="446" t="s">
        <v>6595</v>
      </c>
      <c r="E979" s="448" t="s">
        <v>6596</v>
      </c>
      <c r="F979" s="448">
        <v>32957</v>
      </c>
      <c r="G979" s="446" t="s">
        <v>101</v>
      </c>
      <c r="H979" s="446" t="s">
        <v>5450</v>
      </c>
      <c r="I979" s="446" t="s">
        <v>231</v>
      </c>
      <c r="J979" s="446" t="s">
        <v>746</v>
      </c>
      <c r="K979" s="446" t="s">
        <v>6597</v>
      </c>
      <c r="L979" s="450"/>
      <c r="M979" s="450"/>
      <c r="N979" s="450"/>
      <c r="O979" s="450"/>
      <c r="P979" s="450"/>
      <c r="Q979" s="450"/>
      <c r="R979" s="450"/>
      <c r="S979" s="451"/>
      <c r="T979" s="450"/>
      <c r="U979" s="451"/>
      <c r="V979" s="450"/>
      <c r="W979" s="450"/>
      <c r="X979" s="450"/>
      <c r="Y979" s="450"/>
      <c r="Z979" s="450"/>
    </row>
    <row r="980" spans="1:26" x14ac:dyDescent="0.25">
      <c r="A980" s="446" t="s">
        <v>6598</v>
      </c>
      <c r="B980" s="446"/>
      <c r="C980" s="446" t="s">
        <v>4618</v>
      </c>
      <c r="D980" s="446" t="s">
        <v>6599</v>
      </c>
      <c r="E980" s="448" t="s">
        <v>6596</v>
      </c>
      <c r="F980" s="448">
        <v>32957</v>
      </c>
      <c r="G980" s="446" t="s">
        <v>101</v>
      </c>
      <c r="H980" s="446" t="s">
        <v>5450</v>
      </c>
      <c r="I980" s="446" t="s">
        <v>231</v>
      </c>
      <c r="J980" s="446" t="s">
        <v>746</v>
      </c>
      <c r="K980" s="446" t="s">
        <v>6600</v>
      </c>
      <c r="L980" s="450"/>
      <c r="M980" s="450"/>
      <c r="N980" s="450"/>
      <c r="O980" s="450"/>
      <c r="P980" s="450"/>
      <c r="Q980" s="450"/>
      <c r="R980" s="450"/>
      <c r="S980" s="451"/>
      <c r="T980" s="450"/>
      <c r="U980" s="451"/>
      <c r="V980" s="450"/>
      <c r="W980" s="450"/>
      <c r="X980" s="450"/>
      <c r="Y980" s="450"/>
      <c r="Z980" s="450"/>
    </row>
    <row r="981" spans="1:26" x14ac:dyDescent="0.25">
      <c r="A981" s="446" t="s">
        <v>6601</v>
      </c>
      <c r="B981" s="446"/>
      <c r="C981" s="446" t="s">
        <v>4618</v>
      </c>
      <c r="D981" s="446" t="s">
        <v>6602</v>
      </c>
      <c r="E981" s="448" t="s">
        <v>6596</v>
      </c>
      <c r="F981" s="448">
        <v>32957</v>
      </c>
      <c r="G981" s="446" t="s">
        <v>101</v>
      </c>
      <c r="H981" s="446" t="s">
        <v>6603</v>
      </c>
      <c r="I981" s="446" t="s">
        <v>231</v>
      </c>
      <c r="J981" s="446" t="s">
        <v>746</v>
      </c>
      <c r="K981" s="446" t="s">
        <v>6604</v>
      </c>
      <c r="L981" s="450"/>
      <c r="M981" s="450"/>
      <c r="N981" s="450"/>
      <c r="O981" s="450"/>
      <c r="P981" s="450"/>
      <c r="Q981" s="450"/>
      <c r="R981" s="450"/>
      <c r="S981" s="451"/>
      <c r="T981" s="450"/>
      <c r="U981" s="451"/>
      <c r="V981" s="450"/>
      <c r="W981" s="450"/>
      <c r="X981" s="450"/>
      <c r="Y981" s="450"/>
      <c r="Z981" s="450"/>
    </row>
    <row r="982" spans="1:26" x14ac:dyDescent="0.25">
      <c r="A982" s="446" t="s">
        <v>6605</v>
      </c>
      <c r="B982" s="446"/>
      <c r="C982" s="446" t="s">
        <v>4618</v>
      </c>
      <c r="D982" s="446" t="s">
        <v>6606</v>
      </c>
      <c r="E982" s="448" t="s">
        <v>6596</v>
      </c>
      <c r="F982" s="448">
        <v>32957</v>
      </c>
      <c r="G982" s="446" t="s">
        <v>101</v>
      </c>
      <c r="H982" s="446" t="s">
        <v>6603</v>
      </c>
      <c r="I982" s="446" t="s">
        <v>231</v>
      </c>
      <c r="J982" s="446" t="s">
        <v>746</v>
      </c>
      <c r="K982" s="446" t="s">
        <v>6607</v>
      </c>
      <c r="L982" s="450"/>
      <c r="M982" s="450"/>
      <c r="N982" s="450"/>
      <c r="O982" s="450"/>
      <c r="P982" s="450"/>
      <c r="Q982" s="450"/>
      <c r="R982" s="450"/>
      <c r="S982" s="451"/>
      <c r="T982" s="450"/>
      <c r="U982" s="451"/>
      <c r="V982" s="450"/>
      <c r="W982" s="450"/>
      <c r="X982" s="450"/>
      <c r="Y982" s="450"/>
      <c r="Z982" s="450"/>
    </row>
    <row r="983" spans="1:26" x14ac:dyDescent="0.25">
      <c r="A983" s="446" t="s">
        <v>1099</v>
      </c>
      <c r="B983" s="446"/>
      <c r="C983" s="446" t="s">
        <v>408</v>
      </c>
      <c r="D983" s="446" t="s">
        <v>6608</v>
      </c>
      <c r="E983" s="448" t="s">
        <v>6596</v>
      </c>
      <c r="F983" s="448">
        <v>32957</v>
      </c>
      <c r="G983" s="446" t="s">
        <v>6508</v>
      </c>
      <c r="H983" s="446" t="s">
        <v>351</v>
      </c>
      <c r="I983" s="446" t="s">
        <v>4632</v>
      </c>
      <c r="J983" s="446" t="s">
        <v>4604</v>
      </c>
      <c r="K983" s="446" t="s">
        <v>6609</v>
      </c>
      <c r="L983" s="450"/>
      <c r="M983" s="450"/>
      <c r="N983" s="450"/>
      <c r="O983" s="450"/>
      <c r="P983" s="450"/>
      <c r="Q983" s="450"/>
      <c r="R983" s="450"/>
      <c r="S983" s="451"/>
      <c r="T983" s="450"/>
      <c r="U983" s="451"/>
      <c r="V983" s="450"/>
      <c r="W983" s="450"/>
      <c r="X983" s="450"/>
      <c r="Y983" s="450"/>
      <c r="Z983" s="450"/>
    </row>
    <row r="984" spans="1:26" x14ac:dyDescent="0.25">
      <c r="A984" s="446" t="s">
        <v>1101</v>
      </c>
      <c r="B984" s="446"/>
      <c r="C984" s="446" t="s">
        <v>408</v>
      </c>
      <c r="D984" s="446" t="s">
        <v>6610</v>
      </c>
      <c r="E984" s="448" t="s">
        <v>6596</v>
      </c>
      <c r="F984" s="448">
        <v>32957</v>
      </c>
      <c r="G984" s="446" t="s">
        <v>6508</v>
      </c>
      <c r="H984" s="446" t="s">
        <v>348</v>
      </c>
      <c r="I984" s="446" t="s">
        <v>4632</v>
      </c>
      <c r="J984" s="446" t="s">
        <v>4604</v>
      </c>
      <c r="K984" s="446" t="s">
        <v>6611</v>
      </c>
      <c r="L984" s="450"/>
      <c r="M984" s="450"/>
      <c r="N984" s="450"/>
      <c r="O984" s="450"/>
      <c r="P984" s="450"/>
      <c r="Q984" s="450"/>
      <c r="R984" s="450"/>
      <c r="S984" s="451"/>
      <c r="T984" s="450"/>
      <c r="U984" s="451"/>
      <c r="V984" s="450"/>
      <c r="W984" s="450"/>
      <c r="X984" s="450"/>
      <c r="Y984" s="450"/>
      <c r="Z984" s="450"/>
    </row>
    <row r="985" spans="1:26" x14ac:dyDescent="0.25">
      <c r="A985" s="446" t="s">
        <v>1103</v>
      </c>
      <c r="B985" s="446"/>
      <c r="C985" s="446" t="s">
        <v>408</v>
      </c>
      <c r="D985" s="446" t="s">
        <v>6612</v>
      </c>
      <c r="E985" s="448" t="s">
        <v>6613</v>
      </c>
      <c r="F985" s="448">
        <v>32960</v>
      </c>
      <c r="G985" s="446" t="s">
        <v>1048</v>
      </c>
      <c r="H985" s="446" t="s">
        <v>6614</v>
      </c>
      <c r="I985" s="446" t="s">
        <v>4632</v>
      </c>
      <c r="J985" s="446" t="s">
        <v>4604</v>
      </c>
      <c r="K985" s="446" t="s">
        <v>6615</v>
      </c>
      <c r="L985" s="450"/>
      <c r="M985" s="450"/>
      <c r="N985" s="450"/>
      <c r="O985" s="450"/>
      <c r="P985" s="450"/>
      <c r="Q985" s="450"/>
      <c r="R985" s="450"/>
      <c r="S985" s="451"/>
      <c r="T985" s="450"/>
      <c r="U985" s="451"/>
      <c r="V985" s="450"/>
      <c r="W985" s="450"/>
      <c r="X985" s="450"/>
      <c r="Y985" s="450"/>
      <c r="Z985" s="450"/>
    </row>
    <row r="986" spans="1:26" x14ac:dyDescent="0.25">
      <c r="A986" s="446" t="s">
        <v>1127</v>
      </c>
      <c r="B986" s="446"/>
      <c r="C986" s="446" t="s">
        <v>408</v>
      </c>
      <c r="D986" s="446" t="s">
        <v>6616</v>
      </c>
      <c r="E986" s="448" t="s">
        <v>6617</v>
      </c>
      <c r="F986" s="448">
        <v>32969</v>
      </c>
      <c r="G986" s="446" t="s">
        <v>6561</v>
      </c>
      <c r="H986" s="446" t="s">
        <v>6618</v>
      </c>
      <c r="I986" s="446" t="s">
        <v>4632</v>
      </c>
      <c r="J986" s="446" t="s">
        <v>4604</v>
      </c>
      <c r="K986" s="446" t="s">
        <v>6619</v>
      </c>
      <c r="L986" s="450"/>
      <c r="M986" s="450"/>
      <c r="N986" s="450"/>
      <c r="O986" s="450"/>
      <c r="P986" s="450"/>
      <c r="Q986" s="450"/>
      <c r="R986" s="450"/>
      <c r="S986" s="451"/>
      <c r="T986" s="450"/>
      <c r="U986" s="451"/>
      <c r="V986" s="450"/>
      <c r="W986" s="450"/>
      <c r="X986" s="450"/>
      <c r="Y986" s="450"/>
      <c r="Z986" s="450"/>
    </row>
    <row r="987" spans="1:26" x14ac:dyDescent="0.25">
      <c r="A987" s="446" t="s">
        <v>1117</v>
      </c>
      <c r="B987" s="446"/>
      <c r="C987" s="446" t="s">
        <v>585</v>
      </c>
      <c r="D987" s="446" t="s">
        <v>6620</v>
      </c>
      <c r="E987" s="448" t="s">
        <v>6617</v>
      </c>
      <c r="F987" s="448">
        <v>32969</v>
      </c>
      <c r="G987" s="446" t="s">
        <v>4448</v>
      </c>
      <c r="H987" s="446" t="s">
        <v>6352</v>
      </c>
      <c r="I987" s="446" t="s">
        <v>4632</v>
      </c>
      <c r="J987" s="446" t="s">
        <v>4604</v>
      </c>
      <c r="K987" s="446" t="s">
        <v>6621</v>
      </c>
      <c r="L987" s="450"/>
      <c r="M987" s="450"/>
      <c r="N987" s="450"/>
      <c r="O987" s="450"/>
      <c r="P987" s="450"/>
      <c r="Q987" s="450"/>
      <c r="R987" s="450"/>
      <c r="S987" s="451"/>
      <c r="T987" s="450"/>
      <c r="U987" s="451"/>
      <c r="V987" s="450"/>
      <c r="W987" s="450"/>
      <c r="X987" s="450"/>
      <c r="Y987" s="450"/>
      <c r="Z987" s="450"/>
    </row>
    <row r="988" spans="1:26" x14ac:dyDescent="0.25">
      <c r="A988" s="446" t="s">
        <v>1111</v>
      </c>
      <c r="B988" s="446"/>
      <c r="C988" s="446" t="s">
        <v>585</v>
      </c>
      <c r="D988" s="446" t="s">
        <v>6622</v>
      </c>
      <c r="E988" s="448" t="s">
        <v>6617</v>
      </c>
      <c r="F988" s="448">
        <v>32969</v>
      </c>
      <c r="G988" s="446" t="s">
        <v>4448</v>
      </c>
      <c r="H988" s="446" t="s">
        <v>6352</v>
      </c>
      <c r="I988" s="446" t="s">
        <v>4632</v>
      </c>
      <c r="J988" s="446" t="s">
        <v>4604</v>
      </c>
      <c r="K988" s="446" t="s">
        <v>6623</v>
      </c>
      <c r="L988" s="450"/>
      <c r="M988" s="450"/>
      <c r="N988" s="450"/>
      <c r="O988" s="450"/>
      <c r="P988" s="450"/>
      <c r="Q988" s="450"/>
      <c r="R988" s="450"/>
      <c r="S988" s="451"/>
      <c r="T988" s="450"/>
      <c r="U988" s="451"/>
      <c r="V988" s="450"/>
      <c r="W988" s="450"/>
      <c r="X988" s="450"/>
      <c r="Y988" s="450"/>
      <c r="Z988" s="450"/>
    </row>
    <row r="989" spans="1:26" x14ac:dyDescent="0.25">
      <c r="A989" s="446" t="s">
        <v>1124</v>
      </c>
      <c r="B989" s="446"/>
      <c r="C989" s="446" t="s">
        <v>585</v>
      </c>
      <c r="D989" s="446" t="s">
        <v>6624</v>
      </c>
      <c r="E989" s="448" t="s">
        <v>6617</v>
      </c>
      <c r="F989" s="448">
        <v>32969</v>
      </c>
      <c r="G989" s="446" t="s">
        <v>4448</v>
      </c>
      <c r="H989" s="446" t="s">
        <v>6352</v>
      </c>
      <c r="I989" s="446" t="s">
        <v>231</v>
      </c>
      <c r="J989" s="446" t="s">
        <v>4604</v>
      </c>
      <c r="K989" s="446" t="s">
        <v>6625</v>
      </c>
      <c r="L989" s="450"/>
      <c r="M989" s="450"/>
      <c r="N989" s="450"/>
      <c r="O989" s="450"/>
      <c r="P989" s="450"/>
      <c r="Q989" s="450"/>
      <c r="R989" s="450"/>
      <c r="S989" s="451"/>
      <c r="T989" s="450"/>
      <c r="U989" s="451"/>
      <c r="V989" s="450"/>
      <c r="W989" s="450"/>
      <c r="X989" s="450"/>
      <c r="Y989" s="450"/>
      <c r="Z989" s="450"/>
    </row>
    <row r="990" spans="1:26" x14ac:dyDescent="0.25">
      <c r="A990" s="446" t="s">
        <v>1106</v>
      </c>
      <c r="B990" s="446"/>
      <c r="C990" s="446" t="s">
        <v>585</v>
      </c>
      <c r="D990" s="446" t="s">
        <v>6626</v>
      </c>
      <c r="E990" s="448" t="s">
        <v>6617</v>
      </c>
      <c r="F990" s="448">
        <v>32969</v>
      </c>
      <c r="G990" s="446" t="s">
        <v>4448</v>
      </c>
      <c r="H990" s="446" t="s">
        <v>6352</v>
      </c>
      <c r="I990" s="446" t="s">
        <v>231</v>
      </c>
      <c r="J990" s="446" t="s">
        <v>4604</v>
      </c>
      <c r="K990" s="446" t="s">
        <v>6627</v>
      </c>
      <c r="L990" s="450"/>
      <c r="M990" s="450"/>
      <c r="N990" s="450"/>
      <c r="O990" s="450"/>
      <c r="P990" s="450"/>
      <c r="Q990" s="450"/>
      <c r="R990" s="450"/>
      <c r="S990" s="451"/>
      <c r="T990" s="450"/>
      <c r="U990" s="451"/>
      <c r="V990" s="450"/>
      <c r="W990" s="450"/>
      <c r="X990" s="450"/>
      <c r="Y990" s="450"/>
      <c r="Z990" s="450"/>
    </row>
    <row r="991" spans="1:26" x14ac:dyDescent="0.25">
      <c r="A991" s="446" t="s">
        <v>1121</v>
      </c>
      <c r="B991" s="446"/>
      <c r="C991" s="446" t="s">
        <v>585</v>
      </c>
      <c r="D991" s="446" t="s">
        <v>6628</v>
      </c>
      <c r="E991" s="448" t="s">
        <v>6617</v>
      </c>
      <c r="F991" s="448">
        <v>32969</v>
      </c>
      <c r="G991" s="446" t="s">
        <v>4448</v>
      </c>
      <c r="H991" s="446" t="s">
        <v>6352</v>
      </c>
      <c r="I991" s="446" t="s">
        <v>231</v>
      </c>
      <c r="J991" s="446" t="s">
        <v>4604</v>
      </c>
      <c r="K991" s="446" t="s">
        <v>6629</v>
      </c>
      <c r="L991" s="450"/>
      <c r="M991" s="450"/>
      <c r="N991" s="450"/>
      <c r="O991" s="450"/>
      <c r="P991" s="450"/>
      <c r="Q991" s="450"/>
      <c r="R991" s="450"/>
      <c r="S991" s="451"/>
      <c r="T991" s="450"/>
      <c r="U991" s="451"/>
      <c r="V991" s="450"/>
      <c r="W991" s="450"/>
      <c r="X991" s="450"/>
      <c r="Y991" s="450"/>
      <c r="Z991" s="450"/>
    </row>
    <row r="992" spans="1:26" x14ac:dyDescent="0.25">
      <c r="A992" s="446" t="s">
        <v>1115</v>
      </c>
      <c r="B992" s="446"/>
      <c r="C992" s="446" t="s">
        <v>585</v>
      </c>
      <c r="D992" s="446" t="s">
        <v>6630</v>
      </c>
      <c r="E992" s="448" t="s">
        <v>6617</v>
      </c>
      <c r="F992" s="448">
        <v>32969</v>
      </c>
      <c r="G992" s="446" t="s">
        <v>4448</v>
      </c>
      <c r="H992" s="446" t="s">
        <v>6352</v>
      </c>
      <c r="I992" s="446" t="s">
        <v>4632</v>
      </c>
      <c r="J992" s="446" t="s">
        <v>4604</v>
      </c>
      <c r="K992" s="446" t="s">
        <v>6631</v>
      </c>
      <c r="L992" s="450"/>
      <c r="M992" s="450"/>
      <c r="N992" s="450"/>
      <c r="O992" s="450"/>
      <c r="P992" s="450"/>
      <c r="Q992" s="450"/>
      <c r="R992" s="450"/>
      <c r="S992" s="451"/>
      <c r="T992" s="450"/>
      <c r="U992" s="451"/>
      <c r="V992" s="450"/>
      <c r="W992" s="450"/>
      <c r="X992" s="450"/>
      <c r="Y992" s="450"/>
      <c r="Z992" s="450"/>
    </row>
    <row r="993" spans="1:26" x14ac:dyDescent="0.25">
      <c r="A993" s="446" t="s">
        <v>1133</v>
      </c>
      <c r="B993" s="446"/>
      <c r="C993" s="446" t="s">
        <v>408</v>
      </c>
      <c r="D993" s="446" t="s">
        <v>6632</v>
      </c>
      <c r="E993" s="448" t="s">
        <v>6633</v>
      </c>
      <c r="F993" s="448">
        <v>32975</v>
      </c>
      <c r="G993" s="446" t="s">
        <v>6634</v>
      </c>
      <c r="H993" s="446" t="s">
        <v>114</v>
      </c>
      <c r="I993" s="446" t="s">
        <v>4632</v>
      </c>
      <c r="J993" s="446" t="s">
        <v>4604</v>
      </c>
      <c r="K993" s="446" t="s">
        <v>6635</v>
      </c>
      <c r="L993" s="450"/>
      <c r="M993" s="450"/>
      <c r="N993" s="450"/>
      <c r="O993" s="450"/>
      <c r="P993" s="450"/>
      <c r="Q993" s="450"/>
      <c r="R993" s="450"/>
      <c r="S993" s="451"/>
      <c r="T993" s="450"/>
      <c r="U993" s="451"/>
      <c r="V993" s="450"/>
      <c r="W993" s="450"/>
      <c r="X993" s="450"/>
      <c r="Y993" s="450"/>
      <c r="Z993" s="450"/>
    </row>
    <row r="994" spans="1:26" x14ac:dyDescent="0.25">
      <c r="A994" s="446" t="s">
        <v>1137</v>
      </c>
      <c r="B994" s="446"/>
      <c r="C994" s="446" t="s">
        <v>408</v>
      </c>
      <c r="D994" s="446" t="s">
        <v>6636</v>
      </c>
      <c r="E994" s="448" t="s">
        <v>6637</v>
      </c>
      <c r="F994" s="448">
        <v>32993</v>
      </c>
      <c r="G994" s="446" t="s">
        <v>114</v>
      </c>
      <c r="H994" s="446" t="s">
        <v>1139</v>
      </c>
      <c r="I994" s="446" t="s">
        <v>4632</v>
      </c>
      <c r="J994" s="446" t="s">
        <v>4604</v>
      </c>
      <c r="K994" s="446" t="s">
        <v>6638</v>
      </c>
      <c r="L994" s="450"/>
      <c r="M994" s="450"/>
      <c r="N994" s="450"/>
      <c r="O994" s="450"/>
      <c r="P994" s="450"/>
      <c r="Q994" s="450"/>
      <c r="R994" s="450"/>
      <c r="S994" s="451"/>
      <c r="T994" s="450"/>
      <c r="U994" s="451"/>
      <c r="V994" s="450"/>
      <c r="W994" s="450"/>
      <c r="X994" s="450"/>
      <c r="Y994" s="450"/>
      <c r="Z994" s="450"/>
    </row>
    <row r="995" spans="1:26" x14ac:dyDescent="0.25">
      <c r="A995" s="446" t="s">
        <v>6639</v>
      </c>
      <c r="B995" s="446"/>
      <c r="C995" s="446" t="s">
        <v>1456</v>
      </c>
      <c r="D995" s="446" t="s">
        <v>6640</v>
      </c>
      <c r="E995" s="448" t="s">
        <v>6641</v>
      </c>
      <c r="F995" s="448">
        <v>32997</v>
      </c>
      <c r="G995" s="446" t="s">
        <v>6642</v>
      </c>
      <c r="H995" s="446" t="s">
        <v>6643</v>
      </c>
      <c r="I995" s="446" t="s">
        <v>4632</v>
      </c>
      <c r="J995" s="446" t="s">
        <v>746</v>
      </c>
      <c r="K995" s="446" t="s">
        <v>6644</v>
      </c>
      <c r="L995" s="450"/>
      <c r="M995" s="450"/>
      <c r="N995" s="450"/>
      <c r="O995" s="450"/>
      <c r="P995" s="450"/>
      <c r="Q995" s="450"/>
      <c r="R995" s="450"/>
      <c r="S995" s="451"/>
      <c r="T995" s="450"/>
      <c r="U995" s="451"/>
      <c r="V995" s="450"/>
      <c r="W995" s="450"/>
      <c r="X995" s="450"/>
      <c r="Y995" s="450"/>
      <c r="Z995" s="450"/>
    </row>
    <row r="996" spans="1:26" x14ac:dyDescent="0.25">
      <c r="A996" s="446" t="s">
        <v>1140</v>
      </c>
      <c r="B996" s="446"/>
      <c r="C996" s="446" t="s">
        <v>408</v>
      </c>
      <c r="D996" s="446" t="s">
        <v>6645</v>
      </c>
      <c r="E996" s="448" t="s">
        <v>6646</v>
      </c>
      <c r="F996" s="448">
        <v>33000</v>
      </c>
      <c r="G996" s="446" t="s">
        <v>1142</v>
      </c>
      <c r="H996" s="446" t="s">
        <v>2875</v>
      </c>
      <c r="I996" s="446" t="s">
        <v>4632</v>
      </c>
      <c r="J996" s="446" t="s">
        <v>4604</v>
      </c>
      <c r="K996" s="446" t="s">
        <v>6647</v>
      </c>
      <c r="L996" s="450"/>
      <c r="M996" s="450"/>
      <c r="N996" s="450"/>
      <c r="O996" s="450"/>
      <c r="P996" s="450"/>
      <c r="Q996" s="450"/>
      <c r="R996" s="450"/>
      <c r="S996" s="451"/>
      <c r="T996" s="450"/>
      <c r="U996" s="451"/>
      <c r="V996" s="450"/>
      <c r="W996" s="450"/>
      <c r="X996" s="450"/>
      <c r="Y996" s="450"/>
      <c r="Z996" s="450"/>
    </row>
    <row r="997" spans="1:26" x14ac:dyDescent="0.25">
      <c r="A997" s="446" t="s">
        <v>1144</v>
      </c>
      <c r="B997" s="446"/>
      <c r="C997" s="446" t="s">
        <v>408</v>
      </c>
      <c r="D997" s="446" t="s">
        <v>6648</v>
      </c>
      <c r="E997" s="448" t="s">
        <v>6649</v>
      </c>
      <c r="F997" s="448">
        <v>33025</v>
      </c>
      <c r="G997" s="446" t="s">
        <v>6618</v>
      </c>
      <c r="H997" s="446" t="s">
        <v>114</v>
      </c>
      <c r="I997" s="446" t="s">
        <v>4632</v>
      </c>
      <c r="J997" s="446" t="s">
        <v>4604</v>
      </c>
      <c r="K997" s="446" t="s">
        <v>6650</v>
      </c>
      <c r="L997" s="450"/>
      <c r="M997" s="450"/>
      <c r="N997" s="450"/>
      <c r="O997" s="450"/>
      <c r="P997" s="450"/>
      <c r="Q997" s="450"/>
      <c r="R997" s="450"/>
      <c r="S997" s="451"/>
      <c r="T997" s="450"/>
      <c r="U997" s="451"/>
      <c r="V997" s="450"/>
      <c r="W997" s="450"/>
      <c r="X997" s="450"/>
      <c r="Y997" s="450"/>
      <c r="Z997" s="450"/>
    </row>
    <row r="998" spans="1:26" x14ac:dyDescent="0.25">
      <c r="A998" s="446" t="s">
        <v>6651</v>
      </c>
      <c r="B998" s="446"/>
      <c r="C998" s="446" t="s">
        <v>1456</v>
      </c>
      <c r="D998" s="446" t="s">
        <v>6652</v>
      </c>
      <c r="E998" s="448" t="s">
        <v>6653</v>
      </c>
      <c r="F998" s="448">
        <v>33033</v>
      </c>
      <c r="G998" s="446" t="s">
        <v>6373</v>
      </c>
      <c r="H998" s="446" t="s">
        <v>6521</v>
      </c>
      <c r="I998" s="446" t="s">
        <v>4632</v>
      </c>
      <c r="J998" s="446" t="s">
        <v>746</v>
      </c>
      <c r="K998" s="446" t="s">
        <v>6654</v>
      </c>
      <c r="L998" s="450"/>
      <c r="M998" s="450"/>
      <c r="N998" s="450"/>
      <c r="O998" s="450"/>
      <c r="P998" s="450"/>
      <c r="Q998" s="450"/>
      <c r="R998" s="450"/>
      <c r="S998" s="451"/>
      <c r="T998" s="450"/>
      <c r="U998" s="451"/>
      <c r="V998" s="450"/>
      <c r="W998" s="450"/>
      <c r="X998" s="450"/>
      <c r="Y998" s="450"/>
      <c r="Z998" s="450"/>
    </row>
    <row r="999" spans="1:26" x14ac:dyDescent="0.25">
      <c r="A999" s="446" t="s">
        <v>1146</v>
      </c>
      <c r="B999" s="446"/>
      <c r="C999" s="446" t="s">
        <v>408</v>
      </c>
      <c r="D999" s="446" t="s">
        <v>6655</v>
      </c>
      <c r="E999" s="448" t="s">
        <v>6656</v>
      </c>
      <c r="F999" s="448">
        <v>33059</v>
      </c>
      <c r="G999" s="446" t="s">
        <v>114</v>
      </c>
      <c r="H999" s="446" t="s">
        <v>6657</v>
      </c>
      <c r="I999" s="446" t="s">
        <v>4632</v>
      </c>
      <c r="J999" s="446" t="s">
        <v>4604</v>
      </c>
      <c r="K999" s="446" t="s">
        <v>6658</v>
      </c>
      <c r="L999" s="450"/>
      <c r="M999" s="450"/>
      <c r="N999" s="450"/>
      <c r="O999" s="450"/>
      <c r="P999" s="450"/>
      <c r="Q999" s="450"/>
      <c r="R999" s="450"/>
      <c r="S999" s="451"/>
      <c r="T999" s="450"/>
      <c r="U999" s="451"/>
      <c r="V999" s="450"/>
      <c r="W999" s="450"/>
      <c r="X999" s="450"/>
      <c r="Y999" s="450"/>
      <c r="Z999" s="450"/>
    </row>
    <row r="1000" spans="1:26" x14ac:dyDescent="0.25">
      <c r="A1000" s="446" t="s">
        <v>1149</v>
      </c>
      <c r="B1000" s="446"/>
      <c r="C1000" s="446" t="s">
        <v>408</v>
      </c>
      <c r="D1000" s="446" t="s">
        <v>6659</v>
      </c>
      <c r="E1000" s="448" t="s">
        <v>6660</v>
      </c>
      <c r="F1000" s="448">
        <v>33073</v>
      </c>
      <c r="G1000" s="446" t="s">
        <v>1151</v>
      </c>
      <c r="H1000" s="446" t="s">
        <v>6661</v>
      </c>
      <c r="I1000" s="446" t="s">
        <v>5207</v>
      </c>
      <c r="J1000" s="446" t="s">
        <v>4604</v>
      </c>
      <c r="K1000" s="446" t="s">
        <v>6662</v>
      </c>
      <c r="L1000" s="450"/>
      <c r="M1000" s="450"/>
      <c r="N1000" s="450"/>
      <c r="O1000" s="450"/>
      <c r="P1000" s="450"/>
      <c r="Q1000" s="450"/>
      <c r="R1000" s="450"/>
      <c r="S1000" s="451"/>
      <c r="T1000" s="450"/>
      <c r="U1000" s="451"/>
      <c r="V1000" s="450"/>
      <c r="W1000" s="450"/>
      <c r="X1000" s="450"/>
      <c r="Y1000" s="450"/>
      <c r="Z1000" s="450"/>
    </row>
    <row r="1001" spans="1:26" x14ac:dyDescent="0.25">
      <c r="A1001" s="446" t="s">
        <v>1154</v>
      </c>
      <c r="B1001" s="446"/>
      <c r="C1001" s="446" t="s">
        <v>408</v>
      </c>
      <c r="D1001" s="446" t="s">
        <v>6663</v>
      </c>
      <c r="E1001" s="448" t="s">
        <v>6664</v>
      </c>
      <c r="F1001" s="448">
        <v>33114</v>
      </c>
      <c r="G1001" s="446" t="s">
        <v>6365</v>
      </c>
      <c r="H1001" s="446" t="s">
        <v>1156</v>
      </c>
      <c r="I1001" s="446" t="s">
        <v>4632</v>
      </c>
      <c r="J1001" s="446" t="s">
        <v>4604</v>
      </c>
      <c r="K1001" s="446" t="s">
        <v>6665</v>
      </c>
      <c r="L1001" s="450"/>
      <c r="M1001" s="450"/>
      <c r="N1001" s="450"/>
      <c r="O1001" s="450"/>
      <c r="P1001" s="450"/>
      <c r="Q1001" s="450"/>
      <c r="R1001" s="450"/>
      <c r="S1001" s="451"/>
      <c r="T1001" s="450"/>
      <c r="U1001" s="451"/>
      <c r="V1001" s="450"/>
      <c r="W1001" s="450"/>
      <c r="X1001" s="450"/>
      <c r="Y1001" s="450"/>
      <c r="Z1001" s="450"/>
    </row>
    <row r="1002" spans="1:26" x14ac:dyDescent="0.25">
      <c r="A1002" s="446" t="s">
        <v>1157</v>
      </c>
      <c r="B1002" s="446"/>
      <c r="C1002" s="446" t="s">
        <v>408</v>
      </c>
      <c r="D1002" s="446" t="s">
        <v>6666</v>
      </c>
      <c r="E1002" s="448" t="s">
        <v>6664</v>
      </c>
      <c r="F1002" s="448">
        <v>33114</v>
      </c>
      <c r="G1002" s="446" t="s">
        <v>372</v>
      </c>
      <c r="H1002" s="446" t="s">
        <v>1156</v>
      </c>
      <c r="I1002" s="446" t="s">
        <v>4632</v>
      </c>
      <c r="J1002" s="446" t="s">
        <v>4604</v>
      </c>
      <c r="K1002" s="446" t="s">
        <v>6667</v>
      </c>
      <c r="L1002" s="450"/>
      <c r="M1002" s="450"/>
      <c r="N1002" s="450"/>
      <c r="O1002" s="450"/>
      <c r="P1002" s="450"/>
      <c r="Q1002" s="450"/>
      <c r="R1002" s="450"/>
      <c r="S1002" s="451"/>
      <c r="T1002" s="450"/>
      <c r="U1002" s="451"/>
      <c r="V1002" s="450"/>
      <c r="W1002" s="450"/>
      <c r="X1002" s="450"/>
      <c r="Y1002" s="450"/>
      <c r="Z1002" s="450"/>
    </row>
    <row r="1003" spans="1:26" x14ac:dyDescent="0.25">
      <c r="A1003" s="446" t="s">
        <v>6668</v>
      </c>
      <c r="B1003" s="446"/>
      <c r="C1003" s="446" t="s">
        <v>4618</v>
      </c>
      <c r="D1003" s="446" t="s">
        <v>6669</v>
      </c>
      <c r="E1003" s="448" t="s">
        <v>6670</v>
      </c>
      <c r="F1003" s="448">
        <v>33140</v>
      </c>
      <c r="G1003" s="446" t="s">
        <v>6265</v>
      </c>
      <c r="H1003" s="446" t="s">
        <v>775</v>
      </c>
      <c r="I1003" s="446" t="s">
        <v>231</v>
      </c>
      <c r="J1003" s="446" t="s">
        <v>746</v>
      </c>
      <c r="K1003" s="446" t="s">
        <v>6671</v>
      </c>
      <c r="L1003" s="450"/>
      <c r="M1003" s="450"/>
      <c r="N1003" s="450"/>
      <c r="O1003" s="450"/>
      <c r="P1003" s="450"/>
      <c r="Q1003" s="450"/>
      <c r="R1003" s="450"/>
      <c r="S1003" s="451"/>
      <c r="T1003" s="450"/>
      <c r="U1003" s="451"/>
      <c r="V1003" s="450"/>
      <c r="W1003" s="450"/>
      <c r="X1003" s="450"/>
      <c r="Y1003" s="450"/>
      <c r="Z1003" s="450"/>
    </row>
    <row r="1004" spans="1:26" x14ac:dyDescent="0.25">
      <c r="A1004" s="446" t="s">
        <v>1159</v>
      </c>
      <c r="B1004" s="446"/>
      <c r="C1004" s="446" t="s">
        <v>408</v>
      </c>
      <c r="D1004" s="446" t="s">
        <v>6672</v>
      </c>
      <c r="E1004" s="448" t="s">
        <v>6673</v>
      </c>
      <c r="F1004" s="448">
        <v>33158</v>
      </c>
      <c r="G1004" s="446" t="s">
        <v>1162</v>
      </c>
      <c r="H1004" s="446" t="s">
        <v>1163</v>
      </c>
      <c r="I1004" s="446" t="s">
        <v>4632</v>
      </c>
      <c r="J1004" s="446" t="s">
        <v>4604</v>
      </c>
      <c r="K1004" s="446" t="s">
        <v>6674</v>
      </c>
      <c r="L1004" s="450"/>
      <c r="M1004" s="450"/>
      <c r="N1004" s="450"/>
      <c r="O1004" s="450"/>
      <c r="P1004" s="450"/>
      <c r="Q1004" s="450"/>
      <c r="R1004" s="450"/>
      <c r="S1004" s="451"/>
      <c r="T1004" s="450"/>
      <c r="U1004" s="451"/>
      <c r="V1004" s="450"/>
      <c r="W1004" s="450"/>
      <c r="X1004" s="450"/>
      <c r="Y1004" s="450"/>
      <c r="Z1004" s="450"/>
    </row>
    <row r="1005" spans="1:26" x14ac:dyDescent="0.25">
      <c r="A1005" s="446" t="s">
        <v>1164</v>
      </c>
      <c r="B1005" s="446"/>
      <c r="C1005" s="446" t="s">
        <v>585</v>
      </c>
      <c r="D1005" s="446" t="s">
        <v>6675</v>
      </c>
      <c r="E1005" s="448" t="s">
        <v>2939</v>
      </c>
      <c r="F1005" s="448">
        <v>33205</v>
      </c>
      <c r="G1005" s="446" t="s">
        <v>5474</v>
      </c>
      <c r="H1005" s="446" t="s">
        <v>6676</v>
      </c>
      <c r="I1005" s="446" t="s">
        <v>4632</v>
      </c>
      <c r="J1005" s="446" t="s">
        <v>4604</v>
      </c>
      <c r="K1005" s="446" t="s">
        <v>6677</v>
      </c>
      <c r="L1005" s="450"/>
      <c r="M1005" s="450"/>
      <c r="N1005" s="450"/>
      <c r="O1005" s="450"/>
      <c r="P1005" s="450"/>
      <c r="Q1005" s="450"/>
      <c r="R1005" s="450"/>
      <c r="S1005" s="451"/>
      <c r="T1005" s="450"/>
      <c r="U1005" s="451"/>
      <c r="V1005" s="450"/>
      <c r="W1005" s="450"/>
      <c r="X1005" s="450"/>
      <c r="Y1005" s="450"/>
      <c r="Z1005" s="450"/>
    </row>
    <row r="1006" spans="1:26" x14ac:dyDescent="0.25">
      <c r="A1006" s="446" t="s">
        <v>1168</v>
      </c>
      <c r="B1006" s="446"/>
      <c r="C1006" s="446" t="s">
        <v>408</v>
      </c>
      <c r="D1006" s="446" t="s">
        <v>6678</v>
      </c>
      <c r="E1006" s="448" t="s">
        <v>6679</v>
      </c>
      <c r="F1006" s="448">
        <v>33277</v>
      </c>
      <c r="G1006" s="446" t="s">
        <v>1170</v>
      </c>
      <c r="H1006" s="446" t="s">
        <v>6680</v>
      </c>
      <c r="I1006" s="446" t="s">
        <v>4632</v>
      </c>
      <c r="J1006" s="446" t="s">
        <v>4604</v>
      </c>
      <c r="K1006" s="446" t="s">
        <v>6681</v>
      </c>
      <c r="L1006" s="450"/>
      <c r="M1006" s="450"/>
      <c r="N1006" s="450"/>
      <c r="O1006" s="450"/>
      <c r="P1006" s="450"/>
      <c r="Q1006" s="450"/>
      <c r="R1006" s="450"/>
      <c r="S1006" s="451"/>
      <c r="T1006" s="450"/>
      <c r="U1006" s="451"/>
      <c r="V1006" s="450"/>
      <c r="W1006" s="450"/>
      <c r="X1006" s="450"/>
      <c r="Y1006" s="450"/>
      <c r="Z1006" s="450"/>
    </row>
    <row r="1007" spans="1:26" x14ac:dyDescent="0.25">
      <c r="A1007" s="446" t="s">
        <v>6682</v>
      </c>
      <c r="B1007" s="446"/>
      <c r="C1007" s="446" t="s">
        <v>1456</v>
      </c>
      <c r="D1007" s="446" t="s">
        <v>6683</v>
      </c>
      <c r="E1007" s="448" t="s">
        <v>6684</v>
      </c>
      <c r="F1007" s="448">
        <v>33315</v>
      </c>
      <c r="G1007" s="446" t="s">
        <v>6434</v>
      </c>
      <c r="H1007" s="446" t="s">
        <v>6685</v>
      </c>
      <c r="I1007" s="446" t="s">
        <v>4632</v>
      </c>
      <c r="J1007" s="446" t="s">
        <v>746</v>
      </c>
      <c r="K1007" s="446" t="s">
        <v>6686</v>
      </c>
      <c r="L1007" s="450"/>
      <c r="M1007" s="450"/>
      <c r="N1007" s="450"/>
      <c r="O1007" s="450"/>
      <c r="P1007" s="450"/>
      <c r="Q1007" s="450"/>
      <c r="R1007" s="450"/>
      <c r="S1007" s="451"/>
      <c r="T1007" s="450"/>
      <c r="U1007" s="451"/>
      <c r="V1007" s="450"/>
      <c r="W1007" s="450"/>
      <c r="X1007" s="450"/>
      <c r="Y1007" s="450"/>
      <c r="Z1007" s="450"/>
    </row>
    <row r="1008" spans="1:26" x14ac:dyDescent="0.25">
      <c r="A1008" s="446" t="s">
        <v>6687</v>
      </c>
      <c r="B1008" s="446"/>
      <c r="C1008" s="446" t="s">
        <v>1456</v>
      </c>
      <c r="D1008" s="446" t="s">
        <v>6688</v>
      </c>
      <c r="E1008" s="448" t="s">
        <v>6689</v>
      </c>
      <c r="F1008" s="448">
        <v>33378</v>
      </c>
      <c r="G1008" s="446" t="s">
        <v>6373</v>
      </c>
      <c r="H1008" s="446" t="s">
        <v>6521</v>
      </c>
      <c r="I1008" s="446" t="s">
        <v>4632</v>
      </c>
      <c r="J1008" s="446" t="s">
        <v>746</v>
      </c>
      <c r="K1008" s="446" t="s">
        <v>6690</v>
      </c>
      <c r="L1008" s="450"/>
      <c r="M1008" s="450"/>
      <c r="N1008" s="450"/>
      <c r="O1008" s="450"/>
      <c r="P1008" s="450"/>
      <c r="Q1008" s="450"/>
      <c r="R1008" s="450"/>
      <c r="S1008" s="451"/>
      <c r="T1008" s="450"/>
      <c r="U1008" s="451"/>
      <c r="V1008" s="450"/>
      <c r="W1008" s="450"/>
      <c r="X1008" s="450"/>
      <c r="Y1008" s="450"/>
      <c r="Z1008" s="450"/>
    </row>
    <row r="1009" spans="1:26" x14ac:dyDescent="0.25">
      <c r="A1009" s="446" t="s">
        <v>1172</v>
      </c>
      <c r="B1009" s="446"/>
      <c r="C1009" s="446" t="s">
        <v>461</v>
      </c>
      <c r="D1009" s="446" t="s">
        <v>6691</v>
      </c>
      <c r="E1009" s="448" t="s">
        <v>6692</v>
      </c>
      <c r="F1009" s="448">
        <v>33399</v>
      </c>
      <c r="G1009" s="446" t="s">
        <v>1174</v>
      </c>
      <c r="H1009" s="446" t="s">
        <v>1174</v>
      </c>
      <c r="I1009" s="446" t="s">
        <v>4632</v>
      </c>
      <c r="J1009" s="446" t="s">
        <v>760</v>
      </c>
      <c r="K1009" s="446" t="s">
        <v>6693</v>
      </c>
      <c r="L1009" s="450"/>
      <c r="M1009" s="450"/>
      <c r="N1009" s="450"/>
      <c r="O1009" s="450"/>
      <c r="P1009" s="450"/>
      <c r="Q1009" s="450"/>
      <c r="R1009" s="450"/>
      <c r="S1009" s="451"/>
      <c r="T1009" s="450"/>
      <c r="U1009" s="451"/>
      <c r="V1009" s="450"/>
      <c r="W1009" s="450"/>
      <c r="X1009" s="450"/>
      <c r="Y1009" s="450"/>
      <c r="Z1009" s="450"/>
    </row>
    <row r="1010" spans="1:26" x14ac:dyDescent="0.25">
      <c r="A1010" s="446" t="s">
        <v>6694</v>
      </c>
      <c r="B1010" s="446"/>
      <c r="C1010" s="446" t="s">
        <v>1456</v>
      </c>
      <c r="D1010" s="446" t="s">
        <v>6695</v>
      </c>
      <c r="E1010" s="448" t="s">
        <v>6696</v>
      </c>
      <c r="F1010" s="448">
        <v>33444</v>
      </c>
      <c r="G1010" s="446" t="s">
        <v>6697</v>
      </c>
      <c r="H1010" s="446" t="s">
        <v>6685</v>
      </c>
      <c r="I1010" s="446" t="s">
        <v>4632</v>
      </c>
      <c r="J1010" s="446" t="s">
        <v>746</v>
      </c>
      <c r="K1010" s="446" t="s">
        <v>6698</v>
      </c>
      <c r="L1010" s="450"/>
      <c r="M1010" s="450"/>
      <c r="N1010" s="450"/>
      <c r="O1010" s="450"/>
      <c r="P1010" s="450"/>
      <c r="Q1010" s="450"/>
      <c r="R1010" s="450"/>
      <c r="S1010" s="451"/>
      <c r="T1010" s="450"/>
      <c r="U1010" s="451"/>
      <c r="V1010" s="450"/>
      <c r="W1010" s="450"/>
      <c r="X1010" s="450"/>
      <c r="Y1010" s="450"/>
      <c r="Z1010" s="450"/>
    </row>
    <row r="1011" spans="1:26" x14ac:dyDescent="0.25">
      <c r="A1011" s="446" t="s">
        <v>6699</v>
      </c>
      <c r="B1011" s="446"/>
      <c r="C1011" s="446" t="s">
        <v>1456</v>
      </c>
      <c r="D1011" s="446" t="s">
        <v>6700</v>
      </c>
      <c r="E1011" s="448" t="s">
        <v>6701</v>
      </c>
      <c r="F1011" s="448">
        <v>33451</v>
      </c>
      <c r="G1011" s="446" t="s">
        <v>6702</v>
      </c>
      <c r="H1011" s="446" t="s">
        <v>1246</v>
      </c>
      <c r="I1011" s="446" t="s">
        <v>4632</v>
      </c>
      <c r="J1011" s="446" t="s">
        <v>746</v>
      </c>
      <c r="K1011" s="446" t="s">
        <v>6703</v>
      </c>
      <c r="L1011" s="450"/>
      <c r="M1011" s="450"/>
      <c r="N1011" s="450"/>
      <c r="O1011" s="450"/>
      <c r="P1011" s="450"/>
      <c r="Q1011" s="450"/>
      <c r="R1011" s="450"/>
      <c r="S1011" s="451"/>
      <c r="T1011" s="450"/>
      <c r="U1011" s="451"/>
      <c r="V1011" s="450"/>
      <c r="W1011" s="450"/>
      <c r="X1011" s="450"/>
      <c r="Y1011" s="450"/>
      <c r="Z1011" s="450"/>
    </row>
    <row r="1012" spans="1:26" x14ac:dyDescent="0.25">
      <c r="A1012" s="446" t="s">
        <v>1175</v>
      </c>
      <c r="B1012" s="446"/>
      <c r="C1012" s="446" t="s">
        <v>545</v>
      </c>
      <c r="D1012" s="446" t="s">
        <v>6704</v>
      </c>
      <c r="E1012" s="448" t="s">
        <v>6705</v>
      </c>
      <c r="F1012" s="448">
        <v>33456</v>
      </c>
      <c r="G1012" s="446" t="s">
        <v>6706</v>
      </c>
      <c r="H1012" s="446" t="s">
        <v>5240</v>
      </c>
      <c r="I1012" s="446" t="s">
        <v>4632</v>
      </c>
      <c r="J1012" s="446" t="s">
        <v>4604</v>
      </c>
      <c r="K1012" s="446" t="s">
        <v>6707</v>
      </c>
      <c r="L1012" s="450"/>
      <c r="M1012" s="450"/>
      <c r="N1012" s="450"/>
      <c r="O1012" s="450"/>
      <c r="P1012" s="450"/>
      <c r="Q1012" s="450"/>
      <c r="R1012" s="450"/>
      <c r="S1012" s="451"/>
      <c r="T1012" s="450"/>
      <c r="U1012" s="451"/>
      <c r="V1012" s="450"/>
      <c r="W1012" s="450"/>
      <c r="X1012" s="450"/>
      <c r="Y1012" s="450"/>
      <c r="Z1012" s="450"/>
    </row>
    <row r="1013" spans="1:26" x14ac:dyDescent="0.25">
      <c r="A1013" s="446" t="s">
        <v>6708</v>
      </c>
      <c r="B1013" s="446"/>
      <c r="C1013" s="446" t="s">
        <v>1456</v>
      </c>
      <c r="D1013" s="446" t="s">
        <v>6709</v>
      </c>
      <c r="E1013" s="448" t="s">
        <v>6710</v>
      </c>
      <c r="F1013" s="448">
        <v>33456</v>
      </c>
      <c r="G1013" s="446" t="s">
        <v>945</v>
      </c>
      <c r="H1013" s="446" t="s">
        <v>6711</v>
      </c>
      <c r="I1013" s="446" t="s">
        <v>5207</v>
      </c>
      <c r="J1013" s="446" t="s">
        <v>746</v>
      </c>
      <c r="K1013" s="446" t="s">
        <v>6712</v>
      </c>
      <c r="L1013" s="450"/>
      <c r="M1013" s="450"/>
      <c r="N1013" s="450"/>
      <c r="O1013" s="450"/>
      <c r="P1013" s="450"/>
      <c r="Q1013" s="450"/>
      <c r="R1013" s="450"/>
      <c r="S1013" s="451"/>
      <c r="T1013" s="450"/>
      <c r="U1013" s="451"/>
      <c r="V1013" s="450"/>
      <c r="W1013" s="450"/>
      <c r="X1013" s="450"/>
      <c r="Y1013" s="450"/>
      <c r="Z1013" s="450"/>
    </row>
    <row r="1014" spans="1:26" x14ac:dyDescent="0.25">
      <c r="A1014" s="446" t="s">
        <v>1180</v>
      </c>
      <c r="B1014" s="446"/>
      <c r="C1014" s="446" t="s">
        <v>1181</v>
      </c>
      <c r="D1014" s="446" t="s">
        <v>6713</v>
      </c>
      <c r="E1014" s="448" t="s">
        <v>6714</v>
      </c>
      <c r="F1014" s="448">
        <v>33522</v>
      </c>
      <c r="G1014" s="446" t="s">
        <v>1183</v>
      </c>
      <c r="H1014" s="446" t="s">
        <v>1184</v>
      </c>
      <c r="I1014" s="446" t="s">
        <v>5207</v>
      </c>
      <c r="J1014" s="446" t="s">
        <v>4604</v>
      </c>
      <c r="K1014" s="446" t="s">
        <v>6715</v>
      </c>
      <c r="L1014" s="450"/>
      <c r="M1014" s="450"/>
      <c r="N1014" s="450"/>
      <c r="O1014" s="450"/>
      <c r="P1014" s="450"/>
      <c r="Q1014" s="450"/>
      <c r="R1014" s="450"/>
      <c r="S1014" s="451"/>
      <c r="T1014" s="450"/>
      <c r="U1014" s="451"/>
      <c r="V1014" s="450"/>
      <c r="W1014" s="450"/>
      <c r="X1014" s="450"/>
      <c r="Y1014" s="450"/>
      <c r="Z1014" s="450"/>
    </row>
    <row r="1015" spans="1:26" x14ac:dyDescent="0.25">
      <c r="A1015" s="446" t="s">
        <v>6716</v>
      </c>
      <c r="B1015" s="446"/>
      <c r="C1015" s="446" t="s">
        <v>1902</v>
      </c>
      <c r="D1015" s="446" t="s">
        <v>6717</v>
      </c>
      <c r="E1015" s="448" t="s">
        <v>6718</v>
      </c>
      <c r="F1015" s="448">
        <v>33528</v>
      </c>
      <c r="G1015" s="446" t="s">
        <v>6719</v>
      </c>
      <c r="H1015" s="446" t="s">
        <v>6720</v>
      </c>
      <c r="I1015" s="446" t="s">
        <v>4632</v>
      </c>
      <c r="J1015" s="446" t="s">
        <v>760</v>
      </c>
      <c r="K1015" s="446" t="s">
        <v>6721</v>
      </c>
      <c r="L1015" s="450"/>
      <c r="M1015" s="450"/>
      <c r="N1015" s="450"/>
      <c r="O1015" s="450"/>
      <c r="P1015" s="450"/>
      <c r="Q1015" s="450"/>
      <c r="R1015" s="450"/>
      <c r="S1015" s="451"/>
      <c r="T1015" s="450"/>
      <c r="U1015" s="451"/>
      <c r="V1015" s="450"/>
      <c r="W1015" s="450"/>
      <c r="X1015" s="450"/>
      <c r="Y1015" s="450"/>
      <c r="Z1015" s="450"/>
    </row>
    <row r="1016" spans="1:26" x14ac:dyDescent="0.25">
      <c r="A1016" s="446" t="s">
        <v>1185</v>
      </c>
      <c r="B1016" s="446"/>
      <c r="C1016" s="446" t="s">
        <v>1902</v>
      </c>
      <c r="D1016" s="446" t="s">
        <v>6722</v>
      </c>
      <c r="E1016" s="448" t="s">
        <v>6723</v>
      </c>
      <c r="F1016" s="448">
        <v>33574</v>
      </c>
      <c r="G1016" s="446" t="s">
        <v>1170</v>
      </c>
      <c r="H1016" s="446" t="s">
        <v>6724</v>
      </c>
      <c r="I1016" s="446" t="s">
        <v>4632</v>
      </c>
      <c r="J1016" s="446" t="s">
        <v>760</v>
      </c>
      <c r="K1016" s="446" t="s">
        <v>6725</v>
      </c>
      <c r="L1016" s="450"/>
      <c r="M1016" s="450"/>
      <c r="N1016" s="450"/>
      <c r="O1016" s="450"/>
      <c r="P1016" s="450"/>
      <c r="Q1016" s="450"/>
      <c r="R1016" s="450"/>
      <c r="S1016" s="451"/>
      <c r="T1016" s="450"/>
      <c r="U1016" s="451"/>
      <c r="V1016" s="450"/>
      <c r="W1016" s="450"/>
      <c r="X1016" s="450"/>
      <c r="Y1016" s="450"/>
      <c r="Z1016" s="450"/>
    </row>
    <row r="1017" spans="1:26" x14ac:dyDescent="0.25">
      <c r="A1017" s="446" t="s">
        <v>1189</v>
      </c>
      <c r="B1017" s="446"/>
      <c r="C1017" s="446" t="s">
        <v>461</v>
      </c>
      <c r="D1017" s="446" t="s">
        <v>6726</v>
      </c>
      <c r="E1017" s="448" t="s">
        <v>6727</v>
      </c>
      <c r="F1017" s="448">
        <v>33682</v>
      </c>
      <c r="G1017" s="446" t="s">
        <v>1139</v>
      </c>
      <c r="H1017" s="446" t="s">
        <v>102</v>
      </c>
      <c r="I1017" s="446" t="s">
        <v>4632</v>
      </c>
      <c r="J1017" s="446" t="s">
        <v>760</v>
      </c>
      <c r="K1017" s="446" t="s">
        <v>6728</v>
      </c>
      <c r="L1017" s="450"/>
      <c r="M1017" s="450"/>
      <c r="N1017" s="450"/>
      <c r="O1017" s="450"/>
      <c r="P1017" s="450"/>
      <c r="Q1017" s="450"/>
      <c r="R1017" s="450"/>
      <c r="S1017" s="451"/>
      <c r="T1017" s="450"/>
      <c r="U1017" s="451"/>
      <c r="V1017" s="450"/>
      <c r="W1017" s="450"/>
      <c r="X1017" s="450"/>
      <c r="Y1017" s="450"/>
      <c r="Z1017" s="450"/>
    </row>
    <row r="1018" spans="1:26" x14ac:dyDescent="0.25">
      <c r="A1018" s="446" t="s">
        <v>1192</v>
      </c>
      <c r="B1018" s="446"/>
      <c r="C1018" s="446" t="s">
        <v>619</v>
      </c>
      <c r="D1018" s="446" t="s">
        <v>6729</v>
      </c>
      <c r="E1018" s="448" t="s">
        <v>6730</v>
      </c>
      <c r="F1018" s="448">
        <v>33693</v>
      </c>
      <c r="G1018" s="446" t="s">
        <v>1195</v>
      </c>
      <c r="H1018" s="446" t="s">
        <v>6731</v>
      </c>
      <c r="I1018" s="446" t="s">
        <v>4632</v>
      </c>
      <c r="J1018" s="446" t="s">
        <v>404</v>
      </c>
      <c r="K1018" s="446" t="s">
        <v>6732</v>
      </c>
      <c r="L1018" s="450"/>
      <c r="M1018" s="450"/>
      <c r="N1018" s="450"/>
      <c r="O1018" s="450"/>
      <c r="P1018" s="450"/>
      <c r="Q1018" s="450"/>
      <c r="R1018" s="450"/>
      <c r="S1018" s="451"/>
      <c r="T1018" s="450"/>
      <c r="U1018" s="451"/>
      <c r="V1018" s="450"/>
      <c r="W1018" s="450"/>
      <c r="X1018" s="450"/>
      <c r="Y1018" s="450"/>
      <c r="Z1018" s="450"/>
    </row>
    <row r="1019" spans="1:26" x14ac:dyDescent="0.25">
      <c r="A1019" s="446" t="s">
        <v>1197</v>
      </c>
      <c r="B1019" s="446"/>
      <c r="C1019" s="446" t="s">
        <v>408</v>
      </c>
      <c r="D1019" s="446" t="s">
        <v>6733</v>
      </c>
      <c r="E1019" s="448" t="s">
        <v>6734</v>
      </c>
      <c r="F1019" s="448">
        <v>33737</v>
      </c>
      <c r="G1019" s="446" t="s">
        <v>1156</v>
      </c>
      <c r="H1019" s="446" t="s">
        <v>1199</v>
      </c>
      <c r="I1019" s="446" t="s">
        <v>4632</v>
      </c>
      <c r="J1019" s="446" t="s">
        <v>4604</v>
      </c>
      <c r="K1019" s="446" t="s">
        <v>6735</v>
      </c>
      <c r="L1019" s="450"/>
      <c r="M1019" s="450"/>
      <c r="N1019" s="450"/>
      <c r="O1019" s="450"/>
      <c r="P1019" s="450"/>
      <c r="Q1019" s="450"/>
      <c r="R1019" s="450"/>
      <c r="S1019" s="451"/>
      <c r="T1019" s="450"/>
      <c r="U1019" s="451"/>
      <c r="V1019" s="450"/>
      <c r="W1019" s="450"/>
      <c r="X1019" s="450"/>
      <c r="Y1019" s="450"/>
      <c r="Z1019" s="450"/>
    </row>
    <row r="1020" spans="1:26" x14ac:dyDescent="0.25">
      <c r="A1020" s="446" t="s">
        <v>1202</v>
      </c>
      <c r="B1020" s="446"/>
      <c r="C1020" s="446" t="s">
        <v>408</v>
      </c>
      <c r="D1020" s="446" t="s">
        <v>6736</v>
      </c>
      <c r="E1020" s="448" t="s">
        <v>6737</v>
      </c>
      <c r="F1020" s="448">
        <v>33750</v>
      </c>
      <c r="G1020" s="446" t="s">
        <v>6738</v>
      </c>
      <c r="H1020" s="446" t="s">
        <v>949</v>
      </c>
      <c r="I1020" s="446" t="s">
        <v>4632</v>
      </c>
      <c r="J1020" s="446" t="s">
        <v>4604</v>
      </c>
      <c r="K1020" s="446" t="s">
        <v>6739</v>
      </c>
      <c r="L1020" s="450"/>
      <c r="M1020" s="450"/>
      <c r="N1020" s="450"/>
      <c r="O1020" s="450"/>
      <c r="P1020" s="450"/>
      <c r="Q1020" s="450"/>
      <c r="R1020" s="450"/>
      <c r="S1020" s="451"/>
      <c r="T1020" s="450"/>
      <c r="U1020" s="451"/>
      <c r="V1020" s="450"/>
      <c r="W1020" s="450"/>
      <c r="X1020" s="450"/>
      <c r="Y1020" s="450"/>
      <c r="Z1020" s="450"/>
    </row>
    <row r="1021" spans="1:26" x14ac:dyDescent="0.25">
      <c r="A1021" s="446" t="s">
        <v>1207</v>
      </c>
      <c r="B1021" s="446"/>
      <c r="C1021" s="446" t="s">
        <v>408</v>
      </c>
      <c r="D1021" s="446" t="s">
        <v>6740</v>
      </c>
      <c r="E1021" s="448" t="s">
        <v>6737</v>
      </c>
      <c r="F1021" s="448">
        <v>33750</v>
      </c>
      <c r="G1021" s="446" t="s">
        <v>6738</v>
      </c>
      <c r="H1021" s="446" t="s">
        <v>1054</v>
      </c>
      <c r="I1021" s="446" t="s">
        <v>4632</v>
      </c>
      <c r="J1021" s="446" t="s">
        <v>4604</v>
      </c>
      <c r="K1021" s="446" t="s">
        <v>6741</v>
      </c>
      <c r="L1021" s="450"/>
      <c r="M1021" s="450"/>
      <c r="N1021" s="450"/>
      <c r="O1021" s="450"/>
      <c r="P1021" s="450"/>
      <c r="Q1021" s="450"/>
      <c r="R1021" s="450"/>
      <c r="S1021" s="451"/>
      <c r="T1021" s="450"/>
      <c r="U1021" s="451"/>
      <c r="V1021" s="450"/>
      <c r="W1021" s="450"/>
      <c r="X1021" s="450"/>
      <c r="Y1021" s="450"/>
      <c r="Z1021" s="450"/>
    </row>
    <row r="1022" spans="1:26" x14ac:dyDescent="0.25">
      <c r="A1022" s="446" t="s">
        <v>1209</v>
      </c>
      <c r="B1022" s="446"/>
      <c r="C1022" s="446" t="s">
        <v>408</v>
      </c>
      <c r="D1022" s="446" t="s">
        <v>6742</v>
      </c>
      <c r="E1022" s="448" t="s">
        <v>6737</v>
      </c>
      <c r="F1022" s="448">
        <v>33750</v>
      </c>
      <c r="G1022" s="446" t="s">
        <v>6738</v>
      </c>
      <c r="H1022" s="446" t="s">
        <v>1036</v>
      </c>
      <c r="I1022" s="446" t="s">
        <v>4632</v>
      </c>
      <c r="J1022" s="446" t="s">
        <v>4604</v>
      </c>
      <c r="K1022" s="446" t="s">
        <v>6743</v>
      </c>
      <c r="L1022" s="450"/>
      <c r="M1022" s="450"/>
      <c r="N1022" s="450"/>
      <c r="O1022" s="450"/>
      <c r="P1022" s="450"/>
      <c r="Q1022" s="450"/>
      <c r="R1022" s="450"/>
      <c r="S1022" s="451"/>
      <c r="T1022" s="450"/>
      <c r="U1022" s="451"/>
      <c r="V1022" s="450"/>
      <c r="W1022" s="450"/>
      <c r="X1022" s="450"/>
      <c r="Y1022" s="450"/>
      <c r="Z1022" s="450"/>
    </row>
    <row r="1023" spans="1:26" x14ac:dyDescent="0.25">
      <c r="A1023" s="446" t="s">
        <v>1211</v>
      </c>
      <c r="B1023" s="446"/>
      <c r="C1023" s="446" t="s">
        <v>408</v>
      </c>
      <c r="D1023" s="446" t="s">
        <v>6744</v>
      </c>
      <c r="E1023" s="448" t="s">
        <v>6737</v>
      </c>
      <c r="F1023" s="448">
        <v>33750</v>
      </c>
      <c r="G1023" s="446" t="s">
        <v>6738</v>
      </c>
      <c r="H1023" s="446" t="s">
        <v>1039</v>
      </c>
      <c r="I1023" s="446" t="s">
        <v>4632</v>
      </c>
      <c r="J1023" s="446" t="s">
        <v>4604</v>
      </c>
      <c r="K1023" s="446" t="s">
        <v>6745</v>
      </c>
      <c r="L1023" s="450"/>
      <c r="M1023" s="450"/>
      <c r="N1023" s="450"/>
      <c r="O1023" s="450"/>
      <c r="P1023" s="450"/>
      <c r="Q1023" s="450"/>
      <c r="R1023" s="450"/>
      <c r="S1023" s="451"/>
      <c r="T1023" s="450"/>
      <c r="U1023" s="451"/>
      <c r="V1023" s="450"/>
      <c r="W1023" s="450"/>
      <c r="X1023" s="450"/>
      <c r="Y1023" s="450"/>
      <c r="Z1023" s="450"/>
    </row>
    <row r="1024" spans="1:26" x14ac:dyDescent="0.25">
      <c r="A1024" s="446" t="s">
        <v>1213</v>
      </c>
      <c r="B1024" s="446"/>
      <c r="C1024" s="446" t="s">
        <v>408</v>
      </c>
      <c r="D1024" s="446" t="s">
        <v>6746</v>
      </c>
      <c r="E1024" s="448" t="s">
        <v>6737</v>
      </c>
      <c r="F1024" s="448">
        <v>33750</v>
      </c>
      <c r="G1024" s="446" t="s">
        <v>6738</v>
      </c>
      <c r="H1024" s="446" t="s">
        <v>1215</v>
      </c>
      <c r="I1024" s="446" t="s">
        <v>4632</v>
      </c>
      <c r="J1024" s="446" t="s">
        <v>4604</v>
      </c>
      <c r="K1024" s="446" t="s">
        <v>6747</v>
      </c>
      <c r="L1024" s="450"/>
      <c r="M1024" s="450"/>
      <c r="N1024" s="450"/>
      <c r="O1024" s="450"/>
      <c r="P1024" s="450"/>
      <c r="Q1024" s="450"/>
      <c r="R1024" s="450"/>
      <c r="S1024" s="451"/>
      <c r="T1024" s="450"/>
      <c r="U1024" s="451"/>
      <c r="V1024" s="450"/>
      <c r="W1024" s="450"/>
      <c r="X1024" s="450"/>
      <c r="Y1024" s="450"/>
      <c r="Z1024" s="450"/>
    </row>
    <row r="1025" spans="1:26" x14ac:dyDescent="0.25">
      <c r="A1025" s="446" t="s">
        <v>1216</v>
      </c>
      <c r="B1025" s="446"/>
      <c r="C1025" s="446" t="s">
        <v>408</v>
      </c>
      <c r="D1025" s="446" t="s">
        <v>6748</v>
      </c>
      <c r="E1025" s="448" t="s">
        <v>6737</v>
      </c>
      <c r="F1025" s="448">
        <v>33750</v>
      </c>
      <c r="G1025" s="446" t="s">
        <v>6738</v>
      </c>
      <c r="H1025" s="446" t="s">
        <v>1045</v>
      </c>
      <c r="I1025" s="446" t="s">
        <v>4632</v>
      </c>
      <c r="J1025" s="446" t="s">
        <v>4604</v>
      </c>
      <c r="K1025" s="446" t="s">
        <v>6749</v>
      </c>
      <c r="L1025" s="450"/>
      <c r="M1025" s="450"/>
      <c r="N1025" s="450"/>
      <c r="O1025" s="450"/>
      <c r="P1025" s="450"/>
      <c r="Q1025" s="450"/>
      <c r="R1025" s="450"/>
      <c r="S1025" s="451"/>
      <c r="T1025" s="450"/>
      <c r="U1025" s="451"/>
      <c r="V1025" s="450"/>
      <c r="W1025" s="450"/>
      <c r="X1025" s="450"/>
      <c r="Y1025" s="450"/>
      <c r="Z1025" s="450"/>
    </row>
    <row r="1026" spans="1:26" x14ac:dyDescent="0.25">
      <c r="A1026" s="446" t="s">
        <v>1218</v>
      </c>
      <c r="B1026" s="446"/>
      <c r="C1026" s="446" t="s">
        <v>408</v>
      </c>
      <c r="D1026" s="446" t="s">
        <v>6750</v>
      </c>
      <c r="E1026" s="448" t="s">
        <v>6751</v>
      </c>
      <c r="F1026" s="448">
        <v>33857</v>
      </c>
      <c r="G1026" s="446" t="s">
        <v>1220</v>
      </c>
      <c r="H1026" s="446" t="s">
        <v>1221</v>
      </c>
      <c r="I1026" s="446" t="s">
        <v>4632</v>
      </c>
      <c r="J1026" s="446" t="s">
        <v>4604</v>
      </c>
      <c r="K1026" s="446" t="s">
        <v>6752</v>
      </c>
      <c r="L1026" s="450"/>
      <c r="M1026" s="450"/>
      <c r="N1026" s="450"/>
      <c r="O1026" s="450"/>
      <c r="P1026" s="450"/>
      <c r="Q1026" s="450"/>
      <c r="R1026" s="450"/>
      <c r="S1026" s="451"/>
      <c r="T1026" s="450"/>
      <c r="U1026" s="451"/>
      <c r="V1026" s="450"/>
      <c r="W1026" s="450"/>
      <c r="X1026" s="450"/>
      <c r="Y1026" s="450"/>
      <c r="Z1026" s="450"/>
    </row>
    <row r="1027" spans="1:26" x14ac:dyDescent="0.25">
      <c r="A1027" s="446" t="s">
        <v>1225</v>
      </c>
      <c r="B1027" s="446"/>
      <c r="C1027" s="446" t="s">
        <v>408</v>
      </c>
      <c r="D1027" s="446" t="s">
        <v>6753</v>
      </c>
      <c r="E1027" s="448" t="s">
        <v>6754</v>
      </c>
      <c r="F1027" s="448">
        <v>33868</v>
      </c>
      <c r="G1027" s="446" t="s">
        <v>989</v>
      </c>
      <c r="H1027" s="446" t="s">
        <v>234</v>
      </c>
      <c r="I1027" s="446" t="s">
        <v>4632</v>
      </c>
      <c r="J1027" s="446" t="s">
        <v>4604</v>
      </c>
      <c r="K1027" s="446" t="s">
        <v>6755</v>
      </c>
      <c r="L1027" s="450"/>
      <c r="M1027" s="450"/>
      <c r="N1027" s="450"/>
      <c r="O1027" s="450"/>
      <c r="P1027" s="450"/>
      <c r="Q1027" s="450"/>
      <c r="R1027" s="450"/>
      <c r="S1027" s="451"/>
      <c r="T1027" s="450"/>
      <c r="U1027" s="451"/>
      <c r="V1027" s="450"/>
      <c r="W1027" s="450"/>
      <c r="X1027" s="450"/>
      <c r="Y1027" s="450"/>
      <c r="Z1027" s="450"/>
    </row>
    <row r="1028" spans="1:26" x14ac:dyDescent="0.25">
      <c r="A1028" s="446" t="s">
        <v>6756</v>
      </c>
      <c r="B1028" s="446"/>
      <c r="C1028" s="446" t="s">
        <v>1456</v>
      </c>
      <c r="D1028" s="446" t="s">
        <v>6757</v>
      </c>
      <c r="E1028" s="448" t="s">
        <v>6758</v>
      </c>
      <c r="F1028" s="448">
        <v>33898</v>
      </c>
      <c r="G1028" s="446" t="s">
        <v>6759</v>
      </c>
      <c r="H1028" s="446" t="s">
        <v>6760</v>
      </c>
      <c r="I1028" s="446" t="s">
        <v>5207</v>
      </c>
      <c r="J1028" s="446" t="s">
        <v>746</v>
      </c>
      <c r="K1028" s="446" t="s">
        <v>6761</v>
      </c>
      <c r="L1028" s="450"/>
      <c r="M1028" s="450"/>
      <c r="N1028" s="450"/>
      <c r="O1028" s="450"/>
      <c r="P1028" s="450"/>
      <c r="Q1028" s="450"/>
      <c r="R1028" s="450"/>
      <c r="S1028" s="451"/>
      <c r="T1028" s="450"/>
      <c r="U1028" s="451"/>
      <c r="V1028" s="450"/>
      <c r="W1028" s="450"/>
      <c r="X1028" s="450"/>
      <c r="Y1028" s="450"/>
      <c r="Z1028" s="450"/>
    </row>
    <row r="1029" spans="1:26" x14ac:dyDescent="0.25">
      <c r="A1029" s="446" t="s">
        <v>6762</v>
      </c>
      <c r="B1029" s="446"/>
      <c r="C1029" s="446" t="s">
        <v>1456</v>
      </c>
      <c r="D1029" s="446" t="s">
        <v>6763</v>
      </c>
      <c r="E1029" s="448" t="s">
        <v>6764</v>
      </c>
      <c r="F1029" s="448">
        <v>33966</v>
      </c>
      <c r="G1029" s="446" t="s">
        <v>6765</v>
      </c>
      <c r="H1029" s="446" t="s">
        <v>1359</v>
      </c>
      <c r="I1029" s="446" t="s">
        <v>4632</v>
      </c>
      <c r="J1029" s="446" t="s">
        <v>746</v>
      </c>
      <c r="K1029" s="446" t="s">
        <v>6766</v>
      </c>
      <c r="L1029" s="450"/>
      <c r="M1029" s="450"/>
      <c r="N1029" s="450"/>
      <c r="O1029" s="450"/>
      <c r="P1029" s="450"/>
      <c r="Q1029" s="450"/>
      <c r="R1029" s="450"/>
      <c r="S1029" s="451"/>
      <c r="T1029" s="450"/>
      <c r="U1029" s="451"/>
      <c r="V1029" s="450"/>
      <c r="W1029" s="450"/>
      <c r="X1029" s="450"/>
      <c r="Y1029" s="450"/>
      <c r="Z1029" s="450"/>
    </row>
    <row r="1030" spans="1:26" x14ac:dyDescent="0.25">
      <c r="A1030" s="446" t="s">
        <v>6767</v>
      </c>
      <c r="B1030" s="446"/>
      <c r="C1030" s="446" t="s">
        <v>1456</v>
      </c>
      <c r="D1030" s="446" t="s">
        <v>6768</v>
      </c>
      <c r="E1030" s="448" t="s">
        <v>6769</v>
      </c>
      <c r="F1030" s="448">
        <v>33977</v>
      </c>
      <c r="G1030" s="446" t="s">
        <v>6759</v>
      </c>
      <c r="H1030" s="446" t="s">
        <v>6760</v>
      </c>
      <c r="I1030" s="446" t="s">
        <v>5207</v>
      </c>
      <c r="J1030" s="446" t="s">
        <v>746</v>
      </c>
      <c r="K1030" s="446" t="s">
        <v>6770</v>
      </c>
      <c r="L1030" s="450"/>
      <c r="M1030" s="450"/>
      <c r="N1030" s="450"/>
      <c r="O1030" s="450"/>
      <c r="P1030" s="450"/>
      <c r="Q1030" s="450"/>
      <c r="R1030" s="450"/>
      <c r="S1030" s="451"/>
      <c r="T1030" s="450"/>
      <c r="U1030" s="451"/>
      <c r="V1030" s="450"/>
      <c r="W1030" s="450"/>
      <c r="X1030" s="450"/>
      <c r="Y1030" s="450"/>
      <c r="Z1030" s="450"/>
    </row>
    <row r="1031" spans="1:26" x14ac:dyDescent="0.25">
      <c r="A1031" s="446" t="s">
        <v>1228</v>
      </c>
      <c r="B1031" s="446"/>
      <c r="C1031" s="446" t="s">
        <v>756</v>
      </c>
      <c r="D1031" s="446" t="s">
        <v>6771</v>
      </c>
      <c r="E1031" s="448" t="s">
        <v>6772</v>
      </c>
      <c r="F1031" s="448">
        <v>34018</v>
      </c>
      <c r="G1031" s="446" t="s">
        <v>1230</v>
      </c>
      <c r="H1031" s="446" t="s">
        <v>1231</v>
      </c>
      <c r="I1031" s="446" t="s">
        <v>4632</v>
      </c>
      <c r="J1031" s="446" t="s">
        <v>760</v>
      </c>
      <c r="K1031" s="446" t="s">
        <v>6773</v>
      </c>
      <c r="L1031" s="450"/>
      <c r="M1031" s="450"/>
      <c r="N1031" s="450"/>
      <c r="O1031" s="450"/>
      <c r="P1031" s="450"/>
      <c r="Q1031" s="450"/>
      <c r="R1031" s="450"/>
      <c r="S1031" s="451"/>
      <c r="T1031" s="450"/>
      <c r="U1031" s="451"/>
      <c r="V1031" s="450"/>
      <c r="W1031" s="450"/>
      <c r="X1031" s="450"/>
      <c r="Y1031" s="450"/>
      <c r="Z1031" s="450"/>
    </row>
    <row r="1032" spans="1:26" x14ac:dyDescent="0.25">
      <c r="A1032" s="446" t="s">
        <v>1232</v>
      </c>
      <c r="B1032" s="446"/>
      <c r="C1032" s="446" t="s">
        <v>585</v>
      </c>
      <c r="D1032" s="446" t="s">
        <v>6774</v>
      </c>
      <c r="E1032" s="448" t="s">
        <v>6775</v>
      </c>
      <c r="F1032" s="448">
        <v>34032</v>
      </c>
      <c r="G1032" s="446" t="s">
        <v>6776</v>
      </c>
      <c r="H1032" s="446" t="s">
        <v>6777</v>
      </c>
      <c r="I1032" s="446" t="s">
        <v>6778</v>
      </c>
      <c r="J1032" s="446" t="s">
        <v>4604</v>
      </c>
      <c r="K1032" s="446" t="s">
        <v>6779</v>
      </c>
      <c r="L1032" s="450"/>
      <c r="M1032" s="450"/>
      <c r="N1032" s="450"/>
      <c r="O1032" s="450"/>
      <c r="P1032" s="450"/>
      <c r="Q1032" s="450"/>
      <c r="R1032" s="450"/>
      <c r="S1032" s="451"/>
      <c r="T1032" s="450"/>
      <c r="U1032" s="451"/>
      <c r="V1032" s="450"/>
      <c r="W1032" s="450"/>
      <c r="X1032" s="450"/>
      <c r="Y1032" s="450"/>
      <c r="Z1032" s="450"/>
    </row>
    <row r="1033" spans="1:26" x14ac:dyDescent="0.25">
      <c r="A1033" s="446" t="s">
        <v>1238</v>
      </c>
      <c r="B1033" s="446"/>
      <c r="C1033" s="446" t="s">
        <v>461</v>
      </c>
      <c r="D1033" s="446" t="s">
        <v>6780</v>
      </c>
      <c r="E1033" s="448" t="s">
        <v>6781</v>
      </c>
      <c r="F1033" s="448">
        <v>34036</v>
      </c>
      <c r="G1033" s="446" t="s">
        <v>266</v>
      </c>
      <c r="H1033" s="446" t="s">
        <v>102</v>
      </c>
      <c r="I1033" s="446" t="s">
        <v>4632</v>
      </c>
      <c r="J1033" s="446" t="s">
        <v>760</v>
      </c>
      <c r="K1033" s="446" t="s">
        <v>6782</v>
      </c>
      <c r="L1033" s="450"/>
      <c r="M1033" s="450"/>
      <c r="N1033" s="450"/>
      <c r="O1033" s="450"/>
      <c r="P1033" s="450"/>
      <c r="Q1033" s="450"/>
      <c r="R1033" s="450"/>
      <c r="S1033" s="451"/>
      <c r="T1033" s="450"/>
      <c r="U1033" s="451"/>
      <c r="V1033" s="450"/>
      <c r="W1033" s="450"/>
      <c r="X1033" s="450"/>
      <c r="Y1033" s="450"/>
      <c r="Z1033" s="450"/>
    </row>
    <row r="1034" spans="1:26" x14ac:dyDescent="0.25">
      <c r="A1034" s="446" t="s">
        <v>6783</v>
      </c>
      <c r="B1034" s="446"/>
      <c r="C1034" s="446" t="s">
        <v>1456</v>
      </c>
      <c r="D1034" s="446" t="s">
        <v>6784</v>
      </c>
      <c r="E1034" s="448" t="s">
        <v>6785</v>
      </c>
      <c r="F1034" s="448">
        <v>34088</v>
      </c>
      <c r="G1034" s="446" t="s">
        <v>6786</v>
      </c>
      <c r="H1034" s="446" t="s">
        <v>6787</v>
      </c>
      <c r="I1034" s="446" t="s">
        <v>4632</v>
      </c>
      <c r="J1034" s="446" t="s">
        <v>746</v>
      </c>
      <c r="K1034" s="446" t="s">
        <v>6788</v>
      </c>
      <c r="L1034" s="450"/>
      <c r="M1034" s="450"/>
      <c r="N1034" s="450"/>
      <c r="O1034" s="450"/>
      <c r="P1034" s="450"/>
      <c r="Q1034" s="450"/>
      <c r="R1034" s="450"/>
      <c r="S1034" s="451"/>
      <c r="T1034" s="450"/>
      <c r="U1034" s="451"/>
      <c r="V1034" s="450"/>
      <c r="W1034" s="450"/>
      <c r="X1034" s="450"/>
      <c r="Y1034" s="450"/>
      <c r="Z1034" s="450"/>
    </row>
    <row r="1035" spans="1:26" x14ac:dyDescent="0.25">
      <c r="A1035" s="446" t="s">
        <v>6789</v>
      </c>
      <c r="B1035" s="446"/>
      <c r="C1035" s="446" t="s">
        <v>1456</v>
      </c>
      <c r="D1035" s="446" t="s">
        <v>6790</v>
      </c>
      <c r="E1035" s="448" t="s">
        <v>6791</v>
      </c>
      <c r="F1035" s="448">
        <v>34116</v>
      </c>
      <c r="G1035" s="446" t="s">
        <v>6792</v>
      </c>
      <c r="H1035" s="446" t="s">
        <v>6793</v>
      </c>
      <c r="I1035" s="446" t="s">
        <v>5207</v>
      </c>
      <c r="J1035" s="446" t="s">
        <v>746</v>
      </c>
      <c r="K1035" s="446" t="s">
        <v>6794</v>
      </c>
      <c r="L1035" s="450"/>
      <c r="M1035" s="450"/>
      <c r="N1035" s="450"/>
      <c r="O1035" s="450"/>
      <c r="P1035" s="450"/>
      <c r="Q1035" s="450"/>
      <c r="R1035" s="450"/>
      <c r="S1035" s="451"/>
      <c r="T1035" s="450"/>
      <c r="U1035" s="451"/>
      <c r="V1035" s="450"/>
      <c r="W1035" s="450"/>
      <c r="X1035" s="450"/>
      <c r="Y1035" s="450"/>
      <c r="Z1035" s="450"/>
    </row>
    <row r="1036" spans="1:26" x14ac:dyDescent="0.25">
      <c r="A1036" s="446" t="s">
        <v>1242</v>
      </c>
      <c r="B1036" s="446"/>
      <c r="C1036" s="446" t="s">
        <v>408</v>
      </c>
      <c r="D1036" s="446" t="s">
        <v>6795</v>
      </c>
      <c r="E1036" s="448" t="s">
        <v>6796</v>
      </c>
      <c r="F1036" s="448">
        <v>34199</v>
      </c>
      <c r="G1036" s="446" t="s">
        <v>6797</v>
      </c>
      <c r="H1036" s="446" t="s">
        <v>1246</v>
      </c>
      <c r="I1036" s="446" t="s">
        <v>4632</v>
      </c>
      <c r="J1036" s="446" t="s">
        <v>4604</v>
      </c>
      <c r="K1036" s="446" t="s">
        <v>6798</v>
      </c>
      <c r="L1036" s="450"/>
      <c r="M1036" s="450"/>
      <c r="N1036" s="450"/>
      <c r="O1036" s="450"/>
      <c r="P1036" s="450"/>
      <c r="Q1036" s="450"/>
      <c r="R1036" s="450"/>
      <c r="S1036" s="451"/>
      <c r="T1036" s="450"/>
      <c r="U1036" s="451"/>
      <c r="V1036" s="450"/>
      <c r="W1036" s="450"/>
      <c r="X1036" s="450"/>
      <c r="Y1036" s="450"/>
      <c r="Z1036" s="450"/>
    </row>
    <row r="1037" spans="1:26" x14ac:dyDescent="0.25">
      <c r="A1037" s="446" t="s">
        <v>6799</v>
      </c>
      <c r="B1037" s="446"/>
      <c r="C1037" s="446" t="s">
        <v>533</v>
      </c>
      <c r="D1037" s="446" t="s">
        <v>6800</v>
      </c>
      <c r="E1037" s="448" t="s">
        <v>6801</v>
      </c>
      <c r="F1037" s="448">
        <v>34432</v>
      </c>
      <c r="G1037" s="446" t="s">
        <v>6802</v>
      </c>
      <c r="H1037" s="446" t="s">
        <v>6803</v>
      </c>
      <c r="I1037" s="446" t="s">
        <v>4632</v>
      </c>
      <c r="J1037" s="446" t="s">
        <v>4604</v>
      </c>
      <c r="K1037" s="446" t="s">
        <v>6804</v>
      </c>
      <c r="L1037" s="450"/>
      <c r="M1037" s="450"/>
      <c r="N1037" s="450"/>
      <c r="O1037" s="450"/>
      <c r="P1037" s="450"/>
      <c r="Q1037" s="450"/>
      <c r="R1037" s="450"/>
      <c r="S1037" s="451"/>
      <c r="T1037" s="450"/>
      <c r="U1037" s="451"/>
      <c r="V1037" s="450"/>
      <c r="W1037" s="450"/>
      <c r="X1037" s="450"/>
      <c r="Y1037" s="450"/>
      <c r="Z1037" s="450"/>
    </row>
    <row r="1038" spans="1:26" x14ac:dyDescent="0.25">
      <c r="A1038" s="446" t="s">
        <v>1247</v>
      </c>
      <c r="B1038" s="446"/>
      <c r="C1038" s="446" t="s">
        <v>585</v>
      </c>
      <c r="D1038" s="446" t="s">
        <v>6805</v>
      </c>
      <c r="E1038" s="448" t="s">
        <v>6806</v>
      </c>
      <c r="F1038" s="448">
        <v>34452</v>
      </c>
      <c r="G1038" s="446" t="s">
        <v>6807</v>
      </c>
      <c r="H1038" s="446" t="s">
        <v>102</v>
      </c>
      <c r="I1038" s="446" t="s">
        <v>4632</v>
      </c>
      <c r="J1038" s="446" t="s">
        <v>4604</v>
      </c>
      <c r="K1038" s="446" t="s">
        <v>6808</v>
      </c>
      <c r="L1038" s="450"/>
      <c r="M1038" s="450"/>
      <c r="N1038" s="450"/>
      <c r="O1038" s="450"/>
      <c r="P1038" s="450"/>
      <c r="Q1038" s="450"/>
      <c r="R1038" s="450"/>
      <c r="S1038" s="451"/>
      <c r="T1038" s="450"/>
      <c r="U1038" s="451"/>
      <c r="V1038" s="450"/>
      <c r="W1038" s="450"/>
      <c r="X1038" s="450"/>
      <c r="Y1038" s="450"/>
      <c r="Z1038" s="450"/>
    </row>
    <row r="1039" spans="1:26" x14ac:dyDescent="0.25">
      <c r="A1039" s="446" t="s">
        <v>1253</v>
      </c>
      <c r="B1039" s="446"/>
      <c r="C1039" s="446" t="s">
        <v>619</v>
      </c>
      <c r="D1039" s="446" t="s">
        <v>6809</v>
      </c>
      <c r="E1039" s="448" t="s">
        <v>6810</v>
      </c>
      <c r="F1039" s="448">
        <v>34542</v>
      </c>
      <c r="G1039" s="446" t="s">
        <v>1156</v>
      </c>
      <c r="H1039" s="446" t="s">
        <v>2814</v>
      </c>
      <c r="I1039" s="446" t="s">
        <v>6811</v>
      </c>
      <c r="J1039" s="446" t="s">
        <v>404</v>
      </c>
      <c r="K1039" s="446" t="s">
        <v>6812</v>
      </c>
      <c r="L1039" s="450"/>
      <c r="M1039" s="450"/>
      <c r="N1039" s="450"/>
      <c r="O1039" s="450"/>
      <c r="P1039" s="450"/>
      <c r="Q1039" s="450"/>
      <c r="R1039" s="450"/>
      <c r="S1039" s="451"/>
      <c r="T1039" s="450"/>
      <c r="U1039" s="451"/>
      <c r="V1039" s="450"/>
      <c r="W1039" s="450"/>
      <c r="X1039" s="450"/>
      <c r="Y1039" s="450"/>
      <c r="Z1039" s="450"/>
    </row>
    <row r="1040" spans="1:26" x14ac:dyDescent="0.25">
      <c r="A1040" s="446" t="s">
        <v>1258</v>
      </c>
      <c r="B1040" s="446"/>
      <c r="C1040" s="446" t="s">
        <v>619</v>
      </c>
      <c r="D1040" s="446" t="s">
        <v>6813</v>
      </c>
      <c r="E1040" s="448" t="s">
        <v>6814</v>
      </c>
      <c r="F1040" s="448">
        <v>34754</v>
      </c>
      <c r="G1040" s="446" t="s">
        <v>1260</v>
      </c>
      <c r="H1040" s="446" t="s">
        <v>2816</v>
      </c>
      <c r="I1040" s="446" t="s">
        <v>6811</v>
      </c>
      <c r="J1040" s="446" t="s">
        <v>404</v>
      </c>
      <c r="K1040" s="446" t="s">
        <v>6815</v>
      </c>
      <c r="L1040" s="450"/>
      <c r="M1040" s="450"/>
      <c r="N1040" s="450"/>
      <c r="O1040" s="450"/>
      <c r="P1040" s="450"/>
      <c r="Q1040" s="450"/>
      <c r="R1040" s="450"/>
      <c r="S1040" s="451"/>
      <c r="T1040" s="450"/>
      <c r="U1040" s="451"/>
      <c r="V1040" s="450"/>
      <c r="W1040" s="450"/>
      <c r="X1040" s="450"/>
      <c r="Y1040" s="450"/>
      <c r="Z1040" s="450"/>
    </row>
    <row r="1041" spans="1:26" x14ac:dyDescent="0.25">
      <c r="A1041" s="446" t="s">
        <v>6816</v>
      </c>
      <c r="B1041" s="446"/>
      <c r="C1041" s="446" t="s">
        <v>1456</v>
      </c>
      <c r="D1041" s="446" t="s">
        <v>6817</v>
      </c>
      <c r="E1041" s="448" t="s">
        <v>6818</v>
      </c>
      <c r="F1041" s="448">
        <v>34757</v>
      </c>
      <c r="G1041" s="446" t="s">
        <v>6760</v>
      </c>
      <c r="H1041" s="446" t="s">
        <v>2053</v>
      </c>
      <c r="I1041" s="446" t="s">
        <v>5207</v>
      </c>
      <c r="J1041" s="446" t="s">
        <v>746</v>
      </c>
      <c r="K1041" s="446" t="s">
        <v>6819</v>
      </c>
      <c r="L1041" s="450"/>
      <c r="M1041" s="450"/>
      <c r="N1041" s="450"/>
      <c r="O1041" s="450"/>
      <c r="P1041" s="450"/>
      <c r="Q1041" s="450"/>
      <c r="R1041" s="450"/>
      <c r="S1041" s="451"/>
      <c r="T1041" s="450"/>
      <c r="U1041" s="451"/>
      <c r="V1041" s="450"/>
      <c r="W1041" s="450"/>
      <c r="X1041" s="450"/>
      <c r="Y1041" s="450"/>
      <c r="Z1041" s="450"/>
    </row>
    <row r="1042" spans="1:26" x14ac:dyDescent="0.25">
      <c r="A1042" s="446" t="s">
        <v>1262</v>
      </c>
      <c r="B1042" s="446"/>
      <c r="C1042" s="446" t="s">
        <v>533</v>
      </c>
      <c r="D1042" s="446" t="s">
        <v>6820</v>
      </c>
      <c r="E1042" s="448" t="s">
        <v>6821</v>
      </c>
      <c r="F1042" s="448">
        <v>34778</v>
      </c>
      <c r="G1042" s="446" t="s">
        <v>266</v>
      </c>
      <c r="H1042" s="446" t="s">
        <v>6822</v>
      </c>
      <c r="I1042" s="446" t="s">
        <v>6823</v>
      </c>
      <c r="J1042" s="446" t="s">
        <v>4604</v>
      </c>
      <c r="K1042" s="446" t="s">
        <v>6824</v>
      </c>
      <c r="L1042" s="450"/>
      <c r="M1042" s="450"/>
      <c r="N1042" s="450"/>
      <c r="O1042" s="450"/>
      <c r="P1042" s="450"/>
      <c r="Q1042" s="450"/>
      <c r="R1042" s="450"/>
      <c r="S1042" s="451"/>
      <c r="T1042" s="450"/>
      <c r="U1042" s="451"/>
      <c r="V1042" s="450"/>
      <c r="W1042" s="450"/>
      <c r="X1042" s="450"/>
      <c r="Y1042" s="450"/>
      <c r="Z1042" s="450"/>
    </row>
    <row r="1043" spans="1:26" x14ac:dyDescent="0.25">
      <c r="A1043" s="446" t="s">
        <v>6825</v>
      </c>
      <c r="B1043" s="446"/>
      <c r="C1043" s="446" t="s">
        <v>533</v>
      </c>
      <c r="D1043" s="446" t="s">
        <v>6826</v>
      </c>
      <c r="E1043" s="448" t="s">
        <v>6827</v>
      </c>
      <c r="F1043" s="448">
        <v>34806</v>
      </c>
      <c r="G1043" s="446" t="s">
        <v>6828</v>
      </c>
      <c r="H1043" s="446" t="s">
        <v>6829</v>
      </c>
      <c r="I1043" s="446" t="s">
        <v>321</v>
      </c>
      <c r="J1043" s="446" t="s">
        <v>4604</v>
      </c>
      <c r="K1043" s="446" t="s">
        <v>6830</v>
      </c>
      <c r="L1043" s="450"/>
      <c r="M1043" s="450"/>
      <c r="N1043" s="450"/>
      <c r="O1043" s="450"/>
      <c r="P1043" s="450"/>
      <c r="Q1043" s="450"/>
      <c r="R1043" s="450"/>
      <c r="S1043" s="451"/>
      <c r="T1043" s="450"/>
      <c r="U1043" s="451"/>
      <c r="V1043" s="450"/>
      <c r="W1043" s="450"/>
      <c r="X1043" s="450"/>
      <c r="Y1043" s="450"/>
      <c r="Z1043" s="450"/>
    </row>
    <row r="1044" spans="1:26" x14ac:dyDescent="0.25">
      <c r="A1044" s="446" t="s">
        <v>1265</v>
      </c>
      <c r="B1044" s="446"/>
      <c r="C1044" s="446" t="s">
        <v>619</v>
      </c>
      <c r="D1044" s="446" t="s">
        <v>6831</v>
      </c>
      <c r="E1044" s="448" t="s">
        <v>6832</v>
      </c>
      <c r="F1044" s="448">
        <v>34920</v>
      </c>
      <c r="G1044" s="446" t="s">
        <v>1267</v>
      </c>
      <c r="H1044" s="446" t="s">
        <v>1318</v>
      </c>
      <c r="I1044" s="446" t="s">
        <v>6833</v>
      </c>
      <c r="J1044" s="446" t="s">
        <v>404</v>
      </c>
      <c r="K1044" s="446" t="s">
        <v>6834</v>
      </c>
      <c r="L1044" s="450"/>
      <c r="M1044" s="450"/>
      <c r="N1044" s="450"/>
      <c r="O1044" s="450"/>
      <c r="P1044" s="450"/>
      <c r="Q1044" s="450"/>
      <c r="R1044" s="450"/>
      <c r="S1044" s="451"/>
      <c r="T1044" s="450"/>
      <c r="U1044" s="451"/>
      <c r="V1044" s="450"/>
      <c r="W1044" s="450"/>
      <c r="X1044" s="450"/>
      <c r="Y1044" s="450"/>
      <c r="Z1044" s="450"/>
    </row>
    <row r="1045" spans="1:26" x14ac:dyDescent="0.25">
      <c r="A1045" s="446" t="s">
        <v>1270</v>
      </c>
      <c r="B1045" s="446"/>
      <c r="C1045" s="446" t="s">
        <v>1160</v>
      </c>
      <c r="D1045" s="446" t="s">
        <v>6835</v>
      </c>
      <c r="E1045" s="448" t="s">
        <v>6836</v>
      </c>
      <c r="F1045" s="448">
        <v>34950</v>
      </c>
      <c r="G1045" s="446" t="s">
        <v>6837</v>
      </c>
      <c r="H1045" s="446" t="s">
        <v>6838</v>
      </c>
      <c r="I1045" s="446" t="s">
        <v>6839</v>
      </c>
      <c r="J1045" s="446" t="s">
        <v>404</v>
      </c>
      <c r="K1045" s="446" t="s">
        <v>6840</v>
      </c>
      <c r="L1045" s="450"/>
      <c r="M1045" s="450"/>
      <c r="N1045" s="450"/>
      <c r="O1045" s="450"/>
      <c r="P1045" s="450"/>
      <c r="Q1045" s="450"/>
      <c r="R1045" s="450"/>
      <c r="S1045" s="451"/>
      <c r="T1045" s="450"/>
      <c r="U1045" s="451"/>
      <c r="V1045" s="450"/>
      <c r="W1045" s="450"/>
      <c r="X1045" s="450"/>
      <c r="Y1045" s="450"/>
      <c r="Z1045" s="450"/>
    </row>
    <row r="1046" spans="1:26" x14ac:dyDescent="0.25">
      <c r="A1046" s="446" t="s">
        <v>1276</v>
      </c>
      <c r="B1046" s="446"/>
      <c r="C1046" s="446" t="s">
        <v>585</v>
      </c>
      <c r="D1046" s="446" t="s">
        <v>6841</v>
      </c>
      <c r="E1046" s="448" t="s">
        <v>6842</v>
      </c>
      <c r="F1046" s="448">
        <v>35038</v>
      </c>
      <c r="G1046" s="446" t="s">
        <v>6843</v>
      </c>
      <c r="H1046" s="446" t="s">
        <v>102</v>
      </c>
      <c r="I1046" s="446" t="s">
        <v>6844</v>
      </c>
      <c r="J1046" s="446" t="s">
        <v>4604</v>
      </c>
      <c r="K1046" s="446" t="s">
        <v>6845</v>
      </c>
      <c r="L1046" s="450"/>
      <c r="M1046" s="450"/>
      <c r="N1046" s="450"/>
      <c r="O1046" s="450"/>
      <c r="P1046" s="450"/>
      <c r="Q1046" s="450"/>
      <c r="R1046" s="450"/>
      <c r="S1046" s="451"/>
      <c r="T1046" s="450"/>
      <c r="U1046" s="451"/>
      <c r="V1046" s="450"/>
      <c r="W1046" s="450"/>
      <c r="X1046" s="450"/>
      <c r="Y1046" s="450"/>
      <c r="Z1046" s="450"/>
    </row>
    <row r="1047" spans="1:26" x14ac:dyDescent="0.25">
      <c r="A1047" s="446" t="s">
        <v>6846</v>
      </c>
      <c r="B1047" s="446"/>
      <c r="C1047" s="446" t="s">
        <v>1456</v>
      </c>
      <c r="D1047" s="446" t="s">
        <v>6847</v>
      </c>
      <c r="E1047" s="448" t="s">
        <v>6848</v>
      </c>
      <c r="F1047" s="448">
        <v>35159</v>
      </c>
      <c r="G1047" s="446" t="s">
        <v>1359</v>
      </c>
      <c r="H1047" s="446" t="s">
        <v>6849</v>
      </c>
      <c r="I1047" s="446" t="s">
        <v>5207</v>
      </c>
      <c r="J1047" s="446" t="s">
        <v>746</v>
      </c>
      <c r="K1047" s="446" t="s">
        <v>6850</v>
      </c>
      <c r="L1047" s="450"/>
      <c r="M1047" s="450"/>
      <c r="N1047" s="450"/>
      <c r="O1047" s="450"/>
      <c r="P1047" s="450"/>
      <c r="Q1047" s="450"/>
      <c r="R1047" s="450"/>
      <c r="S1047" s="451"/>
      <c r="T1047" s="450"/>
      <c r="U1047" s="451"/>
      <c r="V1047" s="450"/>
      <c r="W1047" s="450"/>
      <c r="X1047" s="450"/>
      <c r="Y1047" s="450"/>
      <c r="Z1047" s="450"/>
    </row>
    <row r="1048" spans="1:26" x14ac:dyDescent="0.25">
      <c r="A1048" s="446" t="s">
        <v>6851</v>
      </c>
      <c r="B1048" s="446"/>
      <c r="C1048" s="446" t="s">
        <v>4618</v>
      </c>
      <c r="D1048" s="446" t="s">
        <v>6852</v>
      </c>
      <c r="E1048" s="448" t="s">
        <v>6853</v>
      </c>
      <c r="F1048" s="448">
        <v>35199</v>
      </c>
      <c r="G1048" s="446" t="s">
        <v>646</v>
      </c>
      <c r="H1048" s="446" t="s">
        <v>2838</v>
      </c>
      <c r="I1048" s="446" t="s">
        <v>6854</v>
      </c>
      <c r="J1048" s="446" t="s">
        <v>746</v>
      </c>
      <c r="K1048" s="446" t="s">
        <v>6855</v>
      </c>
      <c r="L1048" s="450"/>
      <c r="M1048" s="450"/>
      <c r="N1048" s="450"/>
      <c r="O1048" s="450"/>
      <c r="P1048" s="450"/>
      <c r="Q1048" s="450"/>
      <c r="R1048" s="450"/>
      <c r="S1048" s="451"/>
      <c r="T1048" s="450"/>
      <c r="U1048" s="451"/>
      <c r="V1048" s="450"/>
      <c r="W1048" s="450"/>
      <c r="X1048" s="450"/>
      <c r="Y1048" s="450"/>
      <c r="Z1048" s="450"/>
    </row>
    <row r="1049" spans="1:26" x14ac:dyDescent="0.25">
      <c r="A1049" s="446" t="s">
        <v>6856</v>
      </c>
      <c r="B1049" s="446"/>
      <c r="C1049" s="446" t="s">
        <v>545</v>
      </c>
      <c r="D1049" s="446" t="s">
        <v>6857</v>
      </c>
      <c r="E1049" s="448" t="s">
        <v>6858</v>
      </c>
      <c r="F1049" s="448">
        <v>35429</v>
      </c>
      <c r="G1049" s="446" t="s">
        <v>2838</v>
      </c>
      <c r="H1049" s="446" t="s">
        <v>1956</v>
      </c>
      <c r="I1049" s="446" t="s">
        <v>6859</v>
      </c>
      <c r="J1049" s="446" t="s">
        <v>4604</v>
      </c>
      <c r="K1049" s="446" t="s">
        <v>6860</v>
      </c>
      <c r="L1049" s="450"/>
      <c r="M1049" s="450"/>
      <c r="N1049" s="450"/>
      <c r="O1049" s="450"/>
      <c r="P1049" s="450"/>
      <c r="Q1049" s="450"/>
      <c r="R1049" s="450"/>
      <c r="S1049" s="451"/>
      <c r="T1049" s="450"/>
      <c r="U1049" s="451"/>
      <c r="V1049" s="450"/>
      <c r="W1049" s="450"/>
      <c r="X1049" s="450"/>
      <c r="Y1049" s="450"/>
      <c r="Z1049" s="450"/>
    </row>
    <row r="1050" spans="1:26" x14ac:dyDescent="0.25">
      <c r="A1050" s="446" t="s">
        <v>1282</v>
      </c>
      <c r="B1050" s="446"/>
      <c r="C1050" s="446" t="s">
        <v>533</v>
      </c>
      <c r="D1050" s="446" t="s">
        <v>6861</v>
      </c>
      <c r="E1050" s="448" t="s">
        <v>6862</v>
      </c>
      <c r="F1050" s="448">
        <v>35430</v>
      </c>
      <c r="G1050" s="446" t="s">
        <v>6863</v>
      </c>
      <c r="H1050" s="446" t="s">
        <v>1285</v>
      </c>
      <c r="I1050" s="446" t="s">
        <v>5207</v>
      </c>
      <c r="J1050" s="446" t="s">
        <v>4604</v>
      </c>
      <c r="K1050" s="446" t="s">
        <v>6864</v>
      </c>
      <c r="L1050" s="450"/>
      <c r="M1050" s="450"/>
      <c r="N1050" s="450"/>
      <c r="O1050" s="450"/>
      <c r="P1050" s="450"/>
      <c r="Q1050" s="450"/>
      <c r="R1050" s="450"/>
      <c r="S1050" s="451"/>
      <c r="T1050" s="450"/>
      <c r="U1050" s="451"/>
      <c r="V1050" s="450"/>
      <c r="W1050" s="450"/>
      <c r="X1050" s="450"/>
      <c r="Y1050" s="450"/>
      <c r="Z1050" s="450"/>
    </row>
    <row r="1051" spans="1:26" x14ac:dyDescent="0.25">
      <c r="A1051" s="446" t="s">
        <v>1288</v>
      </c>
      <c r="B1051" s="446"/>
      <c r="C1051" s="446" t="s">
        <v>533</v>
      </c>
      <c r="D1051" s="446" t="s">
        <v>6865</v>
      </c>
      <c r="E1051" s="448" t="s">
        <v>6866</v>
      </c>
      <c r="F1051" s="448">
        <v>35432</v>
      </c>
      <c r="G1051" s="446" t="s">
        <v>6863</v>
      </c>
      <c r="H1051" s="446" t="s">
        <v>1285</v>
      </c>
      <c r="I1051" s="446" t="s">
        <v>5207</v>
      </c>
      <c r="J1051" s="446" t="s">
        <v>4604</v>
      </c>
      <c r="K1051" s="446" t="s">
        <v>6867</v>
      </c>
      <c r="L1051" s="450"/>
      <c r="M1051" s="450"/>
      <c r="N1051" s="450"/>
      <c r="O1051" s="450"/>
      <c r="P1051" s="450"/>
      <c r="Q1051" s="450"/>
      <c r="R1051" s="450"/>
      <c r="S1051" s="451"/>
      <c r="T1051" s="450"/>
      <c r="U1051" s="451"/>
      <c r="V1051" s="450"/>
      <c r="W1051" s="450"/>
      <c r="X1051" s="450"/>
      <c r="Y1051" s="450"/>
      <c r="Z1051" s="450"/>
    </row>
    <row r="1052" spans="1:26" x14ac:dyDescent="0.25">
      <c r="A1052" s="446" t="s">
        <v>6868</v>
      </c>
      <c r="B1052" s="446"/>
      <c r="C1052" s="446" t="s">
        <v>1456</v>
      </c>
      <c r="D1052" s="446" t="s">
        <v>6869</v>
      </c>
      <c r="E1052" s="448" t="s">
        <v>6870</v>
      </c>
      <c r="F1052" s="448">
        <v>35443</v>
      </c>
      <c r="G1052" s="446" t="s">
        <v>6871</v>
      </c>
      <c r="H1052" s="446" t="s">
        <v>6872</v>
      </c>
      <c r="I1052" s="446" t="s">
        <v>5207</v>
      </c>
      <c r="J1052" s="446" t="s">
        <v>746</v>
      </c>
      <c r="K1052" s="446" t="s">
        <v>6873</v>
      </c>
      <c r="L1052" s="450"/>
      <c r="M1052" s="450"/>
      <c r="N1052" s="450"/>
      <c r="O1052" s="450"/>
      <c r="P1052" s="450"/>
      <c r="Q1052" s="450"/>
      <c r="R1052" s="450"/>
      <c r="S1052" s="451"/>
      <c r="T1052" s="450"/>
      <c r="U1052" s="451"/>
      <c r="V1052" s="450"/>
      <c r="W1052" s="450"/>
      <c r="X1052" s="450"/>
      <c r="Y1052" s="450"/>
      <c r="Z1052" s="450"/>
    </row>
    <row r="1053" spans="1:26" x14ac:dyDescent="0.25">
      <c r="A1053" s="446" t="s">
        <v>1290</v>
      </c>
      <c r="B1053" s="446"/>
      <c r="C1053" s="446" t="s">
        <v>545</v>
      </c>
      <c r="D1053" s="446" t="s">
        <v>6874</v>
      </c>
      <c r="E1053" s="448" t="s">
        <v>6875</v>
      </c>
      <c r="F1053" s="448">
        <v>35479</v>
      </c>
      <c r="G1053" s="446" t="s">
        <v>2838</v>
      </c>
      <c r="H1053" s="446" t="s">
        <v>6876</v>
      </c>
      <c r="I1053" s="446" t="s">
        <v>6877</v>
      </c>
      <c r="J1053" s="446" t="s">
        <v>4604</v>
      </c>
      <c r="K1053" s="446" t="s">
        <v>6878</v>
      </c>
      <c r="L1053" s="450"/>
      <c r="M1053" s="450"/>
      <c r="N1053" s="450"/>
      <c r="O1053" s="450"/>
      <c r="P1053" s="450"/>
      <c r="Q1053" s="450"/>
      <c r="R1053" s="450"/>
      <c r="S1053" s="451"/>
      <c r="T1053" s="450"/>
      <c r="U1053" s="451"/>
      <c r="V1053" s="450"/>
      <c r="W1053" s="450"/>
      <c r="X1053" s="450"/>
      <c r="Y1053" s="450"/>
      <c r="Z1053" s="450"/>
    </row>
    <row r="1054" spans="1:26" x14ac:dyDescent="0.25">
      <c r="A1054" s="446" t="s">
        <v>1295</v>
      </c>
      <c r="B1054" s="446"/>
      <c r="C1054" s="446" t="s">
        <v>461</v>
      </c>
      <c r="D1054" s="446" t="s">
        <v>6879</v>
      </c>
      <c r="E1054" s="448" t="s">
        <v>6880</v>
      </c>
      <c r="F1054" s="448">
        <v>35549</v>
      </c>
      <c r="G1054" s="446" t="s">
        <v>6881</v>
      </c>
      <c r="H1054" s="446" t="s">
        <v>102</v>
      </c>
      <c r="I1054" s="446" t="s">
        <v>6839</v>
      </c>
      <c r="J1054" s="446" t="s">
        <v>760</v>
      </c>
      <c r="K1054" s="446" t="s">
        <v>6882</v>
      </c>
      <c r="L1054" s="450"/>
      <c r="M1054" s="450"/>
      <c r="N1054" s="450"/>
      <c r="O1054" s="450"/>
      <c r="P1054" s="450"/>
      <c r="Q1054" s="450"/>
      <c r="R1054" s="450"/>
      <c r="S1054" s="451"/>
      <c r="T1054" s="450"/>
      <c r="U1054" s="451"/>
      <c r="V1054" s="450"/>
      <c r="W1054" s="450"/>
      <c r="X1054" s="450"/>
      <c r="Y1054" s="450"/>
      <c r="Z1054" s="450"/>
    </row>
    <row r="1055" spans="1:26" x14ac:dyDescent="0.25">
      <c r="A1055" s="446" t="s">
        <v>6883</v>
      </c>
      <c r="B1055" s="446"/>
      <c r="C1055" s="446" t="s">
        <v>1456</v>
      </c>
      <c r="D1055" s="446" t="s">
        <v>6884</v>
      </c>
      <c r="E1055" s="448" t="s">
        <v>6885</v>
      </c>
      <c r="F1055" s="448">
        <v>35922</v>
      </c>
      <c r="G1055" s="446" t="s">
        <v>6886</v>
      </c>
      <c r="H1055" s="446" t="s">
        <v>6887</v>
      </c>
      <c r="I1055" s="446" t="s">
        <v>5207</v>
      </c>
      <c r="J1055" s="446" t="s">
        <v>746</v>
      </c>
      <c r="K1055" s="446" t="s">
        <v>6888</v>
      </c>
      <c r="L1055" s="450"/>
      <c r="M1055" s="450"/>
      <c r="N1055" s="450"/>
      <c r="O1055" s="450"/>
      <c r="P1055" s="450"/>
      <c r="Q1055" s="450"/>
      <c r="R1055" s="450"/>
      <c r="S1055" s="451"/>
      <c r="T1055" s="450"/>
      <c r="U1055" s="451"/>
      <c r="V1055" s="450"/>
      <c r="W1055" s="450"/>
      <c r="X1055" s="450"/>
      <c r="Y1055" s="450"/>
      <c r="Z1055" s="450"/>
    </row>
    <row r="1056" spans="1:26" x14ac:dyDescent="0.25">
      <c r="A1056" s="446" t="s">
        <v>6889</v>
      </c>
      <c r="B1056" s="446"/>
      <c r="C1056" s="446" t="s">
        <v>1456</v>
      </c>
      <c r="D1056" s="446" t="s">
        <v>6890</v>
      </c>
      <c r="E1056" s="448" t="s">
        <v>6891</v>
      </c>
      <c r="F1056" s="448">
        <v>36008</v>
      </c>
      <c r="G1056" s="446" t="s">
        <v>1139</v>
      </c>
      <c r="H1056" s="446" t="s">
        <v>6892</v>
      </c>
      <c r="I1056" s="446" t="s">
        <v>6811</v>
      </c>
      <c r="J1056" s="446" t="s">
        <v>746</v>
      </c>
      <c r="K1056" s="446" t="s">
        <v>6893</v>
      </c>
      <c r="L1056" s="450"/>
      <c r="M1056" s="450"/>
      <c r="N1056" s="450"/>
      <c r="O1056" s="450"/>
      <c r="P1056" s="450"/>
      <c r="Q1056" s="450"/>
      <c r="R1056" s="450"/>
      <c r="S1056" s="451"/>
      <c r="T1056" s="450"/>
      <c r="U1056" s="451"/>
      <c r="V1056" s="450"/>
      <c r="W1056" s="450"/>
      <c r="X1056" s="450"/>
      <c r="Y1056" s="450"/>
      <c r="Z1056" s="450"/>
    </row>
    <row r="1057" spans="1:26" x14ac:dyDescent="0.25">
      <c r="A1057" s="446" t="s">
        <v>1301</v>
      </c>
      <c r="B1057" s="446"/>
      <c r="C1057" s="446" t="s">
        <v>1160</v>
      </c>
      <c r="D1057" s="446" t="s">
        <v>6894</v>
      </c>
      <c r="E1057" s="448" t="s">
        <v>6895</v>
      </c>
      <c r="F1057" s="448">
        <v>36026</v>
      </c>
      <c r="G1057" s="446" t="s">
        <v>6896</v>
      </c>
      <c r="H1057" s="446" t="s">
        <v>2730</v>
      </c>
      <c r="I1057" s="446" t="s">
        <v>6844</v>
      </c>
      <c r="J1057" s="446" t="s">
        <v>404</v>
      </c>
      <c r="K1057" s="446" t="s">
        <v>6897</v>
      </c>
      <c r="L1057" s="450"/>
      <c r="M1057" s="450"/>
      <c r="N1057" s="450"/>
      <c r="O1057" s="450"/>
      <c r="P1057" s="450"/>
      <c r="Q1057" s="450"/>
      <c r="R1057" s="450"/>
      <c r="S1057" s="451"/>
      <c r="T1057" s="450"/>
      <c r="U1057" s="451"/>
      <c r="V1057" s="450"/>
      <c r="W1057" s="450"/>
      <c r="X1057" s="450"/>
      <c r="Y1057" s="450"/>
      <c r="Z1057" s="450"/>
    </row>
    <row r="1058" spans="1:26" x14ac:dyDescent="0.25">
      <c r="A1058" s="446" t="s">
        <v>1305</v>
      </c>
      <c r="B1058" s="446"/>
      <c r="C1058" s="446" t="s">
        <v>1160</v>
      </c>
      <c r="D1058" s="446" t="s">
        <v>6898</v>
      </c>
      <c r="E1058" s="448" t="s">
        <v>6899</v>
      </c>
      <c r="F1058" s="448">
        <v>36059</v>
      </c>
      <c r="G1058" s="446" t="s">
        <v>285</v>
      </c>
      <c r="H1058" s="446" t="s">
        <v>4077</v>
      </c>
      <c r="I1058" s="446" t="s">
        <v>6844</v>
      </c>
      <c r="J1058" s="446" t="s">
        <v>404</v>
      </c>
      <c r="K1058" s="446" t="s">
        <v>6900</v>
      </c>
      <c r="L1058" s="450"/>
      <c r="M1058" s="450"/>
      <c r="N1058" s="450"/>
      <c r="O1058" s="450"/>
      <c r="P1058" s="450"/>
      <c r="Q1058" s="450"/>
      <c r="R1058" s="450"/>
      <c r="S1058" s="451"/>
      <c r="T1058" s="450"/>
      <c r="U1058" s="451"/>
      <c r="V1058" s="450"/>
      <c r="W1058" s="450"/>
      <c r="X1058" s="450"/>
      <c r="Y1058" s="450"/>
      <c r="Z1058" s="450"/>
    </row>
    <row r="1059" spans="1:26" x14ac:dyDescent="0.25">
      <c r="A1059" s="446" t="s">
        <v>1312</v>
      </c>
      <c r="B1059" s="446"/>
      <c r="C1059" s="446" t="s">
        <v>619</v>
      </c>
      <c r="D1059" s="446" t="s">
        <v>6901</v>
      </c>
      <c r="E1059" s="448" t="s">
        <v>6902</v>
      </c>
      <c r="F1059" s="448">
        <v>36175</v>
      </c>
      <c r="G1059" s="446" t="s">
        <v>959</v>
      </c>
      <c r="H1059" s="446" t="s">
        <v>3133</v>
      </c>
      <c r="I1059" s="446" t="s">
        <v>6844</v>
      </c>
      <c r="J1059" s="446" t="s">
        <v>404</v>
      </c>
      <c r="K1059" s="446" t="s">
        <v>6903</v>
      </c>
      <c r="L1059" s="450"/>
      <c r="M1059" s="450"/>
      <c r="N1059" s="450"/>
      <c r="O1059" s="450"/>
      <c r="P1059" s="450"/>
      <c r="Q1059" s="450"/>
      <c r="R1059" s="450"/>
      <c r="S1059" s="451"/>
      <c r="T1059" s="450"/>
      <c r="U1059" s="451"/>
      <c r="V1059" s="450"/>
      <c r="W1059" s="450"/>
      <c r="X1059" s="450"/>
      <c r="Y1059" s="450"/>
      <c r="Z1059" s="450"/>
    </row>
    <row r="1060" spans="1:26" x14ac:dyDescent="0.25">
      <c r="A1060" s="446" t="s">
        <v>1309</v>
      </c>
      <c r="B1060" s="446"/>
      <c r="C1060" s="446" t="s">
        <v>619</v>
      </c>
      <c r="D1060" s="446" t="s">
        <v>6904</v>
      </c>
      <c r="E1060" s="448" t="s">
        <v>6902</v>
      </c>
      <c r="F1060" s="448">
        <v>36175</v>
      </c>
      <c r="G1060" s="446" t="s">
        <v>959</v>
      </c>
      <c r="H1060" s="446" t="s">
        <v>3133</v>
      </c>
      <c r="I1060" s="446" t="s">
        <v>6844</v>
      </c>
      <c r="J1060" s="446" t="s">
        <v>404</v>
      </c>
      <c r="K1060" s="446" t="s">
        <v>6905</v>
      </c>
      <c r="L1060" s="450"/>
      <c r="M1060" s="450"/>
      <c r="N1060" s="450"/>
      <c r="O1060" s="450"/>
      <c r="P1060" s="450"/>
      <c r="Q1060" s="450"/>
      <c r="R1060" s="450"/>
      <c r="S1060" s="451"/>
      <c r="T1060" s="450"/>
      <c r="U1060" s="451"/>
      <c r="V1060" s="450"/>
      <c r="W1060" s="450"/>
      <c r="X1060" s="450"/>
      <c r="Y1060" s="450"/>
      <c r="Z1060" s="450"/>
    </row>
    <row r="1061" spans="1:26" x14ac:dyDescent="0.25">
      <c r="A1061" s="446" t="s">
        <v>1315</v>
      </c>
      <c r="B1061" s="446"/>
      <c r="C1061" s="446" t="s">
        <v>619</v>
      </c>
      <c r="D1061" s="446" t="s">
        <v>6906</v>
      </c>
      <c r="E1061" s="448" t="s">
        <v>6907</v>
      </c>
      <c r="F1061" s="448">
        <v>36215</v>
      </c>
      <c r="G1061" s="446" t="s">
        <v>1318</v>
      </c>
      <c r="H1061" s="446" t="s">
        <v>102</v>
      </c>
      <c r="I1061" s="446" t="s">
        <v>6844</v>
      </c>
      <c r="J1061" s="446" t="s">
        <v>404</v>
      </c>
      <c r="K1061" s="446" t="s">
        <v>6908</v>
      </c>
      <c r="L1061" s="450"/>
      <c r="M1061" s="450"/>
      <c r="N1061" s="450"/>
      <c r="O1061" s="450"/>
      <c r="P1061" s="450"/>
      <c r="Q1061" s="450"/>
      <c r="R1061" s="450"/>
      <c r="S1061" s="451"/>
      <c r="T1061" s="450"/>
      <c r="U1061" s="451"/>
      <c r="V1061" s="450"/>
      <c r="W1061" s="450"/>
      <c r="X1061" s="450"/>
      <c r="Y1061" s="450"/>
      <c r="Z1061" s="450"/>
    </row>
    <row r="1062" spans="1:26" x14ac:dyDescent="0.25">
      <c r="A1062" s="446" t="s">
        <v>1319</v>
      </c>
      <c r="B1062" s="446"/>
      <c r="C1062" s="446" t="s">
        <v>6909</v>
      </c>
      <c r="D1062" s="446" t="s">
        <v>6910</v>
      </c>
      <c r="E1062" s="448" t="s">
        <v>6911</v>
      </c>
      <c r="F1062" s="448">
        <v>36250</v>
      </c>
      <c r="G1062" s="446" t="s">
        <v>374</v>
      </c>
      <c r="H1062" s="446" t="s">
        <v>102</v>
      </c>
      <c r="I1062" s="446" t="s">
        <v>6912</v>
      </c>
      <c r="J1062" s="446" t="s">
        <v>4604</v>
      </c>
      <c r="K1062" s="446" t="s">
        <v>6913</v>
      </c>
      <c r="L1062" s="450"/>
      <c r="M1062" s="450"/>
      <c r="N1062" s="450"/>
      <c r="O1062" s="450"/>
      <c r="P1062" s="450"/>
      <c r="Q1062" s="450"/>
      <c r="R1062" s="450"/>
      <c r="S1062" s="451"/>
      <c r="T1062" s="450"/>
      <c r="U1062" s="451"/>
      <c r="V1062" s="450"/>
      <c r="W1062" s="450"/>
      <c r="X1062" s="450"/>
      <c r="Y1062" s="450"/>
      <c r="Z1062" s="450"/>
    </row>
    <row r="1063" spans="1:26" x14ac:dyDescent="0.25">
      <c r="A1063" s="446" t="s">
        <v>1325</v>
      </c>
      <c r="B1063" s="446"/>
      <c r="C1063" s="446" t="s">
        <v>461</v>
      </c>
      <c r="D1063" s="446" t="s">
        <v>6914</v>
      </c>
      <c r="E1063" s="448" t="s">
        <v>6915</v>
      </c>
      <c r="F1063" s="448">
        <v>36270</v>
      </c>
      <c r="G1063" s="446" t="s">
        <v>1051</v>
      </c>
      <c r="H1063" s="446" t="s">
        <v>102</v>
      </c>
      <c r="I1063" s="446" t="s">
        <v>6844</v>
      </c>
      <c r="J1063" s="446" t="s">
        <v>760</v>
      </c>
      <c r="K1063" s="446" t="s">
        <v>6916</v>
      </c>
      <c r="L1063" s="450"/>
      <c r="M1063" s="450"/>
      <c r="N1063" s="450"/>
      <c r="O1063" s="450"/>
      <c r="P1063" s="450"/>
      <c r="Q1063" s="450"/>
      <c r="R1063" s="450"/>
      <c r="S1063" s="451"/>
      <c r="T1063" s="450"/>
      <c r="U1063" s="451"/>
      <c r="V1063" s="450"/>
      <c r="W1063" s="450"/>
      <c r="X1063" s="450"/>
      <c r="Y1063" s="450"/>
      <c r="Z1063" s="450"/>
    </row>
    <row r="1064" spans="1:26" x14ac:dyDescent="0.25">
      <c r="A1064" s="446" t="s">
        <v>1330</v>
      </c>
      <c r="B1064" s="446"/>
      <c r="C1064" s="446" t="s">
        <v>619</v>
      </c>
      <c r="D1064" s="446" t="s">
        <v>6917</v>
      </c>
      <c r="E1064" s="448" t="s">
        <v>6915</v>
      </c>
      <c r="F1064" s="448">
        <v>36270</v>
      </c>
      <c r="G1064" s="446" t="s">
        <v>6918</v>
      </c>
      <c r="H1064" s="446" t="s">
        <v>1333</v>
      </c>
      <c r="I1064" s="446" t="s">
        <v>6844</v>
      </c>
      <c r="J1064" s="446" t="s">
        <v>404</v>
      </c>
      <c r="K1064" s="446" t="s">
        <v>6919</v>
      </c>
      <c r="L1064" s="450"/>
      <c r="M1064" s="450"/>
      <c r="N1064" s="450"/>
      <c r="O1064" s="450"/>
      <c r="P1064" s="450"/>
      <c r="Q1064" s="450"/>
      <c r="R1064" s="450"/>
      <c r="S1064" s="451"/>
      <c r="T1064" s="450"/>
      <c r="U1064" s="451"/>
      <c r="V1064" s="450"/>
      <c r="W1064" s="450"/>
      <c r="X1064" s="450"/>
      <c r="Y1064" s="450"/>
      <c r="Z1064" s="450"/>
    </row>
    <row r="1065" spans="1:26" x14ac:dyDescent="0.25">
      <c r="A1065" s="446" t="s">
        <v>1344</v>
      </c>
      <c r="B1065" s="446"/>
      <c r="C1065" s="446" t="s">
        <v>619</v>
      </c>
      <c r="D1065" s="446" t="s">
        <v>6920</v>
      </c>
      <c r="E1065" s="448" t="s">
        <v>6915</v>
      </c>
      <c r="F1065" s="448">
        <v>36270</v>
      </c>
      <c r="G1065" s="446" t="s">
        <v>6918</v>
      </c>
      <c r="H1065" s="446" t="s">
        <v>6921</v>
      </c>
      <c r="I1065" s="446" t="s">
        <v>6844</v>
      </c>
      <c r="J1065" s="446" t="s">
        <v>404</v>
      </c>
      <c r="K1065" s="446" t="s">
        <v>6922</v>
      </c>
      <c r="L1065" s="450"/>
      <c r="M1065" s="450"/>
      <c r="N1065" s="450"/>
      <c r="O1065" s="450"/>
      <c r="P1065" s="450"/>
      <c r="Q1065" s="450"/>
      <c r="R1065" s="450"/>
      <c r="S1065" s="451"/>
      <c r="T1065" s="450"/>
      <c r="U1065" s="451"/>
      <c r="V1065" s="450"/>
      <c r="W1065" s="450"/>
      <c r="X1065" s="450"/>
      <c r="Y1065" s="450"/>
      <c r="Z1065" s="450"/>
    </row>
    <row r="1066" spans="1:26" x14ac:dyDescent="0.25">
      <c r="A1066" s="446" t="s">
        <v>1348</v>
      </c>
      <c r="B1066" s="446"/>
      <c r="C1066" s="446" t="s">
        <v>619</v>
      </c>
      <c r="D1066" s="446" t="s">
        <v>6923</v>
      </c>
      <c r="E1066" s="448" t="s">
        <v>6915</v>
      </c>
      <c r="F1066" s="448">
        <v>36270</v>
      </c>
      <c r="G1066" s="446" t="s">
        <v>6918</v>
      </c>
      <c r="H1066" s="446" t="s">
        <v>251</v>
      </c>
      <c r="I1066" s="446" t="s">
        <v>6844</v>
      </c>
      <c r="J1066" s="446" t="s">
        <v>404</v>
      </c>
      <c r="K1066" s="446" t="s">
        <v>6924</v>
      </c>
      <c r="L1066" s="450"/>
      <c r="M1066" s="450"/>
      <c r="N1066" s="450"/>
      <c r="O1066" s="450"/>
      <c r="P1066" s="450"/>
      <c r="Q1066" s="450"/>
      <c r="R1066" s="450"/>
      <c r="S1066" s="451"/>
      <c r="T1066" s="450"/>
      <c r="U1066" s="451"/>
      <c r="V1066" s="450"/>
      <c r="W1066" s="450"/>
      <c r="X1066" s="450"/>
      <c r="Y1066" s="450"/>
      <c r="Z1066" s="450"/>
    </row>
    <row r="1067" spans="1:26" x14ac:dyDescent="0.25">
      <c r="A1067" s="446" t="s">
        <v>1335</v>
      </c>
      <c r="B1067" s="446"/>
      <c r="C1067" s="446" t="s">
        <v>619</v>
      </c>
      <c r="D1067" s="446" t="s">
        <v>6925</v>
      </c>
      <c r="E1067" s="448" t="s">
        <v>6915</v>
      </c>
      <c r="F1067" s="448">
        <v>36270</v>
      </c>
      <c r="G1067" s="446" t="s">
        <v>6918</v>
      </c>
      <c r="H1067" s="446" t="s">
        <v>1337</v>
      </c>
      <c r="I1067" s="446" t="s">
        <v>6844</v>
      </c>
      <c r="J1067" s="446" t="s">
        <v>404</v>
      </c>
      <c r="K1067" s="446" t="s">
        <v>6926</v>
      </c>
      <c r="L1067" s="450"/>
      <c r="M1067" s="450"/>
      <c r="N1067" s="450"/>
      <c r="O1067" s="450"/>
      <c r="P1067" s="450"/>
      <c r="Q1067" s="450"/>
      <c r="R1067" s="450"/>
      <c r="S1067" s="451"/>
      <c r="T1067" s="450"/>
      <c r="U1067" s="451"/>
      <c r="V1067" s="450"/>
      <c r="W1067" s="450"/>
      <c r="X1067" s="450"/>
      <c r="Y1067" s="450"/>
      <c r="Z1067" s="450"/>
    </row>
    <row r="1068" spans="1:26" x14ac:dyDescent="0.25">
      <c r="A1068" s="446" t="s">
        <v>1339</v>
      </c>
      <c r="B1068" s="446"/>
      <c r="C1068" s="446" t="s">
        <v>619</v>
      </c>
      <c r="D1068" s="446" t="s">
        <v>6927</v>
      </c>
      <c r="E1068" s="448" t="s">
        <v>6915</v>
      </c>
      <c r="F1068" s="448">
        <v>36270</v>
      </c>
      <c r="G1068" s="446" t="s">
        <v>6918</v>
      </c>
      <c r="H1068" s="446" t="s">
        <v>248</v>
      </c>
      <c r="I1068" s="446" t="s">
        <v>6844</v>
      </c>
      <c r="J1068" s="446" t="s">
        <v>404</v>
      </c>
      <c r="K1068" s="446" t="s">
        <v>6928</v>
      </c>
      <c r="L1068" s="450"/>
      <c r="M1068" s="450"/>
      <c r="N1068" s="450"/>
      <c r="O1068" s="450"/>
      <c r="P1068" s="450"/>
      <c r="Q1068" s="450"/>
      <c r="R1068" s="450"/>
      <c r="S1068" s="451"/>
      <c r="T1068" s="450"/>
      <c r="U1068" s="451"/>
      <c r="V1068" s="450"/>
      <c r="W1068" s="450"/>
      <c r="X1068" s="450"/>
      <c r="Y1068" s="450"/>
      <c r="Z1068" s="450"/>
    </row>
    <row r="1069" spans="1:26" x14ac:dyDescent="0.25">
      <c r="A1069" s="446" t="s">
        <v>1341</v>
      </c>
      <c r="B1069" s="446"/>
      <c r="C1069" s="446" t="s">
        <v>619</v>
      </c>
      <c r="D1069" s="446" t="s">
        <v>6929</v>
      </c>
      <c r="E1069" s="448" t="s">
        <v>6915</v>
      </c>
      <c r="F1069" s="448">
        <v>36270</v>
      </c>
      <c r="G1069" s="446" t="s">
        <v>6918</v>
      </c>
      <c r="H1069" s="446" t="s">
        <v>246</v>
      </c>
      <c r="I1069" s="446" t="s">
        <v>6844</v>
      </c>
      <c r="J1069" s="446" t="s">
        <v>404</v>
      </c>
      <c r="K1069" s="446" t="s">
        <v>6930</v>
      </c>
      <c r="L1069" s="450"/>
      <c r="M1069" s="450"/>
      <c r="N1069" s="450"/>
      <c r="O1069" s="450"/>
      <c r="P1069" s="450"/>
      <c r="Q1069" s="450"/>
      <c r="R1069" s="450"/>
      <c r="S1069" s="451"/>
      <c r="T1069" s="450"/>
      <c r="U1069" s="451"/>
      <c r="V1069" s="450"/>
      <c r="W1069" s="450"/>
      <c r="X1069" s="450"/>
      <c r="Y1069" s="450"/>
      <c r="Z1069" s="450"/>
    </row>
    <row r="1070" spans="1:26" x14ac:dyDescent="0.25">
      <c r="A1070" s="446" t="s">
        <v>1357</v>
      </c>
      <c r="B1070" s="446"/>
      <c r="C1070" s="446" t="s">
        <v>533</v>
      </c>
      <c r="D1070" s="446" t="s">
        <v>6931</v>
      </c>
      <c r="E1070" s="448" t="s">
        <v>6932</v>
      </c>
      <c r="F1070" s="448">
        <v>36481</v>
      </c>
      <c r="G1070" s="446" t="s">
        <v>1359</v>
      </c>
      <c r="H1070" s="446" t="s">
        <v>6933</v>
      </c>
      <c r="I1070" s="446" t="s">
        <v>5207</v>
      </c>
      <c r="J1070" s="446" t="s">
        <v>4604</v>
      </c>
      <c r="K1070" s="446" t="s">
        <v>6934</v>
      </c>
      <c r="L1070" s="450"/>
      <c r="M1070" s="450"/>
      <c r="N1070" s="450"/>
      <c r="O1070" s="450"/>
      <c r="P1070" s="450"/>
      <c r="Q1070" s="450"/>
      <c r="R1070" s="450"/>
      <c r="S1070" s="451"/>
      <c r="T1070" s="450"/>
      <c r="U1070" s="451"/>
      <c r="V1070" s="450"/>
      <c r="W1070" s="450"/>
      <c r="X1070" s="450"/>
      <c r="Y1070" s="450"/>
      <c r="Z1070" s="450"/>
    </row>
    <row r="1071" spans="1:26" x14ac:dyDescent="0.25">
      <c r="A1071" s="446" t="s">
        <v>1361</v>
      </c>
      <c r="B1071" s="446"/>
      <c r="C1071" s="446" t="s">
        <v>1362</v>
      </c>
      <c r="D1071" s="446" t="s">
        <v>6935</v>
      </c>
      <c r="E1071" s="448" t="s">
        <v>6936</v>
      </c>
      <c r="F1071" s="448">
        <v>36511</v>
      </c>
      <c r="G1071" s="446" t="s">
        <v>6937</v>
      </c>
      <c r="H1071" s="446" t="s">
        <v>102</v>
      </c>
      <c r="I1071" s="446" t="s">
        <v>6839</v>
      </c>
      <c r="J1071" s="446" t="s">
        <v>4604</v>
      </c>
      <c r="K1071" s="446" t="s">
        <v>6938</v>
      </c>
      <c r="L1071" s="450"/>
      <c r="M1071" s="450"/>
      <c r="N1071" s="450"/>
      <c r="O1071" s="450"/>
      <c r="P1071" s="450"/>
      <c r="Q1071" s="450"/>
      <c r="R1071" s="450"/>
      <c r="S1071" s="451"/>
      <c r="T1071" s="450"/>
      <c r="U1071" s="451"/>
      <c r="V1071" s="450"/>
      <c r="W1071" s="450"/>
      <c r="X1071" s="450"/>
      <c r="Y1071" s="450"/>
      <c r="Z1071" s="450"/>
    </row>
    <row r="1072" spans="1:26" x14ac:dyDescent="0.25">
      <c r="A1072" s="446" t="s">
        <v>6939</v>
      </c>
      <c r="B1072" s="446"/>
      <c r="C1072" s="446" t="s">
        <v>202</v>
      </c>
      <c r="D1072" s="446" t="s">
        <v>6940</v>
      </c>
      <c r="E1072" s="448" t="s">
        <v>6941</v>
      </c>
      <c r="F1072" s="448">
        <v>36516</v>
      </c>
      <c r="G1072" s="446" t="s">
        <v>253</v>
      </c>
      <c r="H1072" s="446" t="s">
        <v>262</v>
      </c>
      <c r="I1072" s="446" t="s">
        <v>215</v>
      </c>
      <c r="J1072" s="446" t="s">
        <v>746</v>
      </c>
      <c r="K1072" s="446" t="s">
        <v>6942</v>
      </c>
      <c r="L1072" s="450"/>
      <c r="M1072" s="450"/>
      <c r="N1072" s="450"/>
      <c r="O1072" s="450"/>
      <c r="P1072" s="450"/>
      <c r="Q1072" s="450"/>
      <c r="R1072" s="450"/>
      <c r="S1072" s="451"/>
      <c r="T1072" s="450"/>
      <c r="U1072" s="451"/>
      <c r="V1072" s="450"/>
      <c r="W1072" s="450"/>
      <c r="X1072" s="450"/>
      <c r="Y1072" s="450"/>
      <c r="Z1072" s="450"/>
    </row>
    <row r="1073" spans="1:26" x14ac:dyDescent="0.25">
      <c r="A1073" s="446" t="s">
        <v>6943</v>
      </c>
      <c r="B1073" s="446"/>
      <c r="C1073" s="446" t="s">
        <v>202</v>
      </c>
      <c r="D1073" s="446" t="s">
        <v>6944</v>
      </c>
      <c r="E1073" s="448" t="s">
        <v>6945</v>
      </c>
      <c r="F1073" s="448">
        <v>36532</v>
      </c>
      <c r="G1073" s="446" t="s">
        <v>241</v>
      </c>
      <c r="H1073" s="446" t="s">
        <v>262</v>
      </c>
      <c r="I1073" s="446" t="s">
        <v>215</v>
      </c>
      <c r="J1073" s="446" t="s">
        <v>746</v>
      </c>
      <c r="K1073" s="446" t="s">
        <v>6946</v>
      </c>
      <c r="L1073" s="450"/>
      <c r="M1073" s="450"/>
      <c r="N1073" s="450"/>
      <c r="O1073" s="450"/>
      <c r="P1073" s="450"/>
      <c r="Q1073" s="450"/>
      <c r="R1073" s="450"/>
      <c r="S1073" s="451"/>
      <c r="T1073" s="450"/>
      <c r="U1073" s="451"/>
      <c r="V1073" s="450"/>
      <c r="W1073" s="450"/>
      <c r="X1073" s="450"/>
      <c r="Y1073" s="450"/>
      <c r="Z1073" s="450"/>
    </row>
    <row r="1074" spans="1:26" x14ac:dyDescent="0.25">
      <c r="A1074" s="446" t="s">
        <v>6947</v>
      </c>
      <c r="B1074" s="446"/>
      <c r="C1074" s="446" t="s">
        <v>202</v>
      </c>
      <c r="D1074" s="446" t="s">
        <v>6948</v>
      </c>
      <c r="E1074" s="448" t="s">
        <v>6949</v>
      </c>
      <c r="F1074" s="448">
        <v>36545</v>
      </c>
      <c r="G1074" s="446" t="s">
        <v>6731</v>
      </c>
      <c r="H1074" s="446" t="s">
        <v>262</v>
      </c>
      <c r="I1074" s="446" t="s">
        <v>6950</v>
      </c>
      <c r="J1074" s="446" t="s">
        <v>746</v>
      </c>
      <c r="K1074" s="446" t="s">
        <v>6951</v>
      </c>
      <c r="L1074" s="450"/>
      <c r="M1074" s="450"/>
      <c r="N1074" s="450"/>
      <c r="O1074" s="450"/>
      <c r="P1074" s="450"/>
      <c r="Q1074" s="450"/>
      <c r="R1074" s="450"/>
      <c r="S1074" s="451"/>
      <c r="T1074" s="450"/>
      <c r="U1074" s="451"/>
      <c r="V1074" s="450"/>
      <c r="W1074" s="450"/>
      <c r="X1074" s="450"/>
      <c r="Y1074" s="450"/>
      <c r="Z1074" s="450"/>
    </row>
    <row r="1075" spans="1:26" x14ac:dyDescent="0.25">
      <c r="A1075" s="446" t="s">
        <v>6952</v>
      </c>
      <c r="B1075" s="446"/>
      <c r="C1075" s="446" t="s">
        <v>202</v>
      </c>
      <c r="D1075" s="446" t="s">
        <v>6953</v>
      </c>
      <c r="E1075" s="448" t="s">
        <v>6954</v>
      </c>
      <c r="F1075" s="448">
        <v>36546</v>
      </c>
      <c r="G1075" s="446" t="s">
        <v>246</v>
      </c>
      <c r="H1075" s="446" t="s">
        <v>4078</v>
      </c>
      <c r="I1075" s="446" t="s">
        <v>321</v>
      </c>
      <c r="J1075" s="446" t="s">
        <v>746</v>
      </c>
      <c r="K1075" s="446" t="s">
        <v>6955</v>
      </c>
      <c r="L1075" s="450"/>
      <c r="M1075" s="450"/>
      <c r="N1075" s="450"/>
      <c r="O1075" s="450"/>
      <c r="P1075" s="450"/>
      <c r="Q1075" s="450"/>
      <c r="R1075" s="450"/>
      <c r="S1075" s="451"/>
      <c r="T1075" s="450"/>
      <c r="U1075" s="451"/>
      <c r="V1075" s="450"/>
      <c r="W1075" s="450"/>
      <c r="X1075" s="450"/>
      <c r="Y1075" s="450"/>
      <c r="Z1075" s="450"/>
    </row>
    <row r="1076" spans="1:26" x14ac:dyDescent="0.25">
      <c r="A1076" s="446" t="s">
        <v>6956</v>
      </c>
      <c r="B1076" s="446"/>
      <c r="C1076" s="446" t="s">
        <v>202</v>
      </c>
      <c r="D1076" s="446" t="s">
        <v>6957</v>
      </c>
      <c r="E1076" s="448" t="s">
        <v>6958</v>
      </c>
      <c r="F1076" s="448">
        <v>36549</v>
      </c>
      <c r="G1076" s="446" t="s">
        <v>248</v>
      </c>
      <c r="H1076" s="446" t="s">
        <v>4078</v>
      </c>
      <c r="I1076" s="446" t="s">
        <v>321</v>
      </c>
      <c r="J1076" s="446" t="s">
        <v>746</v>
      </c>
      <c r="K1076" s="446" t="s">
        <v>6959</v>
      </c>
      <c r="L1076" s="450"/>
      <c r="M1076" s="450"/>
      <c r="N1076" s="450"/>
      <c r="O1076" s="450"/>
      <c r="P1076" s="450"/>
      <c r="Q1076" s="450"/>
      <c r="R1076" s="450"/>
      <c r="S1076" s="451"/>
      <c r="T1076" s="450"/>
      <c r="U1076" s="451"/>
      <c r="V1076" s="450"/>
      <c r="W1076" s="450"/>
      <c r="X1076" s="450"/>
      <c r="Y1076" s="450"/>
      <c r="Z1076" s="450"/>
    </row>
    <row r="1077" spans="1:26" x14ac:dyDescent="0.25">
      <c r="A1077" s="446" t="s">
        <v>6960</v>
      </c>
      <c r="B1077" s="446"/>
      <c r="C1077" s="446" t="s">
        <v>202</v>
      </c>
      <c r="D1077" s="446" t="s">
        <v>6961</v>
      </c>
      <c r="E1077" s="448" t="s">
        <v>6962</v>
      </c>
      <c r="F1077" s="448">
        <v>36551</v>
      </c>
      <c r="G1077" s="446" t="s">
        <v>6963</v>
      </c>
      <c r="H1077" s="446" t="s">
        <v>262</v>
      </c>
      <c r="I1077" s="446" t="s">
        <v>222</v>
      </c>
      <c r="J1077" s="446" t="s">
        <v>746</v>
      </c>
      <c r="K1077" s="446" t="s">
        <v>6964</v>
      </c>
      <c r="L1077" s="450"/>
      <c r="M1077" s="450"/>
      <c r="N1077" s="450"/>
      <c r="O1077" s="450"/>
      <c r="P1077" s="450"/>
      <c r="Q1077" s="450"/>
      <c r="R1077" s="450"/>
      <c r="S1077" s="451"/>
      <c r="T1077" s="450"/>
      <c r="U1077" s="451"/>
      <c r="V1077" s="450"/>
      <c r="W1077" s="450"/>
      <c r="X1077" s="450"/>
      <c r="Y1077" s="450"/>
      <c r="Z1077" s="450"/>
    </row>
    <row r="1078" spans="1:26" x14ac:dyDescent="0.25">
      <c r="A1078" s="446" t="s">
        <v>6965</v>
      </c>
      <c r="B1078" s="446"/>
      <c r="C1078" s="446" t="s">
        <v>202</v>
      </c>
      <c r="D1078" s="446" t="s">
        <v>6966</v>
      </c>
      <c r="E1078" s="448" t="s">
        <v>6967</v>
      </c>
      <c r="F1078" s="448">
        <v>36558</v>
      </c>
      <c r="G1078" s="446" t="s">
        <v>6968</v>
      </c>
      <c r="H1078" s="446" t="s">
        <v>4078</v>
      </c>
      <c r="I1078" s="446" t="s">
        <v>263</v>
      </c>
      <c r="J1078" s="446" t="s">
        <v>746</v>
      </c>
      <c r="K1078" s="446" t="s">
        <v>6969</v>
      </c>
      <c r="L1078" s="450"/>
      <c r="M1078" s="450"/>
      <c r="N1078" s="450"/>
      <c r="O1078" s="450"/>
      <c r="P1078" s="450"/>
      <c r="Q1078" s="450"/>
      <c r="R1078" s="450"/>
      <c r="S1078" s="451"/>
      <c r="T1078" s="450"/>
      <c r="U1078" s="451"/>
      <c r="V1078" s="450"/>
      <c r="W1078" s="450"/>
      <c r="X1078" s="450"/>
      <c r="Y1078" s="450"/>
      <c r="Z1078" s="450"/>
    </row>
    <row r="1079" spans="1:26" x14ac:dyDescent="0.25">
      <c r="A1079" s="446" t="s">
        <v>6970</v>
      </c>
      <c r="B1079" s="446"/>
      <c r="C1079" s="446" t="s">
        <v>202</v>
      </c>
      <c r="D1079" s="446" t="s">
        <v>6971</v>
      </c>
      <c r="E1079" s="448" t="s">
        <v>6967</v>
      </c>
      <c r="F1079" s="448">
        <v>36558</v>
      </c>
      <c r="G1079" s="446" t="s">
        <v>1199</v>
      </c>
      <c r="H1079" s="446" t="s">
        <v>262</v>
      </c>
      <c r="I1079" s="446" t="s">
        <v>222</v>
      </c>
      <c r="J1079" s="446" t="s">
        <v>746</v>
      </c>
      <c r="K1079" s="446" t="s">
        <v>6972</v>
      </c>
      <c r="L1079" s="450"/>
      <c r="M1079" s="450"/>
      <c r="N1079" s="450"/>
      <c r="O1079" s="450"/>
      <c r="P1079" s="450"/>
      <c r="Q1079" s="450"/>
      <c r="R1079" s="450"/>
      <c r="S1079" s="451"/>
      <c r="T1079" s="450"/>
      <c r="U1079" s="451"/>
      <c r="V1079" s="450"/>
      <c r="W1079" s="450"/>
      <c r="X1079" s="450"/>
      <c r="Y1079" s="450"/>
      <c r="Z1079" s="450"/>
    </row>
    <row r="1080" spans="1:26" x14ac:dyDescent="0.25">
      <c r="A1080" s="446" t="s">
        <v>6973</v>
      </c>
      <c r="B1080" s="446"/>
      <c r="C1080" s="446" t="s">
        <v>202</v>
      </c>
      <c r="D1080" s="446" t="s">
        <v>4451</v>
      </c>
      <c r="E1080" s="448" t="s">
        <v>6974</v>
      </c>
      <c r="F1080" s="448">
        <v>36564</v>
      </c>
      <c r="G1080" s="446" t="s">
        <v>4077</v>
      </c>
      <c r="H1080" s="446" t="s">
        <v>4078</v>
      </c>
      <c r="I1080" s="446" t="s">
        <v>321</v>
      </c>
      <c r="J1080" s="446" t="s">
        <v>746</v>
      </c>
      <c r="K1080" s="446" t="s">
        <v>6975</v>
      </c>
      <c r="L1080" s="450"/>
      <c r="M1080" s="450"/>
      <c r="N1080" s="450"/>
      <c r="O1080" s="450"/>
      <c r="P1080" s="450"/>
      <c r="Q1080" s="450"/>
      <c r="R1080" s="450"/>
      <c r="S1080" s="451"/>
      <c r="T1080" s="450"/>
      <c r="U1080" s="451"/>
      <c r="V1080" s="450"/>
      <c r="W1080" s="450"/>
      <c r="X1080" s="450"/>
      <c r="Y1080" s="450"/>
      <c r="Z1080" s="450"/>
    </row>
    <row r="1081" spans="1:26" x14ac:dyDescent="0.25">
      <c r="A1081" s="446" t="s">
        <v>6976</v>
      </c>
      <c r="B1081" s="446"/>
      <c r="C1081" s="446" t="s">
        <v>202</v>
      </c>
      <c r="D1081" s="446" t="s">
        <v>6977</v>
      </c>
      <c r="E1081" s="448" t="s">
        <v>6974</v>
      </c>
      <c r="F1081" s="448">
        <v>36564</v>
      </c>
      <c r="G1081" s="446" t="s">
        <v>6978</v>
      </c>
      <c r="H1081" s="446" t="s">
        <v>4078</v>
      </c>
      <c r="I1081" s="446" t="s">
        <v>321</v>
      </c>
      <c r="J1081" s="446" t="s">
        <v>746</v>
      </c>
      <c r="K1081" s="446" t="s">
        <v>6979</v>
      </c>
      <c r="L1081" s="450"/>
      <c r="M1081" s="450"/>
      <c r="N1081" s="450"/>
      <c r="O1081" s="450"/>
      <c r="P1081" s="450"/>
      <c r="Q1081" s="450"/>
      <c r="R1081" s="450"/>
      <c r="S1081" s="451"/>
      <c r="T1081" s="450"/>
      <c r="U1081" s="451"/>
      <c r="V1081" s="450"/>
      <c r="W1081" s="450"/>
      <c r="X1081" s="450"/>
      <c r="Y1081" s="450"/>
      <c r="Z1081" s="450"/>
    </row>
    <row r="1082" spans="1:26" x14ac:dyDescent="0.25">
      <c r="A1082" s="446" t="s">
        <v>6980</v>
      </c>
      <c r="B1082" s="446"/>
      <c r="C1082" s="446" t="s">
        <v>202</v>
      </c>
      <c r="D1082" s="446" t="s">
        <v>6981</v>
      </c>
      <c r="E1082" s="448" t="s">
        <v>6974</v>
      </c>
      <c r="F1082" s="448">
        <v>36564</v>
      </c>
      <c r="G1082" s="446" t="s">
        <v>279</v>
      </c>
      <c r="H1082" s="446" t="s">
        <v>4078</v>
      </c>
      <c r="I1082" s="446" t="s">
        <v>321</v>
      </c>
      <c r="J1082" s="446" t="s">
        <v>746</v>
      </c>
      <c r="K1082" s="446" t="s">
        <v>6982</v>
      </c>
      <c r="L1082" s="450"/>
      <c r="M1082" s="450"/>
      <c r="N1082" s="450"/>
      <c r="O1082" s="450"/>
      <c r="P1082" s="450"/>
      <c r="Q1082" s="450"/>
      <c r="R1082" s="450"/>
      <c r="S1082" s="451"/>
      <c r="T1082" s="450"/>
      <c r="U1082" s="451"/>
      <c r="V1082" s="450"/>
      <c r="W1082" s="450"/>
      <c r="X1082" s="450"/>
      <c r="Y1082" s="450"/>
      <c r="Z1082" s="450"/>
    </row>
    <row r="1083" spans="1:26" x14ac:dyDescent="0.25">
      <c r="A1083" s="446" t="s">
        <v>6983</v>
      </c>
      <c r="B1083" s="446"/>
      <c r="C1083" s="446" t="s">
        <v>202</v>
      </c>
      <c r="D1083" s="446" t="s">
        <v>4454</v>
      </c>
      <c r="E1083" s="448" t="s">
        <v>6984</v>
      </c>
      <c r="F1083" s="448">
        <v>36565</v>
      </c>
      <c r="G1083" s="446" t="s">
        <v>268</v>
      </c>
      <c r="H1083" s="446" t="s">
        <v>205</v>
      </c>
      <c r="I1083" s="446" t="s">
        <v>6985</v>
      </c>
      <c r="J1083" s="446" t="s">
        <v>746</v>
      </c>
      <c r="K1083" s="446" t="s">
        <v>6986</v>
      </c>
      <c r="L1083" s="450"/>
      <c r="M1083" s="450"/>
      <c r="N1083" s="450"/>
      <c r="O1083" s="450"/>
      <c r="P1083" s="450"/>
      <c r="Q1083" s="450"/>
      <c r="R1083" s="450"/>
      <c r="S1083" s="451"/>
      <c r="T1083" s="450"/>
      <c r="U1083" s="451"/>
      <c r="V1083" s="450"/>
      <c r="W1083" s="450"/>
      <c r="X1083" s="450"/>
      <c r="Y1083" s="450"/>
      <c r="Z1083" s="450"/>
    </row>
    <row r="1084" spans="1:26" x14ac:dyDescent="0.25">
      <c r="A1084" s="446" t="s">
        <v>6987</v>
      </c>
      <c r="B1084" s="446"/>
      <c r="C1084" s="446" t="s">
        <v>202</v>
      </c>
      <c r="D1084" s="446" t="s">
        <v>6988</v>
      </c>
      <c r="E1084" s="448" t="s">
        <v>6984</v>
      </c>
      <c r="F1084" s="448">
        <v>36565</v>
      </c>
      <c r="G1084" s="446" t="s">
        <v>339</v>
      </c>
      <c r="H1084" s="446" t="s">
        <v>205</v>
      </c>
      <c r="I1084" s="446" t="s">
        <v>6989</v>
      </c>
      <c r="J1084" s="446" t="s">
        <v>746</v>
      </c>
      <c r="K1084" s="446" t="s">
        <v>6990</v>
      </c>
      <c r="L1084" s="450"/>
      <c r="M1084" s="450"/>
      <c r="N1084" s="450"/>
      <c r="O1084" s="450"/>
      <c r="P1084" s="450"/>
      <c r="Q1084" s="450"/>
      <c r="R1084" s="450"/>
      <c r="S1084" s="451"/>
      <c r="T1084" s="450"/>
      <c r="U1084" s="451"/>
      <c r="V1084" s="450"/>
      <c r="W1084" s="450"/>
      <c r="X1084" s="450"/>
      <c r="Y1084" s="450"/>
      <c r="Z1084" s="450"/>
    </row>
    <row r="1085" spans="1:26" x14ac:dyDescent="0.25">
      <c r="A1085" s="446" t="s">
        <v>6991</v>
      </c>
      <c r="B1085" s="446"/>
      <c r="C1085" s="446" t="s">
        <v>202</v>
      </c>
      <c r="D1085" s="446" t="s">
        <v>6992</v>
      </c>
      <c r="E1085" s="448" t="s">
        <v>6984</v>
      </c>
      <c r="F1085" s="448">
        <v>36565</v>
      </c>
      <c r="G1085" s="446" t="s">
        <v>2397</v>
      </c>
      <c r="H1085" s="446" t="s">
        <v>205</v>
      </c>
      <c r="I1085" s="446" t="s">
        <v>6993</v>
      </c>
      <c r="J1085" s="446" t="s">
        <v>746</v>
      </c>
      <c r="K1085" s="446" t="s">
        <v>6994</v>
      </c>
      <c r="L1085" s="450"/>
      <c r="M1085" s="450"/>
      <c r="N1085" s="450"/>
      <c r="O1085" s="450"/>
      <c r="P1085" s="450"/>
      <c r="Q1085" s="450"/>
      <c r="R1085" s="450"/>
      <c r="S1085" s="451"/>
      <c r="T1085" s="450"/>
      <c r="U1085" s="451"/>
      <c r="V1085" s="450"/>
      <c r="W1085" s="450"/>
      <c r="X1085" s="450"/>
      <c r="Y1085" s="450"/>
      <c r="Z1085" s="450"/>
    </row>
    <row r="1086" spans="1:26" x14ac:dyDescent="0.25">
      <c r="A1086" s="446" t="s">
        <v>6995</v>
      </c>
      <c r="B1086" s="446"/>
      <c r="C1086" s="446" t="s">
        <v>202</v>
      </c>
      <c r="D1086" s="446" t="s">
        <v>6996</v>
      </c>
      <c r="E1086" s="448" t="s">
        <v>6984</v>
      </c>
      <c r="F1086" s="448">
        <v>36565</v>
      </c>
      <c r="G1086" s="446" t="s">
        <v>2813</v>
      </c>
      <c r="H1086" s="446" t="s">
        <v>205</v>
      </c>
      <c r="I1086" s="446" t="s">
        <v>6989</v>
      </c>
      <c r="J1086" s="446" t="s">
        <v>746</v>
      </c>
      <c r="K1086" s="446" t="s">
        <v>6997</v>
      </c>
      <c r="L1086" s="450"/>
      <c r="M1086" s="450"/>
      <c r="N1086" s="450"/>
      <c r="O1086" s="450"/>
      <c r="P1086" s="450"/>
      <c r="Q1086" s="450"/>
      <c r="R1086" s="450"/>
      <c r="S1086" s="451"/>
      <c r="T1086" s="450"/>
      <c r="U1086" s="451"/>
      <c r="V1086" s="450"/>
      <c r="W1086" s="450"/>
      <c r="X1086" s="450"/>
      <c r="Y1086" s="450"/>
      <c r="Z1086" s="450"/>
    </row>
    <row r="1087" spans="1:26" x14ac:dyDescent="0.25">
      <c r="A1087" s="446" t="s">
        <v>6998</v>
      </c>
      <c r="B1087" s="446"/>
      <c r="C1087" s="446" t="s">
        <v>202</v>
      </c>
      <c r="D1087" s="446" t="s">
        <v>6999</v>
      </c>
      <c r="E1087" s="448" t="s">
        <v>6984</v>
      </c>
      <c r="F1087" s="448">
        <v>36565</v>
      </c>
      <c r="G1087" s="446" t="s">
        <v>7000</v>
      </c>
      <c r="H1087" s="446" t="s">
        <v>4078</v>
      </c>
      <c r="I1087" s="446" t="s">
        <v>321</v>
      </c>
      <c r="J1087" s="446" t="s">
        <v>746</v>
      </c>
      <c r="K1087" s="446" t="s">
        <v>7001</v>
      </c>
      <c r="L1087" s="450"/>
      <c r="M1087" s="450"/>
      <c r="N1087" s="450"/>
      <c r="O1087" s="450"/>
      <c r="P1087" s="450"/>
      <c r="Q1087" s="450"/>
      <c r="R1087" s="450"/>
      <c r="S1087" s="451"/>
      <c r="T1087" s="450"/>
      <c r="U1087" s="451"/>
      <c r="V1087" s="450"/>
      <c r="W1087" s="450"/>
      <c r="X1087" s="450"/>
      <c r="Y1087" s="450"/>
      <c r="Z1087" s="450"/>
    </row>
    <row r="1088" spans="1:26" x14ac:dyDescent="0.25">
      <c r="A1088" s="446" t="s">
        <v>7002</v>
      </c>
      <c r="B1088" s="446"/>
      <c r="C1088" s="446" t="s">
        <v>202</v>
      </c>
      <c r="D1088" s="446" t="s">
        <v>7003</v>
      </c>
      <c r="E1088" s="448" t="s">
        <v>6984</v>
      </c>
      <c r="F1088" s="448">
        <v>36565</v>
      </c>
      <c r="G1088" s="446" t="s">
        <v>251</v>
      </c>
      <c r="H1088" s="446" t="s">
        <v>4078</v>
      </c>
      <c r="I1088" s="446" t="s">
        <v>321</v>
      </c>
      <c r="J1088" s="446" t="s">
        <v>746</v>
      </c>
      <c r="K1088" s="446" t="s">
        <v>7004</v>
      </c>
      <c r="L1088" s="450"/>
      <c r="M1088" s="450"/>
      <c r="N1088" s="450"/>
      <c r="O1088" s="450"/>
      <c r="P1088" s="450"/>
      <c r="Q1088" s="450"/>
      <c r="R1088" s="450"/>
      <c r="S1088" s="451"/>
      <c r="T1088" s="450"/>
      <c r="U1088" s="451"/>
      <c r="V1088" s="450"/>
      <c r="W1088" s="450"/>
      <c r="X1088" s="450"/>
      <c r="Y1088" s="450"/>
      <c r="Z1088" s="450"/>
    </row>
    <row r="1089" spans="1:26" x14ac:dyDescent="0.25">
      <c r="A1089" s="446" t="s">
        <v>7005</v>
      </c>
      <c r="B1089" s="446"/>
      <c r="C1089" s="446" t="s">
        <v>202</v>
      </c>
      <c r="D1089" s="446" t="s">
        <v>7006</v>
      </c>
      <c r="E1089" s="448" t="s">
        <v>6984</v>
      </c>
      <c r="F1089" s="448">
        <v>36565</v>
      </c>
      <c r="G1089" s="446" t="s">
        <v>4104</v>
      </c>
      <c r="H1089" s="446" t="s">
        <v>4078</v>
      </c>
      <c r="I1089" s="446" t="s">
        <v>321</v>
      </c>
      <c r="J1089" s="446" t="s">
        <v>746</v>
      </c>
      <c r="K1089" s="446" t="s">
        <v>7007</v>
      </c>
      <c r="L1089" s="450"/>
      <c r="M1089" s="450"/>
      <c r="N1089" s="450"/>
      <c r="O1089" s="450"/>
      <c r="P1089" s="450"/>
      <c r="Q1089" s="450"/>
      <c r="R1089" s="450"/>
      <c r="S1089" s="451"/>
      <c r="T1089" s="450"/>
      <c r="U1089" s="451"/>
      <c r="V1089" s="450"/>
      <c r="W1089" s="450"/>
      <c r="X1089" s="450"/>
      <c r="Y1089" s="450"/>
      <c r="Z1089" s="450"/>
    </row>
    <row r="1090" spans="1:26" x14ac:dyDescent="0.25">
      <c r="A1090" s="446" t="s">
        <v>7008</v>
      </c>
      <c r="B1090" s="446">
        <v>11</v>
      </c>
      <c r="C1090" s="446" t="s">
        <v>202</v>
      </c>
      <c r="D1090" s="446" t="s">
        <v>4457</v>
      </c>
      <c r="E1090" s="448" t="s">
        <v>7009</v>
      </c>
      <c r="F1090" s="448">
        <v>36566</v>
      </c>
      <c r="G1090" s="446" t="s">
        <v>236</v>
      </c>
      <c r="H1090" s="446" t="s">
        <v>262</v>
      </c>
      <c r="I1090" s="446" t="s">
        <v>238</v>
      </c>
      <c r="J1090" s="446" t="s">
        <v>746</v>
      </c>
      <c r="K1090" s="446" t="s">
        <v>7010</v>
      </c>
      <c r="L1090" s="450"/>
      <c r="M1090" s="450"/>
      <c r="N1090" s="450"/>
      <c r="O1090" s="450"/>
      <c r="P1090" s="450"/>
      <c r="Q1090" s="450"/>
      <c r="R1090" s="450"/>
      <c r="S1090" s="451"/>
      <c r="T1090" s="450"/>
      <c r="U1090" s="451"/>
      <c r="V1090" s="450"/>
      <c r="W1090" s="450"/>
      <c r="X1090" s="450"/>
      <c r="Y1090" s="450"/>
      <c r="Z1090" s="450"/>
    </row>
    <row r="1091" spans="1:26" x14ac:dyDescent="0.25">
      <c r="A1091" s="446" t="s">
        <v>7011</v>
      </c>
      <c r="B1091" s="446"/>
      <c r="C1091" s="446" t="s">
        <v>202</v>
      </c>
      <c r="D1091" s="446" t="s">
        <v>4460</v>
      </c>
      <c r="E1091" s="448" t="s">
        <v>7012</v>
      </c>
      <c r="F1091" s="448">
        <v>36572</v>
      </c>
      <c r="G1091" s="446" t="s">
        <v>1370</v>
      </c>
      <c r="H1091" s="446" t="s">
        <v>4078</v>
      </c>
      <c r="I1091" s="446" t="s">
        <v>222</v>
      </c>
      <c r="J1091" s="446" t="s">
        <v>746</v>
      </c>
      <c r="K1091" s="446" t="s">
        <v>7013</v>
      </c>
      <c r="L1091" s="450"/>
      <c r="M1091" s="450"/>
      <c r="N1091" s="450"/>
      <c r="O1091" s="450"/>
      <c r="P1091" s="450"/>
      <c r="Q1091" s="450"/>
      <c r="R1091" s="450"/>
      <c r="S1091" s="451"/>
      <c r="T1091" s="450"/>
      <c r="U1091" s="451"/>
      <c r="V1091" s="450"/>
      <c r="W1091" s="450"/>
      <c r="X1091" s="450"/>
      <c r="Y1091" s="450"/>
      <c r="Z1091" s="450"/>
    </row>
    <row r="1092" spans="1:26" x14ac:dyDescent="0.25">
      <c r="A1092" s="446" t="s">
        <v>1367</v>
      </c>
      <c r="B1092" s="446"/>
      <c r="C1092" s="446" t="s">
        <v>7014</v>
      </c>
      <c r="D1092" s="446" t="s">
        <v>7015</v>
      </c>
      <c r="E1092" s="448" t="s">
        <v>7012</v>
      </c>
      <c r="F1092" s="448">
        <v>36572</v>
      </c>
      <c r="G1092" s="446" t="s">
        <v>7016</v>
      </c>
      <c r="H1092" s="446" t="s">
        <v>7017</v>
      </c>
      <c r="I1092" s="446" t="s">
        <v>222</v>
      </c>
      <c r="J1092" s="446" t="s">
        <v>4604</v>
      </c>
      <c r="K1092" s="446" t="s">
        <v>7018</v>
      </c>
      <c r="L1092" s="450"/>
      <c r="M1092" s="450"/>
      <c r="N1092" s="450"/>
      <c r="O1092" s="450"/>
      <c r="P1092" s="450"/>
      <c r="Q1092" s="450"/>
      <c r="R1092" s="450"/>
      <c r="S1092" s="451"/>
      <c r="T1092" s="450"/>
      <c r="U1092" s="451"/>
      <c r="V1092" s="450"/>
      <c r="W1092" s="450"/>
      <c r="X1092" s="450"/>
      <c r="Y1092" s="450"/>
      <c r="Z1092" s="450"/>
    </row>
    <row r="1093" spans="1:26" x14ac:dyDescent="0.25">
      <c r="A1093" s="446" t="s">
        <v>7019</v>
      </c>
      <c r="B1093" s="446"/>
      <c r="C1093" s="446" t="s">
        <v>202</v>
      </c>
      <c r="D1093" s="446" t="s">
        <v>7020</v>
      </c>
      <c r="E1093" s="448" t="s">
        <v>7021</v>
      </c>
      <c r="F1093" s="448">
        <v>36586</v>
      </c>
      <c r="G1093" s="446" t="s">
        <v>331</v>
      </c>
      <c r="H1093" s="446" t="s">
        <v>4078</v>
      </c>
      <c r="I1093" s="446" t="s">
        <v>7022</v>
      </c>
      <c r="J1093" s="446" t="s">
        <v>746</v>
      </c>
      <c r="K1093" s="446" t="s">
        <v>7023</v>
      </c>
      <c r="L1093" s="450"/>
      <c r="M1093" s="450"/>
      <c r="N1093" s="450"/>
      <c r="O1093" s="450"/>
      <c r="P1093" s="450"/>
      <c r="Q1093" s="450"/>
      <c r="R1093" s="450"/>
      <c r="S1093" s="451"/>
      <c r="T1093" s="450"/>
      <c r="U1093" s="451"/>
      <c r="V1093" s="450"/>
      <c r="W1093" s="450"/>
      <c r="X1093" s="450"/>
      <c r="Y1093" s="450"/>
      <c r="Z1093" s="450"/>
    </row>
    <row r="1094" spans="1:26" x14ac:dyDescent="0.25">
      <c r="A1094" s="446" t="s">
        <v>7024</v>
      </c>
      <c r="B1094" s="446"/>
      <c r="C1094" s="446" t="s">
        <v>202</v>
      </c>
      <c r="D1094" s="446" t="s">
        <v>7025</v>
      </c>
      <c r="E1094" s="448" t="s">
        <v>7021</v>
      </c>
      <c r="F1094" s="448">
        <v>36586</v>
      </c>
      <c r="G1094" s="446" t="s">
        <v>370</v>
      </c>
      <c r="H1094" s="446" t="s">
        <v>4078</v>
      </c>
      <c r="I1094" s="446" t="s">
        <v>7026</v>
      </c>
      <c r="J1094" s="446" t="s">
        <v>746</v>
      </c>
      <c r="K1094" s="446" t="s">
        <v>7027</v>
      </c>
      <c r="L1094" s="450"/>
      <c r="M1094" s="450"/>
      <c r="N1094" s="450"/>
      <c r="O1094" s="450"/>
      <c r="P1094" s="450"/>
      <c r="Q1094" s="450"/>
      <c r="R1094" s="450"/>
      <c r="S1094" s="451"/>
      <c r="T1094" s="450"/>
      <c r="U1094" s="451"/>
      <c r="V1094" s="450"/>
      <c r="W1094" s="450"/>
      <c r="X1094" s="450"/>
      <c r="Y1094" s="450"/>
      <c r="Z1094" s="450"/>
    </row>
    <row r="1095" spans="1:26" x14ac:dyDescent="0.25">
      <c r="A1095" s="446" t="s">
        <v>7028</v>
      </c>
      <c r="B1095" s="446"/>
      <c r="C1095" s="446" t="s">
        <v>202</v>
      </c>
      <c r="D1095" s="446" t="s">
        <v>7029</v>
      </c>
      <c r="E1095" s="448" t="s">
        <v>7030</v>
      </c>
      <c r="F1095" s="448">
        <v>36593</v>
      </c>
      <c r="G1095" s="446" t="s">
        <v>230</v>
      </c>
      <c r="H1095" s="446" t="s">
        <v>262</v>
      </c>
      <c r="I1095" s="446" t="s">
        <v>7031</v>
      </c>
      <c r="J1095" s="446" t="s">
        <v>746</v>
      </c>
      <c r="K1095" s="446" t="s">
        <v>7032</v>
      </c>
      <c r="L1095" s="450"/>
      <c r="M1095" s="450"/>
      <c r="N1095" s="450"/>
      <c r="O1095" s="450"/>
      <c r="P1095" s="450"/>
      <c r="Q1095" s="450"/>
      <c r="R1095" s="450"/>
      <c r="S1095" s="451"/>
      <c r="T1095" s="450"/>
      <c r="U1095" s="451"/>
      <c r="V1095" s="450"/>
      <c r="W1095" s="450"/>
      <c r="X1095" s="450"/>
      <c r="Y1095" s="450"/>
      <c r="Z1095" s="450"/>
    </row>
    <row r="1096" spans="1:26" x14ac:dyDescent="0.25">
      <c r="A1096" s="446" t="s">
        <v>7033</v>
      </c>
      <c r="B1096" s="446"/>
      <c r="C1096" s="446" t="s">
        <v>202</v>
      </c>
      <c r="D1096" s="446" t="s">
        <v>7034</v>
      </c>
      <c r="E1096" s="448" t="s">
        <v>7030</v>
      </c>
      <c r="F1096" s="448">
        <v>36593</v>
      </c>
      <c r="G1096" s="446" t="s">
        <v>1221</v>
      </c>
      <c r="H1096" s="446" t="s">
        <v>262</v>
      </c>
      <c r="I1096" s="446" t="s">
        <v>7035</v>
      </c>
      <c r="J1096" s="446" t="s">
        <v>746</v>
      </c>
      <c r="K1096" s="446" t="s">
        <v>7036</v>
      </c>
      <c r="L1096" s="450"/>
      <c r="M1096" s="450"/>
      <c r="N1096" s="450"/>
      <c r="O1096" s="450"/>
      <c r="P1096" s="450"/>
      <c r="Q1096" s="450"/>
      <c r="R1096" s="450"/>
      <c r="S1096" s="451"/>
      <c r="T1096" s="450"/>
      <c r="U1096" s="451"/>
      <c r="V1096" s="450"/>
      <c r="W1096" s="450"/>
      <c r="X1096" s="450"/>
      <c r="Y1096" s="450"/>
      <c r="Z1096" s="450"/>
    </row>
    <row r="1097" spans="1:26" x14ac:dyDescent="0.25">
      <c r="A1097" s="446" t="s">
        <v>7037</v>
      </c>
      <c r="B1097" s="446"/>
      <c r="C1097" s="446" t="s">
        <v>202</v>
      </c>
      <c r="D1097" s="446" t="s">
        <v>7038</v>
      </c>
      <c r="E1097" s="448" t="s">
        <v>7030</v>
      </c>
      <c r="F1097" s="448">
        <v>36593</v>
      </c>
      <c r="G1097" s="446" t="s">
        <v>7039</v>
      </c>
      <c r="H1097" s="446" t="s">
        <v>262</v>
      </c>
      <c r="I1097" s="446" t="s">
        <v>222</v>
      </c>
      <c r="J1097" s="446" t="s">
        <v>746</v>
      </c>
      <c r="K1097" s="446" t="s">
        <v>7040</v>
      </c>
      <c r="L1097" s="450"/>
      <c r="M1097" s="450"/>
      <c r="N1097" s="450"/>
      <c r="O1097" s="450"/>
      <c r="P1097" s="450"/>
      <c r="Q1097" s="450"/>
      <c r="R1097" s="450"/>
      <c r="S1097" s="451"/>
      <c r="T1097" s="450"/>
      <c r="U1097" s="451"/>
      <c r="V1097" s="450"/>
      <c r="W1097" s="450"/>
      <c r="X1097" s="450"/>
      <c r="Y1097" s="450"/>
      <c r="Z1097" s="450"/>
    </row>
    <row r="1098" spans="1:26" x14ac:dyDescent="0.25">
      <c r="A1098" s="446" t="s">
        <v>3033</v>
      </c>
      <c r="B1098" s="446">
        <v>69</v>
      </c>
      <c r="C1098" s="446" t="s">
        <v>1456</v>
      </c>
      <c r="D1098" s="446" t="s">
        <v>3036</v>
      </c>
      <c r="E1098" s="448" t="s">
        <v>7041</v>
      </c>
      <c r="F1098" s="448">
        <v>36600</v>
      </c>
      <c r="G1098" s="446" t="s">
        <v>205</v>
      </c>
      <c r="H1098" s="446" t="s">
        <v>85</v>
      </c>
      <c r="I1098" s="446" t="s">
        <v>238</v>
      </c>
      <c r="J1098" s="446" t="s">
        <v>746</v>
      </c>
      <c r="K1098" s="446" t="s">
        <v>7042</v>
      </c>
      <c r="L1098" s="450"/>
      <c r="M1098" s="450"/>
      <c r="N1098" s="450"/>
      <c r="O1098" s="450"/>
      <c r="P1098" s="450"/>
      <c r="Q1098" s="450"/>
      <c r="R1098" s="450"/>
      <c r="S1098" s="451"/>
      <c r="T1098" s="450"/>
      <c r="U1098" s="451"/>
      <c r="V1098" s="450"/>
      <c r="W1098" s="450"/>
      <c r="X1098" s="450"/>
      <c r="Y1098" s="450"/>
      <c r="Z1098" s="450"/>
    </row>
    <row r="1099" spans="1:26" x14ac:dyDescent="0.25">
      <c r="A1099" s="446" t="s">
        <v>7043</v>
      </c>
      <c r="B1099" s="446"/>
      <c r="C1099" s="446" t="s">
        <v>202</v>
      </c>
      <c r="D1099" s="446" t="s">
        <v>4593</v>
      </c>
      <c r="E1099" s="448" t="s">
        <v>7044</v>
      </c>
      <c r="F1099" s="448">
        <v>36612</v>
      </c>
      <c r="G1099" s="446" t="s">
        <v>4114</v>
      </c>
      <c r="H1099" s="446" t="s">
        <v>205</v>
      </c>
      <c r="I1099" s="446" t="s">
        <v>7045</v>
      </c>
      <c r="J1099" s="446" t="s">
        <v>746</v>
      </c>
      <c r="K1099" s="446" t="s">
        <v>7046</v>
      </c>
      <c r="L1099" s="450"/>
      <c r="M1099" s="450"/>
      <c r="N1099" s="450"/>
      <c r="O1099" s="450"/>
      <c r="P1099" s="450"/>
      <c r="Q1099" s="450"/>
      <c r="R1099" s="450"/>
      <c r="S1099" s="451"/>
      <c r="T1099" s="450"/>
      <c r="U1099" s="451"/>
      <c r="V1099" s="450"/>
      <c r="W1099" s="450"/>
      <c r="X1099" s="450"/>
      <c r="Y1099" s="450"/>
      <c r="Z1099" s="450"/>
    </row>
    <row r="1100" spans="1:26" x14ac:dyDescent="0.25">
      <c r="A1100" s="446" t="s">
        <v>7047</v>
      </c>
      <c r="B1100" s="446">
        <v>71</v>
      </c>
      <c r="C1100" s="446" t="s">
        <v>202</v>
      </c>
      <c r="D1100" s="446" t="s">
        <v>4595</v>
      </c>
      <c r="E1100" s="448" t="s">
        <v>7048</v>
      </c>
      <c r="F1100" s="448">
        <v>36613</v>
      </c>
      <c r="G1100" s="446" t="s">
        <v>4119</v>
      </c>
      <c r="H1100" s="446" t="s">
        <v>262</v>
      </c>
      <c r="I1100" s="446" t="s">
        <v>7049</v>
      </c>
      <c r="J1100" s="446" t="s">
        <v>746</v>
      </c>
      <c r="K1100" s="446" t="s">
        <v>7050</v>
      </c>
      <c r="L1100" s="450"/>
      <c r="M1100" s="450"/>
      <c r="N1100" s="450"/>
      <c r="O1100" s="450"/>
      <c r="P1100" s="450"/>
      <c r="Q1100" s="450"/>
      <c r="R1100" s="450"/>
      <c r="S1100" s="451"/>
      <c r="T1100" s="450"/>
      <c r="U1100" s="451"/>
      <c r="V1100" s="450"/>
      <c r="W1100" s="450"/>
      <c r="X1100" s="450"/>
      <c r="Y1100" s="450"/>
      <c r="Z1100" s="450"/>
    </row>
    <row r="1101" spans="1:26" x14ac:dyDescent="0.25">
      <c r="A1101" s="446" t="s">
        <v>7051</v>
      </c>
      <c r="B1101" s="446">
        <v>72</v>
      </c>
      <c r="C1101" s="446" t="s">
        <v>202</v>
      </c>
      <c r="D1101" s="446" t="s">
        <v>7052</v>
      </c>
      <c r="E1101" s="448" t="s">
        <v>7048</v>
      </c>
      <c r="F1101" s="448">
        <v>36613</v>
      </c>
      <c r="G1101" s="446" t="s">
        <v>209</v>
      </c>
      <c r="H1101" s="446" t="s">
        <v>262</v>
      </c>
      <c r="I1101" s="446" t="s">
        <v>7049</v>
      </c>
      <c r="J1101" s="446" t="s">
        <v>746</v>
      </c>
      <c r="K1101" s="446" t="s">
        <v>7053</v>
      </c>
      <c r="L1101" s="450"/>
      <c r="M1101" s="450"/>
      <c r="N1101" s="450"/>
      <c r="O1101" s="450"/>
      <c r="P1101" s="450"/>
      <c r="Q1101" s="450"/>
      <c r="R1101" s="450"/>
      <c r="S1101" s="451"/>
      <c r="T1101" s="450"/>
      <c r="U1101" s="451"/>
      <c r="V1101" s="450"/>
      <c r="W1101" s="450"/>
      <c r="X1101" s="450"/>
      <c r="Y1101" s="450"/>
      <c r="Z1101" s="450"/>
    </row>
    <row r="1102" spans="1:26" x14ac:dyDescent="0.25">
      <c r="A1102" s="446" t="s">
        <v>7054</v>
      </c>
      <c r="B1102" s="446"/>
      <c r="C1102" s="446" t="s">
        <v>202</v>
      </c>
      <c r="D1102" s="446" t="s">
        <v>7055</v>
      </c>
      <c r="E1102" s="448" t="s">
        <v>7056</v>
      </c>
      <c r="F1102" s="448">
        <v>36616</v>
      </c>
      <c r="G1102" s="446" t="s">
        <v>211</v>
      </c>
      <c r="H1102" s="446" t="s">
        <v>262</v>
      </c>
      <c r="I1102" s="446" t="s">
        <v>7049</v>
      </c>
      <c r="J1102" s="446" t="s">
        <v>746</v>
      </c>
      <c r="K1102" s="446" t="s">
        <v>7057</v>
      </c>
      <c r="L1102" s="450"/>
      <c r="M1102" s="450"/>
      <c r="N1102" s="450"/>
      <c r="O1102" s="450"/>
      <c r="P1102" s="450"/>
      <c r="Q1102" s="450"/>
      <c r="R1102" s="450"/>
      <c r="S1102" s="451"/>
      <c r="T1102" s="450"/>
      <c r="U1102" s="451"/>
      <c r="V1102" s="450"/>
      <c r="W1102" s="450"/>
      <c r="X1102" s="450"/>
      <c r="Y1102" s="450"/>
      <c r="Z1102" s="450"/>
    </row>
    <row r="1103" spans="1:26" x14ac:dyDescent="0.25">
      <c r="A1103" s="446" t="s">
        <v>7058</v>
      </c>
      <c r="B1103" s="446"/>
      <c r="C1103" s="446" t="s">
        <v>202</v>
      </c>
      <c r="D1103" s="446" t="s">
        <v>7059</v>
      </c>
      <c r="E1103" s="448" t="s">
        <v>7060</v>
      </c>
      <c r="F1103" s="448">
        <v>36621</v>
      </c>
      <c r="G1103" s="446" t="s">
        <v>875</v>
      </c>
      <c r="H1103" s="446" t="s">
        <v>4078</v>
      </c>
      <c r="I1103" s="446" t="s">
        <v>321</v>
      </c>
      <c r="J1103" s="446" t="s">
        <v>746</v>
      </c>
      <c r="K1103" s="446" t="s">
        <v>7061</v>
      </c>
      <c r="L1103" s="450"/>
      <c r="M1103" s="450"/>
      <c r="N1103" s="450"/>
      <c r="O1103" s="450"/>
      <c r="P1103" s="450"/>
      <c r="Q1103" s="450"/>
      <c r="R1103" s="450"/>
      <c r="S1103" s="451"/>
      <c r="T1103" s="450"/>
      <c r="U1103" s="451"/>
      <c r="V1103" s="450"/>
      <c r="W1103" s="450"/>
      <c r="X1103" s="450"/>
      <c r="Y1103" s="450"/>
      <c r="Z1103" s="450"/>
    </row>
    <row r="1104" spans="1:26" x14ac:dyDescent="0.25">
      <c r="A1104" s="446" t="s">
        <v>7062</v>
      </c>
      <c r="B1104" s="446"/>
      <c r="C1104" s="446" t="s">
        <v>202</v>
      </c>
      <c r="D1104" s="446" t="s">
        <v>7063</v>
      </c>
      <c r="E1104" s="448" t="s">
        <v>7064</v>
      </c>
      <c r="F1104" s="448">
        <v>36623</v>
      </c>
      <c r="G1104" s="446" t="s">
        <v>7065</v>
      </c>
      <c r="H1104" s="446" t="s">
        <v>4078</v>
      </c>
      <c r="I1104" s="446" t="s">
        <v>222</v>
      </c>
      <c r="J1104" s="446" t="s">
        <v>746</v>
      </c>
      <c r="K1104" s="446" t="s">
        <v>7066</v>
      </c>
      <c r="L1104" s="450"/>
      <c r="M1104" s="450"/>
      <c r="N1104" s="450"/>
      <c r="O1104" s="450"/>
      <c r="P1104" s="450"/>
      <c r="Q1104" s="450"/>
      <c r="R1104" s="450"/>
      <c r="S1104" s="451"/>
      <c r="T1104" s="450"/>
      <c r="U1104" s="451"/>
      <c r="V1104" s="450"/>
      <c r="W1104" s="450"/>
      <c r="X1104" s="450"/>
      <c r="Y1104" s="450"/>
      <c r="Z1104" s="450"/>
    </row>
    <row r="1105" spans="1:26" x14ac:dyDescent="0.25">
      <c r="A1105" s="446" t="s">
        <v>7067</v>
      </c>
      <c r="B1105" s="446"/>
      <c r="C1105" s="446" t="s">
        <v>1456</v>
      </c>
      <c r="D1105" s="446" t="s">
        <v>7068</v>
      </c>
      <c r="E1105" s="448" t="s">
        <v>7069</v>
      </c>
      <c r="F1105" s="448">
        <v>36643</v>
      </c>
      <c r="G1105" s="446" t="s">
        <v>7070</v>
      </c>
      <c r="H1105" s="446" t="s">
        <v>85</v>
      </c>
      <c r="I1105" s="446" t="s">
        <v>6778</v>
      </c>
      <c r="J1105" s="446" t="s">
        <v>746</v>
      </c>
      <c r="K1105" s="446" t="s">
        <v>7071</v>
      </c>
      <c r="L1105" s="450"/>
      <c r="M1105" s="450"/>
      <c r="N1105" s="450"/>
      <c r="O1105" s="450"/>
      <c r="P1105" s="450"/>
      <c r="Q1105" s="450"/>
      <c r="R1105" s="450"/>
      <c r="S1105" s="451"/>
      <c r="T1105" s="450"/>
      <c r="U1105" s="451"/>
      <c r="V1105" s="450"/>
      <c r="W1105" s="450"/>
      <c r="X1105" s="450"/>
      <c r="Y1105" s="450"/>
      <c r="Z1105" s="450"/>
    </row>
    <row r="1106" spans="1:26" x14ac:dyDescent="0.25">
      <c r="A1106" s="446" t="s">
        <v>1372</v>
      </c>
      <c r="B1106" s="446"/>
      <c r="C1106" s="446" t="s">
        <v>619</v>
      </c>
      <c r="D1106" s="446" t="s">
        <v>7072</v>
      </c>
      <c r="E1106" s="448" t="s">
        <v>7073</v>
      </c>
      <c r="F1106" s="448">
        <v>36647</v>
      </c>
      <c r="G1106" s="446" t="s">
        <v>6892</v>
      </c>
      <c r="H1106" s="446" t="s">
        <v>1375</v>
      </c>
      <c r="I1106" s="446" t="s">
        <v>6811</v>
      </c>
      <c r="J1106" s="446" t="s">
        <v>404</v>
      </c>
      <c r="K1106" s="446" t="s">
        <v>7074</v>
      </c>
      <c r="L1106" s="450"/>
      <c r="M1106" s="450"/>
      <c r="N1106" s="450"/>
      <c r="O1106" s="450"/>
      <c r="P1106" s="450"/>
      <c r="Q1106" s="450"/>
      <c r="R1106" s="450"/>
      <c r="S1106" s="451"/>
      <c r="T1106" s="450"/>
      <c r="U1106" s="451"/>
      <c r="V1106" s="450"/>
      <c r="W1106" s="450"/>
      <c r="X1106" s="450"/>
      <c r="Y1106" s="450"/>
      <c r="Z1106" s="450"/>
    </row>
    <row r="1107" spans="1:26" x14ac:dyDescent="0.25">
      <c r="A1107" s="446" t="s">
        <v>7075</v>
      </c>
      <c r="B1107" s="446"/>
      <c r="C1107" s="446" t="s">
        <v>202</v>
      </c>
      <c r="D1107" s="446" t="s">
        <v>7076</v>
      </c>
      <c r="E1107" s="448" t="s">
        <v>7077</v>
      </c>
      <c r="F1107" s="448">
        <v>36671</v>
      </c>
      <c r="G1107" s="446" t="s">
        <v>7078</v>
      </c>
      <c r="H1107" s="446" t="s">
        <v>262</v>
      </c>
      <c r="I1107" s="446" t="s">
        <v>6877</v>
      </c>
      <c r="J1107" s="446" t="s">
        <v>746</v>
      </c>
      <c r="K1107" s="446" t="s">
        <v>7079</v>
      </c>
      <c r="L1107" s="450"/>
      <c r="M1107" s="450"/>
      <c r="N1107" s="450"/>
      <c r="O1107" s="450"/>
      <c r="P1107" s="450"/>
      <c r="Q1107" s="450"/>
      <c r="R1107" s="450"/>
      <c r="S1107" s="451"/>
      <c r="T1107" s="450"/>
      <c r="U1107" s="451"/>
      <c r="V1107" s="450"/>
      <c r="W1107" s="450"/>
      <c r="X1107" s="450"/>
      <c r="Y1107" s="450"/>
      <c r="Z1107" s="450"/>
    </row>
    <row r="1108" spans="1:26" x14ac:dyDescent="0.25">
      <c r="A1108" s="446" t="s">
        <v>7080</v>
      </c>
      <c r="B1108" s="446"/>
      <c r="C1108" s="446" t="s">
        <v>1902</v>
      </c>
      <c r="D1108" s="446" t="s">
        <v>7081</v>
      </c>
      <c r="E1108" s="448" t="s">
        <v>7082</v>
      </c>
      <c r="F1108" s="448">
        <v>36679</v>
      </c>
      <c r="G1108" s="446" t="s">
        <v>3301</v>
      </c>
      <c r="H1108" s="446" t="s">
        <v>7083</v>
      </c>
      <c r="I1108" s="446" t="s">
        <v>7084</v>
      </c>
      <c r="J1108" s="446" t="s">
        <v>760</v>
      </c>
      <c r="K1108" s="446" t="s">
        <v>7085</v>
      </c>
      <c r="L1108" s="450"/>
      <c r="M1108" s="450"/>
      <c r="N1108" s="450"/>
      <c r="O1108" s="450"/>
      <c r="P1108" s="450"/>
      <c r="Q1108" s="450"/>
      <c r="R1108" s="450"/>
      <c r="S1108" s="451"/>
      <c r="T1108" s="450"/>
      <c r="U1108" s="451"/>
      <c r="V1108" s="450"/>
      <c r="W1108" s="450"/>
      <c r="X1108" s="450"/>
      <c r="Y1108" s="450"/>
      <c r="Z1108" s="450"/>
    </row>
    <row r="1109" spans="1:26" x14ac:dyDescent="0.25">
      <c r="A1109" s="446" t="s">
        <v>7086</v>
      </c>
      <c r="B1109" s="446"/>
      <c r="C1109" s="446" t="s">
        <v>1456</v>
      </c>
      <c r="D1109" s="446" t="s">
        <v>7087</v>
      </c>
      <c r="E1109" s="448" t="s">
        <v>7088</v>
      </c>
      <c r="F1109" s="448">
        <v>36717</v>
      </c>
      <c r="G1109" s="446" t="s">
        <v>7089</v>
      </c>
      <c r="H1109" s="446" t="s">
        <v>6849</v>
      </c>
      <c r="I1109" s="446" t="s">
        <v>5207</v>
      </c>
      <c r="J1109" s="446" t="s">
        <v>746</v>
      </c>
      <c r="K1109" s="446" t="s">
        <v>7090</v>
      </c>
      <c r="L1109" s="450"/>
      <c r="M1109" s="450"/>
      <c r="N1109" s="450"/>
      <c r="O1109" s="450"/>
      <c r="P1109" s="450"/>
      <c r="Q1109" s="450"/>
      <c r="R1109" s="450"/>
      <c r="S1109" s="451"/>
      <c r="T1109" s="450"/>
      <c r="U1109" s="451"/>
      <c r="V1109" s="450"/>
      <c r="W1109" s="450"/>
      <c r="X1109" s="450"/>
      <c r="Y1109" s="450"/>
      <c r="Z1109" s="450"/>
    </row>
    <row r="1110" spans="1:26" x14ac:dyDescent="0.25">
      <c r="A1110" s="446" t="s">
        <v>1376</v>
      </c>
      <c r="B1110" s="446"/>
      <c r="C1110" s="446" t="s">
        <v>1160</v>
      </c>
      <c r="D1110" s="446" t="s">
        <v>7091</v>
      </c>
      <c r="E1110" s="448" t="s">
        <v>7092</v>
      </c>
      <c r="F1110" s="448">
        <v>36802</v>
      </c>
      <c r="G1110" s="446" t="s">
        <v>7000</v>
      </c>
      <c r="H1110" s="446" t="s">
        <v>4104</v>
      </c>
      <c r="I1110" s="446" t="s">
        <v>6844</v>
      </c>
      <c r="J1110" s="446" t="s">
        <v>404</v>
      </c>
      <c r="K1110" s="446" t="s">
        <v>7093</v>
      </c>
      <c r="L1110" s="450"/>
      <c r="M1110" s="450"/>
      <c r="N1110" s="450"/>
      <c r="O1110" s="450"/>
      <c r="P1110" s="450"/>
      <c r="Q1110" s="450"/>
      <c r="R1110" s="450"/>
      <c r="S1110" s="451"/>
      <c r="T1110" s="450"/>
      <c r="U1110" s="451"/>
      <c r="V1110" s="450"/>
      <c r="W1110" s="450"/>
      <c r="X1110" s="450"/>
      <c r="Y1110" s="450"/>
      <c r="Z1110" s="450"/>
    </row>
    <row r="1111" spans="1:26" x14ac:dyDescent="0.25">
      <c r="A1111" s="446" t="s">
        <v>7094</v>
      </c>
      <c r="B1111" s="446"/>
      <c r="C1111" s="446" t="s">
        <v>202</v>
      </c>
      <c r="D1111" s="446" t="s">
        <v>7095</v>
      </c>
      <c r="E1111" s="448" t="s">
        <v>7096</v>
      </c>
      <c r="F1111" s="448">
        <v>36816</v>
      </c>
      <c r="G1111" s="446" t="s">
        <v>353</v>
      </c>
      <c r="H1111" s="446" t="s">
        <v>262</v>
      </c>
      <c r="I1111" s="446" t="s">
        <v>215</v>
      </c>
      <c r="J1111" s="446" t="s">
        <v>746</v>
      </c>
      <c r="K1111" s="446" t="s">
        <v>7097</v>
      </c>
      <c r="L1111" s="450"/>
      <c r="M1111" s="450"/>
      <c r="N1111" s="450"/>
      <c r="O1111" s="450"/>
      <c r="P1111" s="450"/>
      <c r="Q1111" s="450"/>
      <c r="R1111" s="450"/>
      <c r="S1111" s="451"/>
      <c r="T1111" s="450"/>
      <c r="U1111" s="451"/>
      <c r="V1111" s="450"/>
      <c r="W1111" s="450"/>
      <c r="X1111" s="450"/>
      <c r="Y1111" s="450"/>
      <c r="Z1111" s="450"/>
    </row>
    <row r="1112" spans="1:26" x14ac:dyDescent="0.25">
      <c r="A1112" s="446" t="s">
        <v>7098</v>
      </c>
      <c r="B1112" s="446"/>
      <c r="C1112" s="446" t="s">
        <v>202</v>
      </c>
      <c r="D1112" s="446" t="s">
        <v>7099</v>
      </c>
      <c r="E1112" s="448" t="s">
        <v>7100</v>
      </c>
      <c r="F1112" s="448">
        <v>36824</v>
      </c>
      <c r="G1112" s="446" t="s">
        <v>7101</v>
      </c>
      <c r="H1112" s="446" t="s">
        <v>262</v>
      </c>
      <c r="I1112" s="446" t="s">
        <v>263</v>
      </c>
      <c r="J1112" s="446" t="s">
        <v>746</v>
      </c>
      <c r="K1112" s="446" t="s">
        <v>7102</v>
      </c>
      <c r="L1112" s="450"/>
      <c r="M1112" s="450"/>
      <c r="N1112" s="450"/>
      <c r="O1112" s="450"/>
      <c r="P1112" s="450"/>
      <c r="Q1112" s="450"/>
      <c r="R1112" s="450"/>
      <c r="S1112" s="451"/>
      <c r="T1112" s="450"/>
      <c r="U1112" s="451"/>
      <c r="V1112" s="450"/>
      <c r="W1112" s="450"/>
      <c r="X1112" s="450"/>
      <c r="Y1112" s="450"/>
      <c r="Z1112" s="450"/>
    </row>
    <row r="1113" spans="1:26" x14ac:dyDescent="0.25">
      <c r="A1113" s="446" t="s">
        <v>7103</v>
      </c>
      <c r="B1113" s="446"/>
      <c r="C1113" s="446" t="s">
        <v>202</v>
      </c>
      <c r="D1113" s="446" t="s">
        <v>7104</v>
      </c>
      <c r="E1113" s="448" t="s">
        <v>7100</v>
      </c>
      <c r="F1113" s="448">
        <v>36824</v>
      </c>
      <c r="G1113" s="446" t="s">
        <v>6822</v>
      </c>
      <c r="H1113" s="446" t="s">
        <v>262</v>
      </c>
      <c r="I1113" s="446" t="s">
        <v>263</v>
      </c>
      <c r="J1113" s="446" t="s">
        <v>746</v>
      </c>
      <c r="K1113" s="446" t="s">
        <v>7105</v>
      </c>
      <c r="L1113" s="450"/>
      <c r="M1113" s="450"/>
      <c r="N1113" s="450"/>
      <c r="O1113" s="450"/>
      <c r="P1113" s="450"/>
      <c r="Q1113" s="450"/>
      <c r="R1113" s="450"/>
      <c r="S1113" s="451"/>
      <c r="T1113" s="450"/>
      <c r="U1113" s="451"/>
      <c r="V1113" s="450"/>
      <c r="W1113" s="450"/>
      <c r="X1113" s="450"/>
      <c r="Y1113" s="450"/>
      <c r="Z1113" s="450"/>
    </row>
    <row r="1114" spans="1:26" x14ac:dyDescent="0.25">
      <c r="A1114" s="446" t="s">
        <v>1394</v>
      </c>
      <c r="B1114" s="446"/>
      <c r="C1114" s="446" t="s">
        <v>619</v>
      </c>
      <c r="D1114" s="446" t="s">
        <v>7106</v>
      </c>
      <c r="E1114" s="448" t="s">
        <v>7107</v>
      </c>
      <c r="F1114" s="448">
        <v>36896</v>
      </c>
      <c r="G1114" s="446" t="s">
        <v>1396</v>
      </c>
      <c r="H1114" s="446" t="s">
        <v>1397</v>
      </c>
      <c r="I1114" s="446" t="s">
        <v>6844</v>
      </c>
      <c r="J1114" s="446" t="s">
        <v>404</v>
      </c>
      <c r="K1114" s="446" t="s">
        <v>7108</v>
      </c>
      <c r="L1114" s="450"/>
      <c r="M1114" s="450"/>
      <c r="N1114" s="450"/>
      <c r="O1114" s="450"/>
      <c r="P1114" s="450"/>
      <c r="Q1114" s="450"/>
      <c r="R1114" s="450"/>
      <c r="S1114" s="451"/>
      <c r="T1114" s="450"/>
      <c r="U1114" s="451"/>
      <c r="V1114" s="450"/>
      <c r="W1114" s="450"/>
      <c r="X1114" s="450"/>
      <c r="Y1114" s="450"/>
      <c r="Z1114" s="450"/>
    </row>
    <row r="1115" spans="1:26" x14ac:dyDescent="0.25">
      <c r="A1115" s="446" t="s">
        <v>1385</v>
      </c>
      <c r="B1115" s="446"/>
      <c r="C1115" s="446" t="s">
        <v>1381</v>
      </c>
      <c r="D1115" s="446" t="s">
        <v>7109</v>
      </c>
      <c r="E1115" s="448" t="s">
        <v>7110</v>
      </c>
      <c r="F1115" s="448">
        <v>36877</v>
      </c>
      <c r="G1115" s="446" t="s">
        <v>7111</v>
      </c>
      <c r="H1115" s="446" t="s">
        <v>102</v>
      </c>
      <c r="I1115" s="446" t="s">
        <v>7112</v>
      </c>
      <c r="J1115" s="446" t="s">
        <v>760</v>
      </c>
      <c r="K1115" s="446" t="s">
        <v>7113</v>
      </c>
      <c r="L1115" s="450"/>
      <c r="M1115" s="450"/>
      <c r="N1115" s="450"/>
      <c r="O1115" s="450"/>
      <c r="P1115" s="450"/>
      <c r="Q1115" s="450"/>
      <c r="R1115" s="450"/>
      <c r="S1115" s="451"/>
      <c r="T1115" s="450"/>
      <c r="U1115" s="451"/>
      <c r="V1115" s="450"/>
      <c r="W1115" s="450"/>
      <c r="X1115" s="450"/>
      <c r="Y1115" s="450"/>
      <c r="Z1115" s="450"/>
    </row>
    <row r="1116" spans="1:26" x14ac:dyDescent="0.25">
      <c r="A1116" s="446" t="s">
        <v>1389</v>
      </c>
      <c r="B1116" s="446"/>
      <c r="C1116" s="446" t="s">
        <v>533</v>
      </c>
      <c r="D1116" s="446" t="s">
        <v>7114</v>
      </c>
      <c r="E1116" s="448" t="s">
        <v>7110</v>
      </c>
      <c r="F1116" s="448">
        <v>36881</v>
      </c>
      <c r="G1116" s="446" t="s">
        <v>7115</v>
      </c>
      <c r="H1116" s="446" t="s">
        <v>7116</v>
      </c>
      <c r="I1116" s="446" t="s">
        <v>7112</v>
      </c>
      <c r="J1116" s="446" t="s">
        <v>4604</v>
      </c>
      <c r="K1116" s="446" t="s">
        <v>7117</v>
      </c>
      <c r="L1116" s="450"/>
      <c r="M1116" s="450"/>
      <c r="N1116" s="450"/>
      <c r="O1116" s="450"/>
      <c r="P1116" s="450"/>
      <c r="Q1116" s="450"/>
      <c r="R1116" s="450"/>
      <c r="S1116" s="451"/>
      <c r="T1116" s="450"/>
      <c r="U1116" s="451"/>
      <c r="V1116" s="450"/>
      <c r="W1116" s="450"/>
      <c r="X1116" s="450"/>
      <c r="Y1116" s="450"/>
      <c r="Z1116" s="450"/>
    </row>
    <row r="1117" spans="1:26" x14ac:dyDescent="0.25">
      <c r="A1117" s="446" t="s">
        <v>1398</v>
      </c>
      <c r="B1117" s="446"/>
      <c r="C1117" s="446" t="s">
        <v>619</v>
      </c>
      <c r="D1117" s="446" t="s">
        <v>7118</v>
      </c>
      <c r="E1117" s="448" t="s">
        <v>7119</v>
      </c>
      <c r="F1117" s="448">
        <v>36921</v>
      </c>
      <c r="G1117" s="446" t="s">
        <v>731</v>
      </c>
      <c r="H1117" s="446" t="s">
        <v>7120</v>
      </c>
      <c r="I1117" s="446" t="s">
        <v>215</v>
      </c>
      <c r="J1117" s="446" t="s">
        <v>404</v>
      </c>
      <c r="K1117" s="446" t="s">
        <v>7121</v>
      </c>
      <c r="L1117" s="450"/>
      <c r="M1117" s="450"/>
      <c r="N1117" s="450"/>
      <c r="O1117" s="450"/>
      <c r="P1117" s="450"/>
      <c r="Q1117" s="450"/>
      <c r="R1117" s="450"/>
      <c r="S1117" s="451"/>
      <c r="T1117" s="450"/>
      <c r="U1117" s="451"/>
      <c r="V1117" s="450"/>
      <c r="W1117" s="450"/>
      <c r="X1117" s="450"/>
      <c r="Y1117" s="450"/>
      <c r="Z1117" s="450"/>
    </row>
    <row r="1118" spans="1:26" x14ac:dyDescent="0.25">
      <c r="A1118" s="446" t="s">
        <v>1402</v>
      </c>
      <c r="B1118" s="446"/>
      <c r="C1118" s="446" t="s">
        <v>619</v>
      </c>
      <c r="D1118" s="446" t="s">
        <v>7122</v>
      </c>
      <c r="E1118" s="448" t="s">
        <v>7119</v>
      </c>
      <c r="F1118" s="448">
        <v>36921</v>
      </c>
      <c r="G1118" s="446" t="s">
        <v>949</v>
      </c>
      <c r="H1118" s="446" t="s">
        <v>7120</v>
      </c>
      <c r="I1118" s="446" t="s">
        <v>6844</v>
      </c>
      <c r="J1118" s="446" t="s">
        <v>404</v>
      </c>
      <c r="K1118" s="446" t="s">
        <v>7123</v>
      </c>
      <c r="L1118" s="450"/>
      <c r="M1118" s="450"/>
      <c r="N1118" s="450"/>
      <c r="O1118" s="450"/>
      <c r="P1118" s="450"/>
      <c r="Q1118" s="450"/>
      <c r="R1118" s="450"/>
      <c r="S1118" s="451"/>
      <c r="T1118" s="450"/>
      <c r="U1118" s="451"/>
      <c r="V1118" s="450"/>
      <c r="W1118" s="450"/>
      <c r="X1118" s="450"/>
      <c r="Y1118" s="450"/>
      <c r="Z1118" s="450"/>
    </row>
    <row r="1119" spans="1:26" x14ac:dyDescent="0.25">
      <c r="A1119" s="446" t="s">
        <v>1405</v>
      </c>
      <c r="B1119" s="446"/>
      <c r="C1119" s="446" t="s">
        <v>619</v>
      </c>
      <c r="D1119" s="446" t="s">
        <v>7124</v>
      </c>
      <c r="E1119" s="448" t="s">
        <v>7119</v>
      </c>
      <c r="F1119" s="448">
        <v>36921</v>
      </c>
      <c r="G1119" s="446" t="s">
        <v>949</v>
      </c>
      <c r="H1119" s="446" t="s">
        <v>7120</v>
      </c>
      <c r="I1119" s="446" t="s">
        <v>215</v>
      </c>
      <c r="J1119" s="446" t="s">
        <v>404</v>
      </c>
      <c r="K1119" s="446" t="s">
        <v>7125</v>
      </c>
      <c r="L1119" s="450"/>
      <c r="M1119" s="450"/>
      <c r="N1119" s="450"/>
      <c r="O1119" s="450"/>
      <c r="P1119" s="450"/>
      <c r="Q1119" s="450"/>
      <c r="R1119" s="450"/>
      <c r="S1119" s="451"/>
      <c r="T1119" s="450"/>
      <c r="U1119" s="451"/>
      <c r="V1119" s="450"/>
      <c r="W1119" s="450"/>
      <c r="X1119" s="450"/>
      <c r="Y1119" s="450"/>
      <c r="Z1119" s="450"/>
    </row>
    <row r="1120" spans="1:26" x14ac:dyDescent="0.25">
      <c r="A1120" s="446" t="s">
        <v>1409</v>
      </c>
      <c r="B1120" s="446"/>
      <c r="C1120" s="446" t="s">
        <v>619</v>
      </c>
      <c r="D1120" s="446" t="s">
        <v>7126</v>
      </c>
      <c r="E1120" s="448" t="s">
        <v>7127</v>
      </c>
      <c r="F1120" s="448">
        <v>36922</v>
      </c>
      <c r="G1120" s="446" t="s">
        <v>1370</v>
      </c>
      <c r="H1120" s="446" t="s">
        <v>114</v>
      </c>
      <c r="I1120" s="446" t="s">
        <v>6811</v>
      </c>
      <c r="J1120" s="446" t="s">
        <v>404</v>
      </c>
      <c r="K1120" s="446" t="s">
        <v>7128</v>
      </c>
      <c r="L1120" s="450"/>
      <c r="M1120" s="450"/>
      <c r="N1120" s="450"/>
      <c r="O1120" s="450"/>
      <c r="P1120" s="450"/>
      <c r="Q1120" s="450"/>
      <c r="R1120" s="450"/>
      <c r="S1120" s="451"/>
      <c r="T1120" s="450"/>
      <c r="U1120" s="451"/>
      <c r="V1120" s="450"/>
      <c r="W1120" s="450"/>
      <c r="X1120" s="450"/>
      <c r="Y1120" s="450"/>
      <c r="Z1120" s="450"/>
    </row>
    <row r="1121" spans="1:26" x14ac:dyDescent="0.25">
      <c r="A1121" s="446" t="s">
        <v>1411</v>
      </c>
      <c r="B1121" s="446"/>
      <c r="C1121" s="446" t="s">
        <v>461</v>
      </c>
      <c r="D1121" s="446" t="s">
        <v>7129</v>
      </c>
      <c r="E1121" s="448" t="s">
        <v>7130</v>
      </c>
      <c r="F1121" s="448">
        <v>36949</v>
      </c>
      <c r="G1121" s="446" t="s">
        <v>1413</v>
      </c>
      <c r="H1121" s="446" t="s">
        <v>102</v>
      </c>
      <c r="I1121" s="446" t="s">
        <v>5663</v>
      </c>
      <c r="J1121" s="446" t="s">
        <v>760</v>
      </c>
      <c r="K1121" s="446" t="s">
        <v>7131</v>
      </c>
      <c r="L1121" s="450"/>
      <c r="M1121" s="450"/>
      <c r="N1121" s="450"/>
      <c r="O1121" s="450"/>
      <c r="P1121" s="450"/>
      <c r="Q1121" s="450"/>
      <c r="R1121" s="450"/>
      <c r="S1121" s="451"/>
      <c r="T1121" s="450"/>
      <c r="U1121" s="451"/>
      <c r="V1121" s="450"/>
      <c r="W1121" s="450"/>
      <c r="X1121" s="450"/>
      <c r="Y1121" s="450"/>
      <c r="Z1121" s="450"/>
    </row>
    <row r="1122" spans="1:26" x14ac:dyDescent="0.25">
      <c r="A1122" s="446" t="s">
        <v>1416</v>
      </c>
      <c r="B1122" s="446"/>
      <c r="C1122" s="446" t="s">
        <v>533</v>
      </c>
      <c r="D1122" s="446" t="s">
        <v>7132</v>
      </c>
      <c r="E1122" s="448" t="s">
        <v>7130</v>
      </c>
      <c r="F1122" s="448">
        <v>36955</v>
      </c>
      <c r="G1122" s="446" t="s">
        <v>7133</v>
      </c>
      <c r="H1122" s="446" t="s">
        <v>7134</v>
      </c>
      <c r="I1122" s="446" t="s">
        <v>5663</v>
      </c>
      <c r="J1122" s="446" t="s">
        <v>4604</v>
      </c>
      <c r="K1122" s="446" t="s">
        <v>7135</v>
      </c>
      <c r="L1122" s="450"/>
      <c r="M1122" s="450"/>
      <c r="N1122" s="450"/>
      <c r="O1122" s="450"/>
      <c r="P1122" s="450"/>
      <c r="Q1122" s="450"/>
      <c r="R1122" s="450"/>
      <c r="S1122" s="451"/>
      <c r="T1122" s="450"/>
      <c r="U1122" s="451"/>
      <c r="V1122" s="450"/>
      <c r="W1122" s="450"/>
      <c r="X1122" s="450"/>
      <c r="Y1122" s="450"/>
      <c r="Z1122" s="450"/>
    </row>
    <row r="1123" spans="1:26" x14ac:dyDescent="0.25">
      <c r="A1123" s="446" t="s">
        <v>7136</v>
      </c>
      <c r="B1123" s="446"/>
      <c r="C1123" s="446" t="s">
        <v>202</v>
      </c>
      <c r="D1123" s="446" t="s">
        <v>7137</v>
      </c>
      <c r="E1123" s="448" t="s">
        <v>7138</v>
      </c>
      <c r="F1123" s="448">
        <v>36906</v>
      </c>
      <c r="G1123" s="446" t="s">
        <v>6829</v>
      </c>
      <c r="H1123" s="446" t="s">
        <v>205</v>
      </c>
      <c r="I1123" s="446" t="s">
        <v>321</v>
      </c>
      <c r="J1123" s="446" t="s">
        <v>746</v>
      </c>
      <c r="K1123" s="446" t="s">
        <v>7139</v>
      </c>
      <c r="L1123" s="450"/>
      <c r="M1123" s="450"/>
      <c r="N1123" s="450"/>
      <c r="O1123" s="450"/>
      <c r="P1123" s="450"/>
      <c r="Q1123" s="450"/>
      <c r="R1123" s="450"/>
      <c r="S1123" s="451"/>
      <c r="T1123" s="450"/>
      <c r="U1123" s="451"/>
      <c r="V1123" s="450"/>
      <c r="W1123" s="450"/>
      <c r="X1123" s="450"/>
      <c r="Y1123" s="450"/>
      <c r="Z1123" s="450"/>
    </row>
    <row r="1124" spans="1:26" x14ac:dyDescent="0.25">
      <c r="A1124" s="446" t="s">
        <v>7140</v>
      </c>
      <c r="B1124" s="446"/>
      <c r="C1124" s="446" t="s">
        <v>202</v>
      </c>
      <c r="D1124" s="446" t="s">
        <v>7141</v>
      </c>
      <c r="E1124" s="448" t="s">
        <v>7138</v>
      </c>
      <c r="F1124" s="448">
        <v>36906</v>
      </c>
      <c r="G1124" s="446" t="s">
        <v>355</v>
      </c>
      <c r="H1124" s="446" t="s">
        <v>205</v>
      </c>
      <c r="I1124" s="446" t="s">
        <v>321</v>
      </c>
      <c r="J1124" s="446" t="s">
        <v>746</v>
      </c>
      <c r="K1124" s="446" t="s">
        <v>7142</v>
      </c>
      <c r="L1124" s="450"/>
      <c r="M1124" s="450"/>
      <c r="N1124" s="450"/>
      <c r="O1124" s="450"/>
      <c r="P1124" s="450"/>
      <c r="Q1124" s="450"/>
      <c r="R1124" s="450"/>
      <c r="S1124" s="451"/>
      <c r="T1124" s="450"/>
      <c r="U1124" s="451"/>
      <c r="V1124" s="450"/>
      <c r="W1124" s="450"/>
      <c r="X1124" s="450"/>
      <c r="Y1124" s="450"/>
      <c r="Z1124" s="450"/>
    </row>
    <row r="1125" spans="1:26" x14ac:dyDescent="0.25">
      <c r="A1125" s="446" t="s">
        <v>7143</v>
      </c>
      <c r="B1125" s="446"/>
      <c r="C1125" s="446" t="s">
        <v>202</v>
      </c>
      <c r="D1125" s="446" t="s">
        <v>7144</v>
      </c>
      <c r="E1125" s="448" t="s">
        <v>7138</v>
      </c>
      <c r="F1125" s="448">
        <v>36916</v>
      </c>
      <c r="G1125" s="446" t="s">
        <v>7145</v>
      </c>
      <c r="H1125" s="446" t="s">
        <v>205</v>
      </c>
      <c r="I1125" s="446" t="s">
        <v>222</v>
      </c>
      <c r="J1125" s="446" t="s">
        <v>746</v>
      </c>
      <c r="K1125" s="446" t="s">
        <v>7146</v>
      </c>
      <c r="L1125" s="450"/>
      <c r="M1125" s="450"/>
      <c r="N1125" s="450"/>
      <c r="O1125" s="450"/>
      <c r="P1125" s="450"/>
      <c r="Q1125" s="450"/>
      <c r="R1125" s="450"/>
      <c r="S1125" s="451"/>
      <c r="T1125" s="450"/>
      <c r="U1125" s="451"/>
      <c r="V1125" s="450"/>
      <c r="W1125" s="450"/>
      <c r="X1125" s="450"/>
      <c r="Y1125" s="450"/>
      <c r="Z1125" s="450"/>
    </row>
    <row r="1126" spans="1:26" x14ac:dyDescent="0.25">
      <c r="A1126" s="446" t="s">
        <v>7147</v>
      </c>
      <c r="B1126" s="446"/>
      <c r="C1126" s="446" t="s">
        <v>202</v>
      </c>
      <c r="D1126" s="446" t="s">
        <v>7148</v>
      </c>
      <c r="E1126" s="448" t="s">
        <v>7138</v>
      </c>
      <c r="F1126" s="448">
        <v>36906</v>
      </c>
      <c r="G1126" s="446" t="s">
        <v>351</v>
      </c>
      <c r="H1126" s="446" t="s">
        <v>205</v>
      </c>
      <c r="I1126" s="446" t="s">
        <v>321</v>
      </c>
      <c r="J1126" s="446" t="s">
        <v>746</v>
      </c>
      <c r="K1126" s="446" t="s">
        <v>7149</v>
      </c>
      <c r="L1126" s="450"/>
      <c r="M1126" s="450"/>
      <c r="N1126" s="450"/>
      <c r="O1126" s="450"/>
      <c r="P1126" s="450"/>
      <c r="Q1126" s="450"/>
      <c r="R1126" s="450"/>
      <c r="S1126" s="451"/>
      <c r="T1126" s="450"/>
      <c r="U1126" s="451"/>
      <c r="V1126" s="450"/>
      <c r="W1126" s="450"/>
      <c r="X1126" s="450"/>
      <c r="Y1126" s="450"/>
      <c r="Z1126" s="450"/>
    </row>
    <row r="1127" spans="1:26" x14ac:dyDescent="0.25">
      <c r="A1127" s="446" t="s">
        <v>7150</v>
      </c>
      <c r="B1127" s="446"/>
      <c r="C1127" s="446" t="s">
        <v>202</v>
      </c>
      <c r="D1127" s="446" t="s">
        <v>7151</v>
      </c>
      <c r="E1127" s="448" t="s">
        <v>7138</v>
      </c>
      <c r="F1127" s="448">
        <v>36920</v>
      </c>
      <c r="G1127" s="446" t="s">
        <v>7152</v>
      </c>
      <c r="H1127" s="446" t="s">
        <v>205</v>
      </c>
      <c r="I1127" s="446" t="s">
        <v>276</v>
      </c>
      <c r="J1127" s="446" t="s">
        <v>746</v>
      </c>
      <c r="K1127" s="446" t="s">
        <v>7153</v>
      </c>
      <c r="L1127" s="450"/>
      <c r="M1127" s="450"/>
      <c r="N1127" s="450"/>
      <c r="O1127" s="450"/>
      <c r="P1127" s="450"/>
      <c r="Q1127" s="450"/>
      <c r="R1127" s="450"/>
      <c r="S1127" s="451"/>
      <c r="T1127" s="450"/>
      <c r="U1127" s="451"/>
      <c r="V1127" s="450"/>
      <c r="W1127" s="450"/>
      <c r="X1127" s="450"/>
      <c r="Y1127" s="450"/>
      <c r="Z1127" s="450"/>
    </row>
    <row r="1128" spans="1:26" x14ac:dyDescent="0.25">
      <c r="A1128" s="446" t="s">
        <v>7154</v>
      </c>
      <c r="B1128" s="446"/>
      <c r="C1128" s="446" t="s">
        <v>202</v>
      </c>
      <c r="D1128" s="446" t="s">
        <v>7155</v>
      </c>
      <c r="E1128" s="448" t="s">
        <v>7138</v>
      </c>
      <c r="F1128" s="448">
        <v>36906</v>
      </c>
      <c r="G1128" s="446" t="s">
        <v>739</v>
      </c>
      <c r="H1128" s="446" t="s">
        <v>205</v>
      </c>
      <c r="I1128" s="446" t="s">
        <v>321</v>
      </c>
      <c r="J1128" s="446" t="s">
        <v>746</v>
      </c>
      <c r="K1128" s="446" t="s">
        <v>7156</v>
      </c>
      <c r="L1128" s="450"/>
      <c r="M1128" s="450"/>
      <c r="N1128" s="450"/>
      <c r="O1128" s="450"/>
      <c r="P1128" s="450"/>
      <c r="Q1128" s="450"/>
      <c r="R1128" s="450"/>
      <c r="S1128" s="451"/>
      <c r="T1128" s="450"/>
      <c r="U1128" s="451"/>
      <c r="V1128" s="450"/>
      <c r="W1128" s="450"/>
      <c r="X1128" s="450"/>
      <c r="Y1128" s="450"/>
      <c r="Z1128" s="450"/>
    </row>
    <row r="1129" spans="1:26" x14ac:dyDescent="0.25">
      <c r="A1129" s="446" t="s">
        <v>7157</v>
      </c>
      <c r="B1129" s="446"/>
      <c r="C1129" s="446" t="s">
        <v>202</v>
      </c>
      <c r="D1129" s="446" t="s">
        <v>7158</v>
      </c>
      <c r="E1129" s="448" t="s">
        <v>7138</v>
      </c>
      <c r="F1129" s="448">
        <v>36906</v>
      </c>
      <c r="G1129" s="446" t="s">
        <v>7159</v>
      </c>
      <c r="H1129" s="446" t="s">
        <v>205</v>
      </c>
      <c r="I1129" s="446" t="s">
        <v>321</v>
      </c>
      <c r="J1129" s="446" t="s">
        <v>746</v>
      </c>
      <c r="K1129" s="446" t="s">
        <v>7160</v>
      </c>
      <c r="L1129" s="450"/>
      <c r="M1129" s="450"/>
      <c r="N1129" s="450"/>
      <c r="O1129" s="450"/>
      <c r="P1129" s="450"/>
      <c r="Q1129" s="450"/>
      <c r="R1129" s="450"/>
      <c r="S1129" s="451"/>
      <c r="T1129" s="450"/>
      <c r="U1129" s="451"/>
      <c r="V1129" s="450"/>
      <c r="W1129" s="450"/>
      <c r="X1129" s="450"/>
      <c r="Y1129" s="450"/>
      <c r="Z1129" s="450"/>
    </row>
    <row r="1130" spans="1:26" x14ac:dyDescent="0.25">
      <c r="A1130" s="446" t="s">
        <v>7161</v>
      </c>
      <c r="B1130" s="446"/>
      <c r="C1130" s="446" t="s">
        <v>202</v>
      </c>
      <c r="D1130" s="446" t="s">
        <v>7162</v>
      </c>
      <c r="E1130" s="448" t="s">
        <v>7138</v>
      </c>
      <c r="F1130" s="448">
        <v>36906</v>
      </c>
      <c r="G1130" s="446" t="s">
        <v>348</v>
      </c>
      <c r="H1130" s="446" t="s">
        <v>205</v>
      </c>
      <c r="I1130" s="446" t="s">
        <v>321</v>
      </c>
      <c r="J1130" s="446" t="s">
        <v>746</v>
      </c>
      <c r="K1130" s="446" t="s">
        <v>7163</v>
      </c>
      <c r="L1130" s="450"/>
      <c r="M1130" s="450"/>
      <c r="N1130" s="450"/>
      <c r="O1130" s="450"/>
      <c r="P1130" s="450"/>
      <c r="Q1130" s="450"/>
      <c r="R1130" s="450"/>
      <c r="S1130" s="451"/>
      <c r="T1130" s="450"/>
      <c r="U1130" s="451"/>
      <c r="V1130" s="450"/>
      <c r="W1130" s="450"/>
      <c r="X1130" s="450"/>
      <c r="Y1130" s="450"/>
      <c r="Z1130" s="450"/>
    </row>
    <row r="1131" spans="1:26" x14ac:dyDescent="0.25">
      <c r="A1131" s="446" t="s">
        <v>7164</v>
      </c>
      <c r="B1131" s="446"/>
      <c r="C1131" s="446" t="s">
        <v>202</v>
      </c>
      <c r="D1131" s="446" t="s">
        <v>7165</v>
      </c>
      <c r="E1131" s="448" t="s">
        <v>7138</v>
      </c>
      <c r="F1131" s="448">
        <v>36906</v>
      </c>
      <c r="G1131" s="446" t="s">
        <v>214</v>
      </c>
      <c r="H1131" s="446" t="s">
        <v>205</v>
      </c>
      <c r="I1131" s="446" t="s">
        <v>321</v>
      </c>
      <c r="J1131" s="446" t="s">
        <v>746</v>
      </c>
      <c r="K1131" s="446" t="s">
        <v>7166</v>
      </c>
      <c r="L1131" s="450"/>
      <c r="M1131" s="450"/>
      <c r="N1131" s="450"/>
      <c r="O1131" s="450"/>
      <c r="P1131" s="450"/>
      <c r="Q1131" s="450"/>
      <c r="R1131" s="450"/>
      <c r="S1131" s="451"/>
      <c r="T1131" s="450"/>
      <c r="U1131" s="451"/>
      <c r="V1131" s="450"/>
      <c r="W1131" s="450"/>
      <c r="X1131" s="450"/>
      <c r="Y1131" s="450"/>
      <c r="Z1131" s="450"/>
    </row>
    <row r="1132" spans="1:26" x14ac:dyDescent="0.25">
      <c r="A1132" s="446" t="s">
        <v>7167</v>
      </c>
      <c r="B1132" s="446"/>
      <c r="C1132" s="446" t="s">
        <v>202</v>
      </c>
      <c r="D1132" s="446" t="s">
        <v>7168</v>
      </c>
      <c r="E1132" s="448" t="s">
        <v>7138</v>
      </c>
      <c r="F1132" s="448">
        <v>36906</v>
      </c>
      <c r="G1132" s="446" t="s">
        <v>949</v>
      </c>
      <c r="H1132" s="446" t="s">
        <v>205</v>
      </c>
      <c r="I1132" s="446" t="s">
        <v>321</v>
      </c>
      <c r="J1132" s="446" t="s">
        <v>746</v>
      </c>
      <c r="K1132" s="446" t="s">
        <v>7169</v>
      </c>
      <c r="L1132" s="450"/>
      <c r="M1132" s="450"/>
      <c r="N1132" s="450"/>
      <c r="O1132" s="450"/>
      <c r="P1132" s="450"/>
      <c r="Q1132" s="450"/>
      <c r="R1132" s="450"/>
      <c r="S1132" s="451"/>
      <c r="T1132" s="450"/>
      <c r="U1132" s="451"/>
      <c r="V1132" s="450"/>
      <c r="W1132" s="450"/>
      <c r="X1132" s="450"/>
      <c r="Y1132" s="450"/>
      <c r="Z1132" s="450"/>
    </row>
    <row r="1133" spans="1:26" x14ac:dyDescent="0.25">
      <c r="A1133" s="446" t="s">
        <v>1420</v>
      </c>
      <c r="B1133" s="446"/>
      <c r="C1133" s="446" t="s">
        <v>619</v>
      </c>
      <c r="D1133" s="446" t="s">
        <v>7170</v>
      </c>
      <c r="E1133" s="448" t="s">
        <v>7171</v>
      </c>
      <c r="F1133" s="448">
        <v>36957</v>
      </c>
      <c r="G1133" s="446" t="s">
        <v>2809</v>
      </c>
      <c r="H1133" s="446" t="s">
        <v>114</v>
      </c>
      <c r="I1133" s="446" t="s">
        <v>222</v>
      </c>
      <c r="J1133" s="446" t="s">
        <v>404</v>
      </c>
      <c r="K1133" s="446" t="s">
        <v>7172</v>
      </c>
      <c r="L1133" s="450"/>
      <c r="M1133" s="450"/>
      <c r="N1133" s="450"/>
      <c r="O1133" s="450"/>
      <c r="P1133" s="450"/>
      <c r="Q1133" s="450"/>
      <c r="R1133" s="450"/>
      <c r="S1133" s="451"/>
      <c r="T1133" s="450"/>
      <c r="U1133" s="451"/>
      <c r="V1133" s="450"/>
      <c r="W1133" s="450"/>
      <c r="X1133" s="450"/>
      <c r="Y1133" s="450"/>
      <c r="Z1133" s="450"/>
    </row>
    <row r="1134" spans="1:26" x14ac:dyDescent="0.25">
      <c r="A1134" s="446" t="s">
        <v>1423</v>
      </c>
      <c r="B1134" s="446"/>
      <c r="C1134" s="446" t="s">
        <v>619</v>
      </c>
      <c r="D1134" s="446" t="s">
        <v>7173</v>
      </c>
      <c r="E1134" s="448" t="s">
        <v>7174</v>
      </c>
      <c r="F1134" s="448">
        <v>36963</v>
      </c>
      <c r="G1134" s="446" t="s">
        <v>2805</v>
      </c>
      <c r="H1134" s="446" t="s">
        <v>114</v>
      </c>
      <c r="I1134" s="446" t="s">
        <v>6811</v>
      </c>
      <c r="J1134" s="446" t="s">
        <v>404</v>
      </c>
      <c r="K1134" s="446" t="s">
        <v>7175</v>
      </c>
      <c r="L1134" s="450"/>
      <c r="M1134" s="450"/>
      <c r="N1134" s="450"/>
      <c r="O1134" s="450"/>
      <c r="P1134" s="450"/>
      <c r="Q1134" s="450"/>
      <c r="R1134" s="450"/>
      <c r="S1134" s="451"/>
      <c r="T1134" s="450"/>
      <c r="U1134" s="451"/>
      <c r="V1134" s="450"/>
      <c r="W1134" s="450"/>
      <c r="X1134" s="450"/>
      <c r="Y1134" s="450"/>
      <c r="Z1134" s="450"/>
    </row>
    <row r="1135" spans="1:26" x14ac:dyDescent="0.25">
      <c r="A1135" s="446" t="s">
        <v>7176</v>
      </c>
      <c r="B1135" s="446"/>
      <c r="C1135" s="446" t="s">
        <v>1456</v>
      </c>
      <c r="D1135" s="446" t="s">
        <v>7177</v>
      </c>
      <c r="E1135" s="448" t="s">
        <v>7178</v>
      </c>
      <c r="F1135" s="448">
        <v>36924</v>
      </c>
      <c r="G1135" s="446" t="s">
        <v>205</v>
      </c>
      <c r="H1135" s="446" t="s">
        <v>7179</v>
      </c>
      <c r="I1135" s="446" t="s">
        <v>321</v>
      </c>
      <c r="J1135" s="446" t="s">
        <v>746</v>
      </c>
      <c r="K1135" s="446" t="s">
        <v>7180</v>
      </c>
      <c r="L1135" s="450"/>
      <c r="M1135" s="450"/>
      <c r="N1135" s="450"/>
      <c r="O1135" s="450"/>
      <c r="P1135" s="450"/>
      <c r="Q1135" s="450"/>
      <c r="R1135" s="450"/>
      <c r="S1135" s="451"/>
      <c r="T1135" s="450"/>
      <c r="U1135" s="451"/>
      <c r="V1135" s="450"/>
      <c r="W1135" s="450"/>
      <c r="X1135" s="450"/>
      <c r="Y1135" s="450"/>
      <c r="Z1135" s="450"/>
    </row>
    <row r="1136" spans="1:26" x14ac:dyDescent="0.25">
      <c r="A1136" s="446" t="s">
        <v>7181</v>
      </c>
      <c r="B1136" s="446"/>
      <c r="C1136" s="446" t="s">
        <v>1456</v>
      </c>
      <c r="D1136" s="446" t="s">
        <v>7182</v>
      </c>
      <c r="E1136" s="448" t="s">
        <v>7178</v>
      </c>
      <c r="F1136" s="448">
        <v>36941</v>
      </c>
      <c r="G1136" s="446" t="s">
        <v>205</v>
      </c>
      <c r="H1136" s="446" t="s">
        <v>7179</v>
      </c>
      <c r="I1136" s="446" t="s">
        <v>321</v>
      </c>
      <c r="J1136" s="446" t="s">
        <v>746</v>
      </c>
      <c r="K1136" s="446" t="s">
        <v>7183</v>
      </c>
      <c r="L1136" s="450"/>
      <c r="M1136" s="450"/>
      <c r="N1136" s="450"/>
      <c r="O1136" s="450"/>
      <c r="P1136" s="450"/>
      <c r="Q1136" s="450"/>
      <c r="R1136" s="450"/>
      <c r="S1136" s="451"/>
      <c r="T1136" s="450"/>
      <c r="U1136" s="451"/>
      <c r="V1136" s="450"/>
      <c r="W1136" s="450"/>
      <c r="X1136" s="450"/>
      <c r="Y1136" s="450"/>
      <c r="Z1136" s="450"/>
    </row>
    <row r="1137" spans="1:26" x14ac:dyDescent="0.25">
      <c r="A1137" s="446" t="s">
        <v>7184</v>
      </c>
      <c r="B1137" s="446"/>
      <c r="C1137" s="446" t="s">
        <v>1456</v>
      </c>
      <c r="D1137" s="446" t="s">
        <v>7185</v>
      </c>
      <c r="E1137" s="448" t="s">
        <v>7178</v>
      </c>
      <c r="F1137" s="448">
        <v>36945</v>
      </c>
      <c r="G1137" s="446" t="s">
        <v>205</v>
      </c>
      <c r="H1137" s="446" t="s">
        <v>7179</v>
      </c>
      <c r="I1137" s="446" t="s">
        <v>321</v>
      </c>
      <c r="J1137" s="446" t="s">
        <v>746</v>
      </c>
      <c r="K1137" s="446" t="s">
        <v>7186</v>
      </c>
      <c r="L1137" s="450"/>
      <c r="M1137" s="450"/>
      <c r="N1137" s="450"/>
      <c r="O1137" s="450"/>
      <c r="P1137" s="450"/>
      <c r="Q1137" s="450"/>
      <c r="R1137" s="450"/>
      <c r="S1137" s="451"/>
      <c r="T1137" s="450"/>
      <c r="U1137" s="451"/>
      <c r="V1137" s="450"/>
      <c r="W1137" s="450"/>
      <c r="X1137" s="450"/>
      <c r="Y1137" s="450"/>
      <c r="Z1137" s="450"/>
    </row>
    <row r="1138" spans="1:26" x14ac:dyDescent="0.25">
      <c r="A1138" s="446" t="s">
        <v>7187</v>
      </c>
      <c r="B1138" s="446"/>
      <c r="C1138" s="446" t="s">
        <v>202</v>
      </c>
      <c r="D1138" s="446" t="s">
        <v>7188</v>
      </c>
      <c r="E1138" s="448" t="s">
        <v>7178</v>
      </c>
      <c r="F1138" s="448">
        <v>36948</v>
      </c>
      <c r="G1138" s="446" t="s">
        <v>205</v>
      </c>
      <c r="H1138" s="446" t="s">
        <v>7179</v>
      </c>
      <c r="I1138" s="446" t="s">
        <v>7189</v>
      </c>
      <c r="J1138" s="446" t="s">
        <v>746</v>
      </c>
      <c r="K1138" s="446" t="s">
        <v>7190</v>
      </c>
      <c r="L1138" s="450"/>
      <c r="M1138" s="450"/>
      <c r="N1138" s="450"/>
      <c r="O1138" s="450"/>
      <c r="P1138" s="450"/>
      <c r="Q1138" s="450"/>
      <c r="R1138" s="450"/>
      <c r="S1138" s="451"/>
      <c r="T1138" s="450"/>
      <c r="U1138" s="451"/>
      <c r="V1138" s="450"/>
      <c r="W1138" s="450"/>
      <c r="X1138" s="450"/>
      <c r="Y1138" s="450"/>
      <c r="Z1138" s="450"/>
    </row>
    <row r="1139" spans="1:26" x14ac:dyDescent="0.25">
      <c r="A1139" s="446" t="s">
        <v>7191</v>
      </c>
      <c r="B1139" s="446"/>
      <c r="C1139" s="446" t="s">
        <v>1456</v>
      </c>
      <c r="D1139" s="446" t="s">
        <v>7192</v>
      </c>
      <c r="E1139" s="448" t="s">
        <v>7178</v>
      </c>
      <c r="F1139" s="448">
        <v>36948</v>
      </c>
      <c r="G1139" s="446" t="s">
        <v>205</v>
      </c>
      <c r="H1139" s="446" t="s">
        <v>7179</v>
      </c>
      <c r="I1139" s="446" t="s">
        <v>222</v>
      </c>
      <c r="J1139" s="446" t="s">
        <v>746</v>
      </c>
      <c r="K1139" s="446" t="s">
        <v>7193</v>
      </c>
      <c r="L1139" s="450"/>
      <c r="M1139" s="450"/>
      <c r="N1139" s="450"/>
      <c r="O1139" s="450"/>
      <c r="P1139" s="450"/>
      <c r="Q1139" s="450"/>
      <c r="R1139" s="450"/>
      <c r="S1139" s="451"/>
      <c r="T1139" s="450"/>
      <c r="U1139" s="451"/>
      <c r="V1139" s="450"/>
      <c r="W1139" s="450"/>
      <c r="X1139" s="450"/>
      <c r="Y1139" s="450"/>
      <c r="Z1139" s="450"/>
    </row>
    <row r="1140" spans="1:26" x14ac:dyDescent="0.25">
      <c r="A1140" s="446" t="s">
        <v>7194</v>
      </c>
      <c r="B1140" s="446"/>
      <c r="C1140" s="446" t="s">
        <v>202</v>
      </c>
      <c r="D1140" s="446" t="s">
        <v>7195</v>
      </c>
      <c r="E1140" s="448" t="s">
        <v>7196</v>
      </c>
      <c r="F1140" s="448">
        <v>36951</v>
      </c>
      <c r="G1140" s="446" t="s">
        <v>980</v>
      </c>
      <c r="H1140" s="446" t="s">
        <v>205</v>
      </c>
      <c r="I1140" s="446" t="s">
        <v>321</v>
      </c>
      <c r="J1140" s="446" t="s">
        <v>746</v>
      </c>
      <c r="K1140" s="446" t="s">
        <v>7197</v>
      </c>
      <c r="L1140" s="450"/>
      <c r="M1140" s="450"/>
      <c r="N1140" s="450"/>
      <c r="O1140" s="450"/>
      <c r="P1140" s="450"/>
      <c r="Q1140" s="450"/>
      <c r="R1140" s="450"/>
      <c r="S1140" s="451"/>
      <c r="T1140" s="450"/>
      <c r="U1140" s="451"/>
      <c r="V1140" s="450"/>
      <c r="W1140" s="450"/>
      <c r="X1140" s="450"/>
      <c r="Y1140" s="450"/>
      <c r="Z1140" s="450"/>
    </row>
    <row r="1141" spans="1:26" x14ac:dyDescent="0.25">
      <c r="A1141" s="446" t="s">
        <v>7198</v>
      </c>
      <c r="B1141" s="446"/>
      <c r="C1141" s="446" t="s">
        <v>202</v>
      </c>
      <c r="D1141" s="446" t="s">
        <v>7199</v>
      </c>
      <c r="E1141" s="448" t="s">
        <v>7196</v>
      </c>
      <c r="F1141" s="448">
        <v>36951</v>
      </c>
      <c r="G1141" s="446" t="s">
        <v>986</v>
      </c>
      <c r="H1141" s="446" t="s">
        <v>205</v>
      </c>
      <c r="I1141" s="446" t="s">
        <v>321</v>
      </c>
      <c r="J1141" s="446" t="s">
        <v>746</v>
      </c>
      <c r="K1141" s="446" t="s">
        <v>7200</v>
      </c>
      <c r="L1141" s="450"/>
      <c r="M1141" s="450"/>
      <c r="N1141" s="450"/>
      <c r="O1141" s="450"/>
      <c r="P1141" s="450"/>
      <c r="Q1141" s="450"/>
      <c r="R1141" s="450"/>
      <c r="S1141" s="451"/>
      <c r="T1141" s="450"/>
      <c r="U1141" s="451"/>
      <c r="V1141" s="450"/>
      <c r="W1141" s="450"/>
      <c r="X1141" s="450"/>
      <c r="Y1141" s="450"/>
      <c r="Z1141" s="450"/>
    </row>
    <row r="1142" spans="1:26" x14ac:dyDescent="0.25">
      <c r="A1142" s="446" t="s">
        <v>7201</v>
      </c>
      <c r="B1142" s="446"/>
      <c r="C1142" s="446" t="s">
        <v>202</v>
      </c>
      <c r="D1142" s="446" t="s">
        <v>7202</v>
      </c>
      <c r="E1142" s="448" t="s">
        <v>7196</v>
      </c>
      <c r="F1142" s="448">
        <v>36951</v>
      </c>
      <c r="G1142" s="446" t="s">
        <v>7203</v>
      </c>
      <c r="H1142" s="446" t="s">
        <v>205</v>
      </c>
      <c r="I1142" s="446" t="s">
        <v>321</v>
      </c>
      <c r="J1142" s="446" t="s">
        <v>746</v>
      </c>
      <c r="K1142" s="446" t="s">
        <v>7204</v>
      </c>
      <c r="L1142" s="450"/>
      <c r="M1142" s="450"/>
      <c r="N1142" s="450"/>
      <c r="O1142" s="450"/>
      <c r="P1142" s="450"/>
      <c r="Q1142" s="450"/>
      <c r="R1142" s="450"/>
      <c r="S1142" s="451"/>
      <c r="T1142" s="450"/>
      <c r="U1142" s="451"/>
      <c r="V1142" s="450"/>
      <c r="W1142" s="450"/>
      <c r="X1142" s="450"/>
      <c r="Y1142" s="450"/>
      <c r="Z1142" s="450"/>
    </row>
    <row r="1143" spans="1:26" x14ac:dyDescent="0.25">
      <c r="A1143" s="446" t="s">
        <v>1430</v>
      </c>
      <c r="B1143" s="446"/>
      <c r="C1143" s="446" t="s">
        <v>533</v>
      </c>
      <c r="D1143" s="446" t="s">
        <v>7205</v>
      </c>
      <c r="E1143" s="448" t="s">
        <v>7206</v>
      </c>
      <c r="F1143" s="448">
        <v>37022</v>
      </c>
      <c r="G1143" s="446" t="s">
        <v>7207</v>
      </c>
      <c r="H1143" s="446" t="s">
        <v>1433</v>
      </c>
      <c r="I1143" s="446" t="s">
        <v>6877</v>
      </c>
      <c r="J1143" s="446" t="s">
        <v>4604</v>
      </c>
      <c r="K1143" s="446" t="s">
        <v>7208</v>
      </c>
      <c r="L1143" s="450"/>
      <c r="M1143" s="450"/>
      <c r="N1143" s="450"/>
      <c r="O1143" s="450"/>
      <c r="P1143" s="450"/>
      <c r="Q1143" s="450"/>
      <c r="R1143" s="450"/>
      <c r="S1143" s="451"/>
      <c r="T1143" s="450"/>
      <c r="U1143" s="451"/>
      <c r="V1143" s="450"/>
      <c r="W1143" s="450"/>
      <c r="X1143" s="450"/>
      <c r="Y1143" s="450"/>
      <c r="Z1143" s="450"/>
    </row>
    <row r="1144" spans="1:26" x14ac:dyDescent="0.25">
      <c r="A1144" s="446" t="s">
        <v>1426</v>
      </c>
      <c r="B1144" s="446"/>
      <c r="C1144" s="446" t="s">
        <v>1362</v>
      </c>
      <c r="D1144" s="446" t="s">
        <v>7209</v>
      </c>
      <c r="E1144" s="448" t="s">
        <v>7210</v>
      </c>
      <c r="F1144" s="448">
        <v>37014</v>
      </c>
      <c r="G1144" s="446" t="s">
        <v>7211</v>
      </c>
      <c r="H1144" s="446" t="s">
        <v>102</v>
      </c>
      <c r="I1144" s="446" t="s">
        <v>6811</v>
      </c>
      <c r="J1144" s="446" t="s">
        <v>4604</v>
      </c>
      <c r="K1144" s="446" t="s">
        <v>7212</v>
      </c>
      <c r="L1144" s="450"/>
      <c r="M1144" s="450"/>
      <c r="N1144" s="450"/>
      <c r="O1144" s="450"/>
      <c r="P1144" s="450"/>
      <c r="Q1144" s="450"/>
      <c r="R1144" s="450"/>
      <c r="S1144" s="451"/>
      <c r="T1144" s="450"/>
      <c r="U1144" s="451"/>
      <c r="V1144" s="450"/>
      <c r="W1144" s="450"/>
      <c r="X1144" s="450"/>
      <c r="Y1144" s="450"/>
      <c r="Z1144" s="450"/>
    </row>
    <row r="1145" spans="1:26" x14ac:dyDescent="0.25">
      <c r="A1145" s="446" t="s">
        <v>7213</v>
      </c>
      <c r="B1145" s="446"/>
      <c r="C1145" s="446" t="s">
        <v>1456</v>
      </c>
      <c r="D1145" s="446" t="s">
        <v>7214</v>
      </c>
      <c r="E1145" s="448" t="s">
        <v>7210</v>
      </c>
      <c r="F1145" s="448">
        <v>37031</v>
      </c>
      <c r="G1145" s="446" t="s">
        <v>205</v>
      </c>
      <c r="H1145" s="446" t="s">
        <v>7179</v>
      </c>
      <c r="I1145" s="446" t="s">
        <v>321</v>
      </c>
      <c r="J1145" s="446" t="s">
        <v>746</v>
      </c>
      <c r="K1145" s="446" t="s">
        <v>7215</v>
      </c>
      <c r="L1145" s="450"/>
      <c r="M1145" s="450"/>
      <c r="N1145" s="450"/>
      <c r="O1145" s="450"/>
      <c r="P1145" s="450"/>
      <c r="Q1145" s="450"/>
      <c r="R1145" s="450"/>
      <c r="S1145" s="451"/>
      <c r="T1145" s="450"/>
      <c r="U1145" s="451"/>
      <c r="V1145" s="450"/>
      <c r="W1145" s="450"/>
      <c r="X1145" s="450"/>
      <c r="Y1145" s="450"/>
      <c r="Z1145" s="450"/>
    </row>
    <row r="1146" spans="1:26" x14ac:dyDescent="0.25">
      <c r="A1146" s="446" t="s">
        <v>7216</v>
      </c>
      <c r="B1146" s="446"/>
      <c r="C1146" s="446" t="s">
        <v>1456</v>
      </c>
      <c r="D1146" s="446" t="s">
        <v>7217</v>
      </c>
      <c r="E1146" s="448" t="s">
        <v>7210</v>
      </c>
      <c r="F1146" s="448">
        <v>36990</v>
      </c>
      <c r="G1146" s="446" t="s">
        <v>205</v>
      </c>
      <c r="H1146" s="446" t="s">
        <v>7179</v>
      </c>
      <c r="I1146" s="446" t="s">
        <v>321</v>
      </c>
      <c r="J1146" s="446" t="s">
        <v>746</v>
      </c>
      <c r="K1146" s="446" t="s">
        <v>7218</v>
      </c>
      <c r="L1146" s="450"/>
      <c r="M1146" s="450"/>
      <c r="N1146" s="450"/>
      <c r="O1146" s="450"/>
      <c r="P1146" s="450"/>
      <c r="Q1146" s="450"/>
      <c r="R1146" s="450"/>
      <c r="S1146" s="451"/>
      <c r="T1146" s="450"/>
      <c r="U1146" s="451"/>
      <c r="V1146" s="450"/>
      <c r="W1146" s="450"/>
      <c r="X1146" s="450"/>
      <c r="Y1146" s="450"/>
      <c r="Z1146" s="450"/>
    </row>
    <row r="1147" spans="1:26" x14ac:dyDescent="0.25">
      <c r="A1147" s="446" t="s">
        <v>2901</v>
      </c>
      <c r="B1147" s="446"/>
      <c r="C1147" s="446" t="s">
        <v>714</v>
      </c>
      <c r="D1147" s="446" t="s">
        <v>7219</v>
      </c>
      <c r="E1147" s="448" t="s">
        <v>7220</v>
      </c>
      <c r="F1147" s="448">
        <v>37034</v>
      </c>
      <c r="G1147" s="446" t="s">
        <v>7207</v>
      </c>
      <c r="H1147" s="446" t="s">
        <v>7221</v>
      </c>
      <c r="I1147" s="446" t="s">
        <v>6877</v>
      </c>
      <c r="J1147" s="446" t="s">
        <v>4604</v>
      </c>
      <c r="K1147" s="446" t="s">
        <v>7222</v>
      </c>
      <c r="L1147" s="450"/>
      <c r="M1147" s="450"/>
      <c r="N1147" s="450"/>
      <c r="O1147" s="450"/>
      <c r="P1147" s="450"/>
      <c r="Q1147" s="450"/>
      <c r="R1147" s="450"/>
      <c r="S1147" s="451"/>
      <c r="T1147" s="450"/>
      <c r="U1147" s="451"/>
      <c r="V1147" s="450"/>
      <c r="W1147" s="450"/>
      <c r="X1147" s="450"/>
      <c r="Y1147" s="450"/>
      <c r="Z1147" s="450"/>
    </row>
    <row r="1148" spans="1:26" x14ac:dyDescent="0.25">
      <c r="A1148" s="446" t="s">
        <v>7223</v>
      </c>
      <c r="B1148" s="446"/>
      <c r="C1148" s="446" t="s">
        <v>1456</v>
      </c>
      <c r="D1148" s="446" t="s">
        <v>7224</v>
      </c>
      <c r="E1148" s="448" t="s">
        <v>7225</v>
      </c>
      <c r="F1148" s="448">
        <v>37348</v>
      </c>
      <c r="G1148" s="446" t="s">
        <v>4078</v>
      </c>
      <c r="H1148" s="446" t="s">
        <v>7226</v>
      </c>
      <c r="I1148" s="446" t="s">
        <v>7227</v>
      </c>
      <c r="J1148" s="446" t="s">
        <v>746</v>
      </c>
      <c r="K1148" s="446" t="s">
        <v>7228</v>
      </c>
      <c r="L1148" s="450"/>
      <c r="M1148" s="450"/>
      <c r="N1148" s="450"/>
      <c r="O1148" s="450"/>
      <c r="P1148" s="450"/>
      <c r="Q1148" s="450"/>
      <c r="R1148" s="450"/>
      <c r="S1148" s="451"/>
      <c r="T1148" s="450"/>
      <c r="U1148" s="451"/>
      <c r="V1148" s="450"/>
      <c r="W1148" s="450"/>
      <c r="X1148" s="450"/>
      <c r="Y1148" s="450"/>
      <c r="Z1148" s="450"/>
    </row>
    <row r="1149" spans="1:26" x14ac:dyDescent="0.25">
      <c r="A1149" s="446" t="s">
        <v>7229</v>
      </c>
      <c r="B1149" s="446">
        <v>13</v>
      </c>
      <c r="C1149" s="446" t="s">
        <v>202</v>
      </c>
      <c r="D1149" s="446" t="s">
        <v>4462</v>
      </c>
      <c r="E1149" s="448" t="s">
        <v>7230</v>
      </c>
      <c r="F1149" s="448">
        <v>37347</v>
      </c>
      <c r="G1149" s="446" t="s">
        <v>357</v>
      </c>
      <c r="H1149" s="446" t="s">
        <v>7179</v>
      </c>
      <c r="I1149" s="446" t="s">
        <v>215</v>
      </c>
      <c r="J1149" s="446" t="s">
        <v>746</v>
      </c>
      <c r="K1149" s="446" t="s">
        <v>7231</v>
      </c>
      <c r="L1149" s="450"/>
      <c r="M1149" s="450"/>
      <c r="N1149" s="450"/>
      <c r="O1149" s="450"/>
      <c r="P1149" s="450"/>
      <c r="Q1149" s="450"/>
      <c r="R1149" s="450"/>
      <c r="S1149" s="451"/>
      <c r="T1149" s="450"/>
      <c r="U1149" s="451"/>
      <c r="V1149" s="450"/>
      <c r="W1149" s="450"/>
      <c r="X1149" s="450"/>
      <c r="Y1149" s="450"/>
      <c r="Z1149" s="450"/>
    </row>
    <row r="1150" spans="1:26" x14ac:dyDescent="0.25">
      <c r="A1150" s="446" t="s">
        <v>7232</v>
      </c>
      <c r="B1150" s="446">
        <v>14</v>
      </c>
      <c r="C1150" s="446" t="s">
        <v>202</v>
      </c>
      <c r="D1150" s="446" t="s">
        <v>7233</v>
      </c>
      <c r="E1150" s="448" t="s">
        <v>7230</v>
      </c>
      <c r="F1150" s="448">
        <v>37354</v>
      </c>
      <c r="G1150" s="446" t="s">
        <v>7234</v>
      </c>
      <c r="H1150" s="446" t="s">
        <v>7179</v>
      </c>
      <c r="I1150" s="446" t="s">
        <v>263</v>
      </c>
      <c r="J1150" s="446" t="s">
        <v>746</v>
      </c>
      <c r="K1150" s="446" t="s">
        <v>7235</v>
      </c>
      <c r="L1150" s="450"/>
      <c r="M1150" s="450"/>
      <c r="N1150" s="450"/>
      <c r="O1150" s="450"/>
      <c r="P1150" s="450"/>
      <c r="Q1150" s="450"/>
      <c r="R1150" s="450"/>
      <c r="S1150" s="451"/>
      <c r="T1150" s="450"/>
      <c r="U1150" s="451"/>
      <c r="V1150" s="450"/>
      <c r="W1150" s="450"/>
      <c r="X1150" s="450"/>
      <c r="Y1150" s="450"/>
      <c r="Z1150" s="450"/>
    </row>
    <row r="1151" spans="1:26" x14ac:dyDescent="0.25">
      <c r="A1151" s="446" t="s">
        <v>7236</v>
      </c>
      <c r="B1151" s="446"/>
      <c r="C1151" s="446" t="s">
        <v>202</v>
      </c>
      <c r="D1151" s="446" t="s">
        <v>7237</v>
      </c>
      <c r="E1151" s="448" t="s">
        <v>7238</v>
      </c>
      <c r="F1151" s="448">
        <v>37384</v>
      </c>
      <c r="G1151" s="446" t="s">
        <v>1156</v>
      </c>
      <c r="H1151" s="446" t="s">
        <v>119</v>
      </c>
      <c r="I1151" s="446" t="s">
        <v>222</v>
      </c>
      <c r="J1151" s="446" t="s">
        <v>746</v>
      </c>
      <c r="K1151" s="446" t="s">
        <v>7239</v>
      </c>
      <c r="L1151" s="450"/>
      <c r="M1151" s="450"/>
      <c r="N1151" s="450"/>
      <c r="O1151" s="450"/>
      <c r="P1151" s="450"/>
      <c r="Q1151" s="450"/>
      <c r="R1151" s="450"/>
      <c r="S1151" s="451"/>
      <c r="T1151" s="450"/>
      <c r="U1151" s="451"/>
      <c r="V1151" s="450"/>
      <c r="W1151" s="450"/>
      <c r="X1151" s="450"/>
      <c r="Y1151" s="450"/>
      <c r="Z1151" s="450"/>
    </row>
    <row r="1152" spans="1:26" x14ac:dyDescent="0.25">
      <c r="A1152" s="446" t="s">
        <v>7240</v>
      </c>
      <c r="B1152" s="446"/>
      <c r="C1152" s="446" t="s">
        <v>1456</v>
      </c>
      <c r="D1152" s="446" t="s">
        <v>7241</v>
      </c>
      <c r="E1152" s="448" t="s">
        <v>7238</v>
      </c>
      <c r="F1152" s="448">
        <v>37385</v>
      </c>
      <c r="G1152" s="446" t="s">
        <v>119</v>
      </c>
      <c r="H1152" s="446" t="s">
        <v>7242</v>
      </c>
      <c r="I1152" s="446" t="s">
        <v>222</v>
      </c>
      <c r="J1152" s="446" t="s">
        <v>746</v>
      </c>
      <c r="K1152" s="446" t="s">
        <v>7243</v>
      </c>
      <c r="L1152" s="450"/>
      <c r="M1152" s="450"/>
      <c r="N1152" s="450"/>
      <c r="O1152" s="450"/>
      <c r="P1152" s="450"/>
      <c r="Q1152" s="450"/>
      <c r="R1152" s="450"/>
      <c r="S1152" s="451"/>
      <c r="T1152" s="450"/>
      <c r="U1152" s="451"/>
      <c r="V1152" s="450"/>
      <c r="W1152" s="450"/>
      <c r="X1152" s="450"/>
      <c r="Y1152" s="450"/>
      <c r="Z1152" s="450"/>
    </row>
    <row r="1153" spans="1:26" x14ac:dyDescent="0.25">
      <c r="A1153" s="446" t="s">
        <v>7244</v>
      </c>
      <c r="B1153" s="446">
        <v>17</v>
      </c>
      <c r="C1153" s="446" t="s">
        <v>202</v>
      </c>
      <c r="D1153" s="446" t="s">
        <v>7245</v>
      </c>
      <c r="E1153" s="448" t="s">
        <v>7238</v>
      </c>
      <c r="F1153" s="448">
        <v>37364</v>
      </c>
      <c r="G1153" s="446" t="s">
        <v>329</v>
      </c>
      <c r="H1153" s="446" t="s">
        <v>7179</v>
      </c>
      <c r="I1153" s="446" t="s">
        <v>215</v>
      </c>
      <c r="J1153" s="446" t="s">
        <v>746</v>
      </c>
      <c r="K1153" s="446" t="s">
        <v>7246</v>
      </c>
      <c r="L1153" s="450"/>
      <c r="M1153" s="450"/>
      <c r="N1153" s="450"/>
      <c r="O1153" s="450"/>
      <c r="P1153" s="450"/>
      <c r="Q1153" s="450"/>
      <c r="R1153" s="450"/>
      <c r="S1153" s="451"/>
      <c r="T1153" s="450"/>
      <c r="U1153" s="451"/>
      <c r="V1153" s="450"/>
      <c r="W1153" s="450"/>
      <c r="X1153" s="450"/>
      <c r="Y1153" s="450"/>
      <c r="Z1153" s="450"/>
    </row>
    <row r="1154" spans="1:26" x14ac:dyDescent="0.25">
      <c r="A1154" s="446" t="s">
        <v>7247</v>
      </c>
      <c r="B1154" s="446">
        <v>16</v>
      </c>
      <c r="C1154" s="446" t="s">
        <v>202</v>
      </c>
      <c r="D1154" s="446" t="s">
        <v>4467</v>
      </c>
      <c r="E1154" s="448" t="s">
        <v>7238</v>
      </c>
      <c r="F1154" s="448">
        <v>37361</v>
      </c>
      <c r="G1154" s="446" t="s">
        <v>368</v>
      </c>
      <c r="H1154" s="446" t="s">
        <v>262</v>
      </c>
      <c r="I1154" s="446" t="s">
        <v>215</v>
      </c>
      <c r="J1154" s="446" t="s">
        <v>746</v>
      </c>
      <c r="K1154" s="446" t="s">
        <v>7248</v>
      </c>
      <c r="L1154" s="450"/>
      <c r="M1154" s="450"/>
      <c r="N1154" s="450"/>
      <c r="O1154" s="450"/>
      <c r="P1154" s="450"/>
      <c r="Q1154" s="450"/>
      <c r="R1154" s="450"/>
      <c r="S1154" s="451"/>
      <c r="T1154" s="450"/>
      <c r="U1154" s="451"/>
      <c r="V1154" s="450"/>
      <c r="W1154" s="450"/>
      <c r="X1154" s="450"/>
      <c r="Y1154" s="450"/>
      <c r="Z1154" s="450"/>
    </row>
    <row r="1155" spans="1:26" x14ac:dyDescent="0.25">
      <c r="A1155" s="446" t="s">
        <v>7249</v>
      </c>
      <c r="B1155" s="446"/>
      <c r="C1155" s="446" t="s">
        <v>202</v>
      </c>
      <c r="D1155" s="446" t="s">
        <v>7250</v>
      </c>
      <c r="E1155" s="448" t="s">
        <v>7238</v>
      </c>
      <c r="F1155" s="448">
        <v>37361</v>
      </c>
      <c r="G1155" s="446" t="s">
        <v>6493</v>
      </c>
      <c r="H1155" s="446" t="s">
        <v>262</v>
      </c>
      <c r="I1155" s="446" t="s">
        <v>215</v>
      </c>
      <c r="J1155" s="446" t="s">
        <v>746</v>
      </c>
      <c r="K1155" s="446" t="s">
        <v>7251</v>
      </c>
      <c r="L1155" s="450"/>
      <c r="M1155" s="450"/>
      <c r="N1155" s="450"/>
      <c r="O1155" s="450"/>
      <c r="P1155" s="450"/>
      <c r="Q1155" s="450"/>
      <c r="R1155" s="450"/>
      <c r="S1155" s="451"/>
      <c r="T1155" s="450"/>
      <c r="U1155" s="451"/>
      <c r="V1155" s="450"/>
      <c r="W1155" s="450"/>
      <c r="X1155" s="450"/>
      <c r="Y1155" s="450"/>
      <c r="Z1155" s="450"/>
    </row>
    <row r="1156" spans="1:26" x14ac:dyDescent="0.25">
      <c r="A1156" s="446" t="s">
        <v>7252</v>
      </c>
      <c r="B1156" s="446"/>
      <c r="C1156" s="446" t="s">
        <v>202</v>
      </c>
      <c r="D1156" s="446" t="s">
        <v>7253</v>
      </c>
      <c r="E1156" s="448" t="s">
        <v>7254</v>
      </c>
      <c r="F1156" s="448">
        <v>37381</v>
      </c>
      <c r="G1156" s="446" t="s">
        <v>329</v>
      </c>
      <c r="H1156" s="446" t="s">
        <v>262</v>
      </c>
      <c r="I1156" s="446" t="s">
        <v>215</v>
      </c>
      <c r="J1156" s="446" t="s">
        <v>746</v>
      </c>
      <c r="K1156" s="446" t="s">
        <v>7255</v>
      </c>
      <c r="L1156" s="450"/>
      <c r="M1156" s="450"/>
      <c r="N1156" s="450"/>
      <c r="O1156" s="450"/>
      <c r="P1156" s="450"/>
      <c r="Q1156" s="450"/>
      <c r="R1156" s="450"/>
      <c r="S1156" s="451"/>
      <c r="T1156" s="450"/>
      <c r="U1156" s="451"/>
      <c r="V1156" s="450"/>
      <c r="W1156" s="450"/>
      <c r="X1156" s="450"/>
      <c r="Y1156" s="450"/>
      <c r="Z1156" s="450"/>
    </row>
    <row r="1157" spans="1:26" x14ac:dyDescent="0.25">
      <c r="A1157" s="446" t="s">
        <v>1435</v>
      </c>
      <c r="B1157" s="446"/>
      <c r="C1157" s="446" t="s">
        <v>408</v>
      </c>
      <c r="D1157" s="446" t="s">
        <v>7256</v>
      </c>
      <c r="E1157" s="448" t="s">
        <v>7257</v>
      </c>
      <c r="F1157" s="448">
        <v>37406</v>
      </c>
      <c r="G1157" s="446" t="s">
        <v>114</v>
      </c>
      <c r="H1157" s="446" t="s">
        <v>2031</v>
      </c>
      <c r="I1157" s="446" t="s">
        <v>4632</v>
      </c>
      <c r="J1157" s="446" t="s">
        <v>4604</v>
      </c>
      <c r="K1157" s="446" t="s">
        <v>7258</v>
      </c>
      <c r="L1157" s="450"/>
      <c r="M1157" s="450"/>
      <c r="N1157" s="450"/>
      <c r="O1157" s="450"/>
      <c r="P1157" s="450"/>
      <c r="Q1157" s="450"/>
      <c r="R1157" s="450"/>
      <c r="S1157" s="451"/>
      <c r="T1157" s="450"/>
      <c r="U1157" s="451"/>
      <c r="V1157" s="450"/>
      <c r="W1157" s="450"/>
      <c r="X1157" s="450"/>
      <c r="Y1157" s="450"/>
      <c r="Z1157" s="450"/>
    </row>
    <row r="1158" spans="1:26" x14ac:dyDescent="0.25">
      <c r="A1158" s="446" t="s">
        <v>7259</v>
      </c>
      <c r="B1158" s="446"/>
      <c r="C1158" s="446" t="s">
        <v>202</v>
      </c>
      <c r="D1158" s="446" t="s">
        <v>7260</v>
      </c>
      <c r="E1158" s="448" t="s">
        <v>7261</v>
      </c>
      <c r="F1158" s="448">
        <v>37364</v>
      </c>
      <c r="G1158" s="446" t="s">
        <v>7262</v>
      </c>
      <c r="H1158" s="446" t="s">
        <v>7179</v>
      </c>
      <c r="I1158" s="446" t="s">
        <v>7263</v>
      </c>
      <c r="J1158" s="446" t="s">
        <v>746</v>
      </c>
      <c r="K1158" s="446" t="s">
        <v>7264</v>
      </c>
      <c r="L1158" s="450"/>
      <c r="M1158" s="450"/>
      <c r="N1158" s="450"/>
      <c r="O1158" s="450"/>
      <c r="P1158" s="450"/>
      <c r="Q1158" s="450"/>
      <c r="R1158" s="450"/>
      <c r="S1158" s="451"/>
      <c r="T1158" s="450"/>
      <c r="U1158" s="451"/>
      <c r="V1158" s="450"/>
      <c r="W1158" s="450"/>
      <c r="X1158" s="450"/>
      <c r="Y1158" s="450"/>
      <c r="Z1158" s="450"/>
    </row>
    <row r="1159" spans="1:26" x14ac:dyDescent="0.25">
      <c r="A1159" s="446" t="s">
        <v>7265</v>
      </c>
      <c r="B1159" s="446"/>
      <c r="C1159" s="446" t="s">
        <v>202</v>
      </c>
      <c r="D1159" s="446" t="s">
        <v>7266</v>
      </c>
      <c r="E1159" s="448" t="s">
        <v>7267</v>
      </c>
      <c r="F1159" s="448">
        <v>37354</v>
      </c>
      <c r="G1159" s="446" t="s">
        <v>872</v>
      </c>
      <c r="H1159" s="446" t="s">
        <v>7179</v>
      </c>
      <c r="I1159" s="446" t="s">
        <v>7268</v>
      </c>
      <c r="J1159" s="446" t="s">
        <v>746</v>
      </c>
      <c r="K1159" s="446" t="s">
        <v>7269</v>
      </c>
      <c r="L1159" s="450"/>
      <c r="M1159" s="450"/>
      <c r="N1159" s="450"/>
      <c r="O1159" s="450"/>
      <c r="P1159" s="450"/>
      <c r="Q1159" s="450"/>
      <c r="R1159" s="450"/>
      <c r="S1159" s="451"/>
      <c r="T1159" s="450"/>
      <c r="U1159" s="451"/>
      <c r="V1159" s="450"/>
      <c r="W1159" s="450"/>
      <c r="X1159" s="450"/>
      <c r="Y1159" s="450"/>
      <c r="Z1159" s="450"/>
    </row>
    <row r="1160" spans="1:26" x14ac:dyDescent="0.25">
      <c r="A1160" s="446" t="s">
        <v>7270</v>
      </c>
      <c r="B1160" s="446">
        <v>18</v>
      </c>
      <c r="C1160" s="446" t="s">
        <v>202</v>
      </c>
      <c r="D1160" s="446" t="s">
        <v>4470</v>
      </c>
      <c r="E1160" s="448" t="s">
        <v>7271</v>
      </c>
      <c r="F1160" s="448">
        <v>37381</v>
      </c>
      <c r="G1160" s="446" t="s">
        <v>6058</v>
      </c>
      <c r="H1160" s="446" t="s">
        <v>262</v>
      </c>
      <c r="I1160" s="446" t="s">
        <v>215</v>
      </c>
      <c r="J1160" s="446" t="s">
        <v>746</v>
      </c>
      <c r="K1160" s="446" t="s">
        <v>7272</v>
      </c>
      <c r="L1160" s="450"/>
      <c r="M1160" s="450"/>
      <c r="N1160" s="450"/>
      <c r="O1160" s="450"/>
      <c r="P1160" s="450"/>
      <c r="Q1160" s="450"/>
      <c r="R1160" s="450"/>
      <c r="S1160" s="451"/>
      <c r="T1160" s="450"/>
      <c r="U1160" s="451"/>
      <c r="V1160" s="450"/>
      <c r="W1160" s="450"/>
      <c r="X1160" s="450"/>
      <c r="Y1160" s="450"/>
      <c r="Z1160" s="450"/>
    </row>
    <row r="1161" spans="1:26" x14ac:dyDescent="0.25">
      <c r="A1161" s="446" t="s">
        <v>7273</v>
      </c>
      <c r="B1161" s="446"/>
      <c r="C1161" s="446" t="s">
        <v>202</v>
      </c>
      <c r="D1161" s="446" t="s">
        <v>7274</v>
      </c>
      <c r="E1161" s="448" t="s">
        <v>7275</v>
      </c>
      <c r="F1161" s="448">
        <v>37426</v>
      </c>
      <c r="G1161" s="446" t="s">
        <v>869</v>
      </c>
      <c r="H1161" s="446" t="s">
        <v>262</v>
      </c>
      <c r="I1161" s="446" t="s">
        <v>215</v>
      </c>
      <c r="J1161" s="446" t="s">
        <v>746</v>
      </c>
      <c r="K1161" s="446" t="s">
        <v>7276</v>
      </c>
      <c r="L1161" s="450"/>
      <c r="M1161" s="450"/>
      <c r="N1161" s="450"/>
      <c r="O1161" s="450"/>
      <c r="P1161" s="450"/>
      <c r="Q1161" s="450"/>
      <c r="R1161" s="450"/>
      <c r="S1161" s="451"/>
      <c r="T1161" s="450"/>
      <c r="U1161" s="451"/>
      <c r="V1161" s="450"/>
      <c r="W1161" s="450"/>
      <c r="X1161" s="450"/>
      <c r="Y1161" s="450"/>
      <c r="Z1161" s="450"/>
    </row>
    <row r="1162" spans="1:26" x14ac:dyDescent="0.25">
      <c r="A1162" s="446" t="s">
        <v>7277</v>
      </c>
      <c r="B1162" s="446">
        <v>20</v>
      </c>
      <c r="C1162" s="446" t="s">
        <v>202</v>
      </c>
      <c r="D1162" s="446" t="s">
        <v>4473</v>
      </c>
      <c r="E1162" s="448" t="s">
        <v>7278</v>
      </c>
      <c r="F1162" s="448">
        <v>37426</v>
      </c>
      <c r="G1162" s="446" t="s">
        <v>7279</v>
      </c>
      <c r="H1162" s="446" t="s">
        <v>262</v>
      </c>
      <c r="I1162" s="446" t="s">
        <v>215</v>
      </c>
      <c r="J1162" s="446" t="s">
        <v>746</v>
      </c>
      <c r="K1162" s="446" t="s">
        <v>7280</v>
      </c>
      <c r="L1162" s="450"/>
      <c r="M1162" s="450"/>
      <c r="N1162" s="450"/>
      <c r="O1162" s="450"/>
      <c r="P1162" s="450"/>
      <c r="Q1162" s="450"/>
      <c r="R1162" s="450"/>
      <c r="S1162" s="451"/>
      <c r="T1162" s="450"/>
      <c r="U1162" s="451"/>
      <c r="V1162" s="450"/>
      <c r="W1162" s="450"/>
      <c r="X1162" s="450"/>
      <c r="Y1162" s="450"/>
      <c r="Z1162" s="450"/>
    </row>
    <row r="1163" spans="1:26" x14ac:dyDescent="0.25">
      <c r="A1163" s="446" t="s">
        <v>7281</v>
      </c>
      <c r="B1163" s="446">
        <v>15</v>
      </c>
      <c r="C1163" s="446" t="s">
        <v>202</v>
      </c>
      <c r="D1163" s="446" t="s">
        <v>4466</v>
      </c>
      <c r="E1163" s="448" t="s">
        <v>7282</v>
      </c>
      <c r="F1163" s="448">
        <v>37354</v>
      </c>
      <c r="G1163" s="446" t="s">
        <v>872</v>
      </c>
      <c r="H1163" s="446" t="s">
        <v>7179</v>
      </c>
      <c r="I1163" s="446" t="s">
        <v>215</v>
      </c>
      <c r="J1163" s="446" t="s">
        <v>746</v>
      </c>
      <c r="K1163" s="446" t="s">
        <v>7283</v>
      </c>
      <c r="L1163" s="450"/>
      <c r="M1163" s="450"/>
      <c r="N1163" s="450"/>
      <c r="O1163" s="450"/>
      <c r="P1163" s="450"/>
      <c r="Q1163" s="450"/>
      <c r="R1163" s="450"/>
      <c r="S1163" s="451"/>
      <c r="T1163" s="450"/>
      <c r="U1163" s="451"/>
      <c r="V1163" s="450"/>
      <c r="W1163" s="450"/>
      <c r="X1163" s="450"/>
      <c r="Y1163" s="450"/>
      <c r="Z1163" s="450"/>
    </row>
    <row r="1164" spans="1:26" x14ac:dyDescent="0.25">
      <c r="A1164" s="446" t="s">
        <v>1442</v>
      </c>
      <c r="B1164" s="446"/>
      <c r="C1164" s="446" t="s">
        <v>619</v>
      </c>
      <c r="D1164" s="446" t="s">
        <v>7284</v>
      </c>
      <c r="E1164" s="448" t="s">
        <v>7285</v>
      </c>
      <c r="F1164" s="448">
        <v>37482</v>
      </c>
      <c r="G1164" s="446" t="s">
        <v>7286</v>
      </c>
      <c r="H1164" s="446" t="s">
        <v>114</v>
      </c>
      <c r="I1164" s="446" t="s">
        <v>263</v>
      </c>
      <c r="J1164" s="446" t="s">
        <v>404</v>
      </c>
      <c r="K1164" s="446" t="s">
        <v>7287</v>
      </c>
      <c r="L1164" s="450"/>
      <c r="M1164" s="450"/>
      <c r="N1164" s="450"/>
      <c r="O1164" s="450"/>
      <c r="P1164" s="450"/>
      <c r="Q1164" s="450"/>
      <c r="R1164" s="450"/>
      <c r="S1164" s="451"/>
      <c r="T1164" s="450"/>
      <c r="U1164" s="451"/>
      <c r="V1164" s="450"/>
      <c r="W1164" s="450"/>
      <c r="X1164" s="450"/>
      <c r="Y1164" s="450"/>
      <c r="Z1164" s="450"/>
    </row>
    <row r="1165" spans="1:26" x14ac:dyDescent="0.25">
      <c r="A1165" s="446" t="s">
        <v>7288</v>
      </c>
      <c r="B1165" s="446">
        <v>21</v>
      </c>
      <c r="C1165" s="446" t="s">
        <v>202</v>
      </c>
      <c r="D1165" s="446" t="s">
        <v>4475</v>
      </c>
      <c r="E1165" s="448" t="s">
        <v>7289</v>
      </c>
      <c r="F1165" s="448">
        <v>37496</v>
      </c>
      <c r="G1165" s="446" t="s">
        <v>838</v>
      </c>
      <c r="H1165" s="446" t="s">
        <v>262</v>
      </c>
      <c r="I1165" s="446" t="s">
        <v>215</v>
      </c>
      <c r="J1165" s="446" t="s">
        <v>746</v>
      </c>
      <c r="K1165" s="446" t="s">
        <v>7290</v>
      </c>
      <c r="L1165" s="450"/>
      <c r="M1165" s="450"/>
      <c r="N1165" s="450"/>
      <c r="O1165" s="450"/>
      <c r="P1165" s="450"/>
      <c r="Q1165" s="450"/>
      <c r="R1165" s="450"/>
      <c r="S1165" s="451"/>
      <c r="T1165" s="450"/>
      <c r="U1165" s="451"/>
      <c r="V1165" s="450"/>
      <c r="W1165" s="450"/>
      <c r="X1165" s="450"/>
      <c r="Y1165" s="450"/>
      <c r="Z1165" s="450"/>
    </row>
    <row r="1166" spans="1:26" x14ac:dyDescent="0.25">
      <c r="A1166" s="446" t="s">
        <v>7291</v>
      </c>
      <c r="B1166" s="446"/>
      <c r="C1166" s="446" t="s">
        <v>1642</v>
      </c>
      <c r="D1166" s="446" t="s">
        <v>7292</v>
      </c>
      <c r="E1166" s="448" t="s">
        <v>7289</v>
      </c>
      <c r="F1166" s="448">
        <v>37490</v>
      </c>
      <c r="G1166" s="446" t="s">
        <v>295</v>
      </c>
      <c r="H1166" s="446" t="s">
        <v>262</v>
      </c>
      <c r="I1166" s="446" t="s">
        <v>215</v>
      </c>
      <c r="J1166" s="446" t="s">
        <v>746</v>
      </c>
      <c r="K1166" s="446" t="s">
        <v>7293</v>
      </c>
      <c r="L1166" s="450"/>
      <c r="M1166" s="450"/>
      <c r="N1166" s="450"/>
      <c r="O1166" s="450"/>
      <c r="P1166" s="450"/>
      <c r="Q1166" s="450"/>
      <c r="R1166" s="450"/>
      <c r="S1166" s="451"/>
      <c r="T1166" s="450"/>
      <c r="U1166" s="451"/>
      <c r="V1166" s="450"/>
      <c r="W1166" s="450"/>
      <c r="X1166" s="450"/>
      <c r="Y1166" s="450"/>
      <c r="Z1166" s="450"/>
    </row>
    <row r="1167" spans="1:26" x14ac:dyDescent="0.25">
      <c r="A1167" s="446" t="s">
        <v>7294</v>
      </c>
      <c r="B1167" s="446"/>
      <c r="C1167" s="446" t="s">
        <v>1642</v>
      </c>
      <c r="D1167" s="446" t="s">
        <v>7295</v>
      </c>
      <c r="E1167" s="448" t="s">
        <v>7289</v>
      </c>
      <c r="F1167" s="448">
        <v>37459</v>
      </c>
      <c r="G1167" s="446" t="s">
        <v>2058</v>
      </c>
      <c r="H1167" s="446" t="s">
        <v>262</v>
      </c>
      <c r="I1167" s="446" t="s">
        <v>215</v>
      </c>
      <c r="J1167" s="446" t="s">
        <v>746</v>
      </c>
      <c r="K1167" s="446" t="s">
        <v>7296</v>
      </c>
      <c r="L1167" s="450"/>
      <c r="M1167" s="450"/>
      <c r="N1167" s="450"/>
      <c r="O1167" s="450"/>
      <c r="P1167" s="450"/>
      <c r="Q1167" s="450"/>
      <c r="R1167" s="450"/>
      <c r="S1167" s="451"/>
      <c r="T1167" s="450"/>
      <c r="U1167" s="451"/>
      <c r="V1167" s="450"/>
      <c r="W1167" s="450"/>
      <c r="X1167" s="450"/>
      <c r="Y1167" s="450"/>
      <c r="Z1167" s="450"/>
    </row>
    <row r="1168" spans="1:26" x14ac:dyDescent="0.25">
      <c r="A1168" s="446" t="s">
        <v>7297</v>
      </c>
      <c r="B1168" s="446"/>
      <c r="C1168" s="446" t="s">
        <v>1642</v>
      </c>
      <c r="D1168" s="446" t="s">
        <v>7298</v>
      </c>
      <c r="E1168" s="448" t="s">
        <v>7289</v>
      </c>
      <c r="F1168" s="448">
        <v>37455</v>
      </c>
      <c r="G1168" s="446" t="s">
        <v>7299</v>
      </c>
      <c r="H1168" s="446" t="s">
        <v>262</v>
      </c>
      <c r="I1168" s="446" t="s">
        <v>215</v>
      </c>
      <c r="J1168" s="446" t="s">
        <v>746</v>
      </c>
      <c r="K1168" s="446" t="s">
        <v>7300</v>
      </c>
      <c r="L1168" s="450"/>
      <c r="M1168" s="450"/>
      <c r="N1168" s="450"/>
      <c r="O1168" s="450"/>
      <c r="P1168" s="450"/>
      <c r="Q1168" s="450"/>
      <c r="R1168" s="450"/>
      <c r="S1168" s="451"/>
      <c r="T1168" s="450"/>
      <c r="U1168" s="451"/>
      <c r="V1168" s="450"/>
      <c r="W1168" s="450"/>
      <c r="X1168" s="450"/>
      <c r="Y1168" s="450"/>
      <c r="Z1168" s="450"/>
    </row>
    <row r="1169" spans="1:26" x14ac:dyDescent="0.25">
      <c r="A1169" s="446" t="s">
        <v>7301</v>
      </c>
      <c r="B1169" s="446"/>
      <c r="C1169" s="446" t="s">
        <v>1642</v>
      </c>
      <c r="D1169" s="446" t="s">
        <v>7302</v>
      </c>
      <c r="E1169" s="448" t="s">
        <v>7289</v>
      </c>
      <c r="F1169" s="448">
        <v>37453</v>
      </c>
      <c r="G1169" s="446" t="s">
        <v>306</v>
      </c>
      <c r="H1169" s="446" t="s">
        <v>262</v>
      </c>
      <c r="I1169" s="446" t="s">
        <v>215</v>
      </c>
      <c r="J1169" s="446" t="s">
        <v>746</v>
      </c>
      <c r="K1169" s="446" t="s">
        <v>7303</v>
      </c>
      <c r="L1169" s="450"/>
      <c r="M1169" s="450"/>
      <c r="N1169" s="450"/>
      <c r="O1169" s="450"/>
      <c r="P1169" s="450"/>
      <c r="Q1169" s="450"/>
      <c r="R1169" s="450"/>
      <c r="S1169" s="451"/>
      <c r="T1169" s="450"/>
      <c r="U1169" s="451"/>
      <c r="V1169" s="450"/>
      <c r="W1169" s="450"/>
      <c r="X1169" s="450"/>
      <c r="Y1169" s="450"/>
      <c r="Z1169" s="450"/>
    </row>
    <row r="1170" spans="1:26" x14ac:dyDescent="0.25">
      <c r="A1170" s="446" t="s">
        <v>7304</v>
      </c>
      <c r="B1170" s="446"/>
      <c r="C1170" s="446" t="s">
        <v>1642</v>
      </c>
      <c r="D1170" s="446" t="s">
        <v>7305</v>
      </c>
      <c r="E1170" s="448" t="s">
        <v>7289</v>
      </c>
      <c r="F1170" s="448">
        <v>37461</v>
      </c>
      <c r="G1170" s="446" t="s">
        <v>291</v>
      </c>
      <c r="H1170" s="446" t="s">
        <v>262</v>
      </c>
      <c r="I1170" s="446" t="s">
        <v>215</v>
      </c>
      <c r="J1170" s="446" t="s">
        <v>746</v>
      </c>
      <c r="K1170" s="446" t="s">
        <v>7306</v>
      </c>
      <c r="L1170" s="450"/>
      <c r="M1170" s="450"/>
      <c r="N1170" s="450"/>
      <c r="O1170" s="450"/>
      <c r="P1170" s="450"/>
      <c r="Q1170" s="450"/>
      <c r="R1170" s="450"/>
      <c r="S1170" s="451"/>
      <c r="T1170" s="450"/>
      <c r="U1170" s="451"/>
      <c r="V1170" s="450"/>
      <c r="W1170" s="450"/>
      <c r="X1170" s="450"/>
      <c r="Y1170" s="450"/>
      <c r="Z1170" s="450"/>
    </row>
    <row r="1171" spans="1:26" x14ac:dyDescent="0.25">
      <c r="A1171" s="446" t="s">
        <v>7307</v>
      </c>
      <c r="B1171" s="446"/>
      <c r="C1171" s="446" t="s">
        <v>1642</v>
      </c>
      <c r="D1171" s="446" t="s">
        <v>7308</v>
      </c>
      <c r="E1171" s="448" t="s">
        <v>7289</v>
      </c>
      <c r="F1171" s="448">
        <v>37480</v>
      </c>
      <c r="G1171" s="446" t="s">
        <v>7309</v>
      </c>
      <c r="H1171" s="446" t="s">
        <v>262</v>
      </c>
      <c r="I1171" s="446" t="s">
        <v>215</v>
      </c>
      <c r="J1171" s="446" t="s">
        <v>746</v>
      </c>
      <c r="K1171" s="446" t="s">
        <v>7310</v>
      </c>
      <c r="L1171" s="450"/>
      <c r="M1171" s="450"/>
      <c r="N1171" s="450"/>
      <c r="O1171" s="450"/>
      <c r="P1171" s="450"/>
      <c r="Q1171" s="450"/>
      <c r="R1171" s="450"/>
      <c r="S1171" s="451"/>
      <c r="T1171" s="450"/>
      <c r="U1171" s="451"/>
      <c r="V1171" s="450"/>
      <c r="W1171" s="450"/>
      <c r="X1171" s="450"/>
      <c r="Y1171" s="450"/>
      <c r="Z1171" s="450"/>
    </row>
    <row r="1172" spans="1:26" x14ac:dyDescent="0.25">
      <c r="A1172" s="446" t="s">
        <v>1445</v>
      </c>
      <c r="B1172" s="446"/>
      <c r="C1172" s="446" t="s">
        <v>619</v>
      </c>
      <c r="D1172" s="446" t="s">
        <v>7311</v>
      </c>
      <c r="E1172" s="448" t="s">
        <v>7312</v>
      </c>
      <c r="F1172" s="448">
        <v>37536</v>
      </c>
      <c r="G1172" s="446" t="s">
        <v>7313</v>
      </c>
      <c r="H1172" s="446" t="s">
        <v>7314</v>
      </c>
      <c r="I1172" s="446" t="s">
        <v>6844</v>
      </c>
      <c r="J1172" s="446" t="s">
        <v>404</v>
      </c>
      <c r="K1172" s="446" t="s">
        <v>7315</v>
      </c>
      <c r="L1172" s="450"/>
      <c r="M1172" s="450"/>
      <c r="N1172" s="450"/>
      <c r="O1172" s="450"/>
      <c r="P1172" s="450"/>
      <c r="Q1172" s="450"/>
      <c r="R1172" s="450"/>
      <c r="S1172" s="451"/>
      <c r="T1172" s="450"/>
      <c r="U1172" s="451"/>
      <c r="V1172" s="450"/>
      <c r="W1172" s="450"/>
      <c r="X1172" s="450"/>
      <c r="Y1172" s="450"/>
      <c r="Z1172" s="450"/>
    </row>
    <row r="1173" spans="1:26" x14ac:dyDescent="0.25">
      <c r="A1173" s="446" t="s">
        <v>1450</v>
      </c>
      <c r="B1173" s="446"/>
      <c r="C1173" s="446" t="s">
        <v>619</v>
      </c>
      <c r="D1173" s="446" t="s">
        <v>7316</v>
      </c>
      <c r="E1173" s="448" t="s">
        <v>7317</v>
      </c>
      <c r="F1173" s="448">
        <v>37586</v>
      </c>
      <c r="G1173" s="446" t="s">
        <v>1156</v>
      </c>
      <c r="H1173" s="446" t="s">
        <v>7318</v>
      </c>
      <c r="I1173" s="446" t="s">
        <v>6811</v>
      </c>
      <c r="J1173" s="446" t="s">
        <v>404</v>
      </c>
      <c r="K1173" s="446" t="s">
        <v>7319</v>
      </c>
      <c r="L1173" s="450"/>
      <c r="M1173" s="450"/>
      <c r="N1173" s="450"/>
      <c r="O1173" s="450"/>
      <c r="P1173" s="450"/>
      <c r="Q1173" s="450"/>
      <c r="R1173" s="450"/>
      <c r="S1173" s="451"/>
      <c r="T1173" s="450"/>
      <c r="U1173" s="451"/>
      <c r="V1173" s="450"/>
      <c r="W1173" s="450"/>
      <c r="X1173" s="450"/>
      <c r="Y1173" s="450"/>
      <c r="Z1173" s="450"/>
    </row>
    <row r="1174" spans="1:26" x14ac:dyDescent="0.25">
      <c r="A1174" s="446" t="s">
        <v>7320</v>
      </c>
      <c r="B1174" s="446"/>
      <c r="C1174" s="446" t="s">
        <v>2029</v>
      </c>
      <c r="D1174" s="446" t="s">
        <v>7321</v>
      </c>
      <c r="E1174" s="448" t="s">
        <v>7322</v>
      </c>
      <c r="F1174" s="448">
        <v>37347</v>
      </c>
      <c r="G1174" s="446" t="s">
        <v>114</v>
      </c>
      <c r="H1174" s="446" t="s">
        <v>7323</v>
      </c>
      <c r="I1174" s="446" t="s">
        <v>5207</v>
      </c>
      <c r="J1174" s="446" t="s">
        <v>746</v>
      </c>
      <c r="K1174" s="446" t="s">
        <v>7324</v>
      </c>
      <c r="L1174" s="450"/>
      <c r="M1174" s="450"/>
      <c r="N1174" s="450"/>
      <c r="O1174" s="450"/>
      <c r="P1174" s="450"/>
      <c r="Q1174" s="450"/>
      <c r="R1174" s="450"/>
      <c r="S1174" s="451"/>
      <c r="T1174" s="450"/>
      <c r="U1174" s="451"/>
      <c r="V1174" s="450"/>
      <c r="W1174" s="450"/>
      <c r="X1174" s="450"/>
      <c r="Y1174" s="450"/>
      <c r="Z1174" s="450"/>
    </row>
    <row r="1175" spans="1:26" x14ac:dyDescent="0.25">
      <c r="A1175" s="446" t="s">
        <v>1455</v>
      </c>
      <c r="B1175" s="446"/>
      <c r="C1175" s="446" t="s">
        <v>1456</v>
      </c>
      <c r="D1175" s="446" t="s">
        <v>7325</v>
      </c>
      <c r="E1175" s="448" t="s">
        <v>7326</v>
      </c>
      <c r="F1175" s="448">
        <v>37710</v>
      </c>
      <c r="G1175" s="446" t="s">
        <v>7327</v>
      </c>
      <c r="H1175" s="446" t="s">
        <v>7328</v>
      </c>
      <c r="I1175" s="446" t="s">
        <v>6811</v>
      </c>
      <c r="J1175" s="446" t="s">
        <v>746</v>
      </c>
      <c r="K1175" s="446" t="s">
        <v>7329</v>
      </c>
      <c r="L1175" s="450"/>
      <c r="M1175" s="450"/>
      <c r="N1175" s="450"/>
      <c r="O1175" s="450"/>
      <c r="P1175" s="450"/>
      <c r="Q1175" s="450"/>
      <c r="R1175" s="450"/>
      <c r="S1175" s="451"/>
      <c r="T1175" s="450"/>
      <c r="U1175" s="451"/>
      <c r="V1175" s="450"/>
      <c r="W1175" s="450"/>
      <c r="X1175" s="450"/>
      <c r="Y1175" s="450"/>
      <c r="Z1175" s="450"/>
    </row>
    <row r="1176" spans="1:26" x14ac:dyDescent="0.25">
      <c r="A1176" s="446" t="s">
        <v>1460</v>
      </c>
      <c r="B1176" s="446"/>
      <c r="C1176" s="446" t="s">
        <v>1456</v>
      </c>
      <c r="D1176" s="446" t="s">
        <v>7330</v>
      </c>
      <c r="E1176" s="448" t="s">
        <v>7326</v>
      </c>
      <c r="F1176" s="448">
        <v>37711</v>
      </c>
      <c r="G1176" s="446" t="s">
        <v>7328</v>
      </c>
      <c r="H1176" s="446" t="s">
        <v>1462</v>
      </c>
      <c r="I1176" s="446" t="s">
        <v>6811</v>
      </c>
      <c r="J1176" s="446" t="s">
        <v>746</v>
      </c>
      <c r="K1176" s="446" t="s">
        <v>7331</v>
      </c>
      <c r="L1176" s="450"/>
      <c r="M1176" s="450"/>
      <c r="N1176" s="450"/>
      <c r="O1176" s="450"/>
      <c r="P1176" s="450"/>
      <c r="Q1176" s="450"/>
      <c r="R1176" s="450"/>
      <c r="S1176" s="451"/>
      <c r="T1176" s="450"/>
      <c r="U1176" s="451"/>
      <c r="V1176" s="450"/>
      <c r="W1176" s="450"/>
      <c r="X1176" s="450"/>
      <c r="Y1176" s="450"/>
      <c r="Z1176" s="450"/>
    </row>
    <row r="1177" spans="1:26" x14ac:dyDescent="0.25">
      <c r="A1177" s="446" t="s">
        <v>1464</v>
      </c>
      <c r="B1177" s="446"/>
      <c r="C1177" s="446" t="s">
        <v>1465</v>
      </c>
      <c r="D1177" s="446" t="s">
        <v>7332</v>
      </c>
      <c r="E1177" s="448" t="s">
        <v>7333</v>
      </c>
      <c r="F1177" s="448">
        <v>37729</v>
      </c>
      <c r="G1177" s="446" t="s">
        <v>7334</v>
      </c>
      <c r="H1177" s="446" t="s">
        <v>102</v>
      </c>
      <c r="I1177" s="446" t="s">
        <v>7335</v>
      </c>
      <c r="J1177" s="446" t="s">
        <v>760</v>
      </c>
      <c r="K1177" s="446" t="s">
        <v>7336</v>
      </c>
      <c r="L1177" s="450"/>
      <c r="M1177" s="450"/>
      <c r="N1177" s="450"/>
      <c r="O1177" s="450"/>
      <c r="P1177" s="450"/>
      <c r="Q1177" s="450"/>
      <c r="R1177" s="450"/>
      <c r="S1177" s="451"/>
      <c r="T1177" s="450"/>
      <c r="U1177" s="451"/>
      <c r="V1177" s="450"/>
      <c r="W1177" s="450"/>
      <c r="X1177" s="450"/>
      <c r="Y1177" s="450"/>
      <c r="Z1177" s="450"/>
    </row>
    <row r="1178" spans="1:26" x14ac:dyDescent="0.25">
      <c r="A1178" s="446" t="s">
        <v>7337</v>
      </c>
      <c r="B1178" s="446"/>
      <c r="C1178" s="446" t="s">
        <v>533</v>
      </c>
      <c r="D1178" s="446" t="s">
        <v>7338</v>
      </c>
      <c r="E1178" s="448" t="s">
        <v>7339</v>
      </c>
      <c r="F1178" s="448">
        <v>37761</v>
      </c>
      <c r="G1178" s="446" t="s">
        <v>257</v>
      </c>
      <c r="H1178" s="446" t="s">
        <v>7340</v>
      </c>
      <c r="I1178" s="446" t="s">
        <v>6844</v>
      </c>
      <c r="J1178" s="446" t="s">
        <v>4604</v>
      </c>
      <c r="K1178" s="446" t="s">
        <v>7341</v>
      </c>
      <c r="L1178" s="450"/>
      <c r="M1178" s="450"/>
      <c r="N1178" s="450"/>
      <c r="O1178" s="450"/>
      <c r="P1178" s="450"/>
      <c r="Q1178" s="450"/>
      <c r="R1178" s="450"/>
      <c r="S1178" s="451"/>
      <c r="T1178" s="450"/>
      <c r="U1178" s="451"/>
      <c r="V1178" s="450"/>
      <c r="W1178" s="450"/>
      <c r="X1178" s="450"/>
      <c r="Y1178" s="450"/>
      <c r="Z1178" s="450"/>
    </row>
    <row r="1179" spans="1:26" x14ac:dyDescent="0.25">
      <c r="A1179" s="446" t="s">
        <v>2902</v>
      </c>
      <c r="B1179" s="446"/>
      <c r="C1179" s="446" t="s">
        <v>545</v>
      </c>
      <c r="D1179" s="446" t="s">
        <v>7342</v>
      </c>
      <c r="E1179" s="448" t="s">
        <v>7343</v>
      </c>
      <c r="F1179" s="448">
        <v>37866</v>
      </c>
      <c r="G1179" s="446" t="s">
        <v>7221</v>
      </c>
      <c r="H1179" s="446" t="s">
        <v>7344</v>
      </c>
      <c r="I1179" s="446" t="s">
        <v>6877</v>
      </c>
      <c r="J1179" s="446" t="s">
        <v>4604</v>
      </c>
      <c r="K1179" s="446" t="s">
        <v>7345</v>
      </c>
      <c r="L1179" s="450"/>
      <c r="M1179" s="450"/>
      <c r="N1179" s="450"/>
      <c r="O1179" s="450"/>
      <c r="P1179" s="450"/>
      <c r="Q1179" s="450"/>
      <c r="R1179" s="450"/>
      <c r="S1179" s="451"/>
      <c r="T1179" s="450"/>
      <c r="U1179" s="451"/>
      <c r="V1179" s="450"/>
      <c r="W1179" s="450"/>
      <c r="X1179" s="450"/>
      <c r="Y1179" s="450"/>
      <c r="Z1179" s="450"/>
    </row>
    <row r="1180" spans="1:26" x14ac:dyDescent="0.25">
      <c r="A1180" s="446" t="s">
        <v>1477</v>
      </c>
      <c r="B1180" s="446"/>
      <c r="C1180" s="446" t="s">
        <v>545</v>
      </c>
      <c r="D1180" s="446" t="s">
        <v>7346</v>
      </c>
      <c r="E1180" s="448" t="s">
        <v>7347</v>
      </c>
      <c r="F1180" s="448">
        <v>37848</v>
      </c>
      <c r="G1180" s="446" t="s">
        <v>1066</v>
      </c>
      <c r="H1180" s="446" t="s">
        <v>7348</v>
      </c>
      <c r="I1180" s="446" t="s">
        <v>6811</v>
      </c>
      <c r="J1180" s="446" t="s">
        <v>4604</v>
      </c>
      <c r="K1180" s="446" t="s">
        <v>7349</v>
      </c>
      <c r="L1180" s="450"/>
      <c r="M1180" s="450"/>
      <c r="N1180" s="450"/>
      <c r="O1180" s="450"/>
      <c r="P1180" s="450"/>
      <c r="Q1180" s="450"/>
      <c r="R1180" s="450"/>
      <c r="S1180" s="451"/>
      <c r="T1180" s="450"/>
      <c r="U1180" s="451"/>
      <c r="V1180" s="450"/>
      <c r="W1180" s="450"/>
      <c r="X1180" s="450"/>
      <c r="Y1180" s="450"/>
      <c r="Z1180" s="450"/>
    </row>
    <row r="1181" spans="1:26" x14ac:dyDescent="0.25">
      <c r="A1181" s="446" t="s">
        <v>1471</v>
      </c>
      <c r="B1181" s="446"/>
      <c r="C1181" s="446" t="s">
        <v>585</v>
      </c>
      <c r="D1181" s="446" t="s">
        <v>7350</v>
      </c>
      <c r="E1181" s="448" t="s">
        <v>7351</v>
      </c>
      <c r="F1181" s="448">
        <v>37802</v>
      </c>
      <c r="G1181" s="446" t="s">
        <v>7352</v>
      </c>
      <c r="H1181" s="446" t="s">
        <v>102</v>
      </c>
      <c r="I1181" s="446" t="s">
        <v>7353</v>
      </c>
      <c r="J1181" s="446" t="s">
        <v>4604</v>
      </c>
      <c r="K1181" s="446" t="s">
        <v>7354</v>
      </c>
      <c r="L1181" s="450"/>
      <c r="M1181" s="450"/>
      <c r="N1181" s="450"/>
      <c r="O1181" s="450"/>
      <c r="P1181" s="450"/>
      <c r="Q1181" s="450"/>
      <c r="R1181" s="450"/>
      <c r="S1181" s="451"/>
      <c r="T1181" s="450"/>
      <c r="U1181" s="451"/>
      <c r="V1181" s="450"/>
      <c r="W1181" s="450"/>
      <c r="X1181" s="450"/>
      <c r="Y1181" s="450"/>
      <c r="Z1181" s="450"/>
    </row>
    <row r="1182" spans="1:26" x14ac:dyDescent="0.25">
      <c r="A1182" s="446" t="s">
        <v>7355</v>
      </c>
      <c r="B1182" s="446"/>
      <c r="C1182" s="446" t="s">
        <v>4618</v>
      </c>
      <c r="D1182" s="446" t="s">
        <v>7356</v>
      </c>
      <c r="E1182" s="448" t="s">
        <v>7357</v>
      </c>
      <c r="F1182" s="448">
        <v>37923</v>
      </c>
      <c r="G1182" s="446" t="s">
        <v>7358</v>
      </c>
      <c r="H1182" s="446" t="s">
        <v>1370</v>
      </c>
      <c r="I1182" s="446" t="s">
        <v>222</v>
      </c>
      <c r="J1182" s="446" t="s">
        <v>746</v>
      </c>
      <c r="K1182" s="446" t="s">
        <v>7359</v>
      </c>
      <c r="L1182" s="450"/>
      <c r="M1182" s="450"/>
      <c r="N1182" s="450"/>
      <c r="O1182" s="450"/>
      <c r="P1182" s="450"/>
      <c r="Q1182" s="450"/>
      <c r="R1182" s="450"/>
      <c r="S1182" s="451"/>
      <c r="T1182" s="450"/>
      <c r="U1182" s="451"/>
      <c r="V1182" s="450"/>
      <c r="W1182" s="450"/>
      <c r="X1182" s="450"/>
      <c r="Y1182" s="450"/>
      <c r="Z1182" s="450"/>
    </row>
    <row r="1183" spans="1:26" x14ac:dyDescent="0.25">
      <c r="A1183" s="446" t="s">
        <v>7360</v>
      </c>
      <c r="B1183" s="446"/>
      <c r="C1183" s="446" t="s">
        <v>4618</v>
      </c>
      <c r="D1183" s="446" t="s">
        <v>7361</v>
      </c>
      <c r="E1183" s="448" t="s">
        <v>7357</v>
      </c>
      <c r="F1183" s="448">
        <v>37931</v>
      </c>
      <c r="G1183" s="446" t="s">
        <v>262</v>
      </c>
      <c r="H1183" s="446" t="s">
        <v>7362</v>
      </c>
      <c r="I1183" s="446" t="s">
        <v>222</v>
      </c>
      <c r="J1183" s="446" t="s">
        <v>746</v>
      </c>
      <c r="K1183" s="446" t="s">
        <v>7363</v>
      </c>
      <c r="L1183" s="450"/>
      <c r="M1183" s="450"/>
      <c r="N1183" s="450"/>
      <c r="O1183" s="450"/>
      <c r="P1183" s="450"/>
      <c r="Q1183" s="450"/>
      <c r="R1183" s="450"/>
      <c r="S1183" s="451"/>
      <c r="T1183" s="450"/>
      <c r="U1183" s="451"/>
      <c r="V1183" s="450"/>
      <c r="W1183" s="450"/>
      <c r="X1183" s="450"/>
      <c r="Y1183" s="450"/>
      <c r="Z1183" s="450"/>
    </row>
    <row r="1184" spans="1:26" x14ac:dyDescent="0.25">
      <c r="A1184" s="446" t="s">
        <v>7364</v>
      </c>
      <c r="B1184" s="446"/>
      <c r="C1184" s="446" t="s">
        <v>4618</v>
      </c>
      <c r="D1184" s="446" t="s">
        <v>7365</v>
      </c>
      <c r="E1184" s="448" t="s">
        <v>7357</v>
      </c>
      <c r="F1184" s="448">
        <v>37931</v>
      </c>
      <c r="G1184" s="446" t="s">
        <v>262</v>
      </c>
      <c r="H1184" s="446" t="s">
        <v>7362</v>
      </c>
      <c r="I1184" s="446" t="s">
        <v>222</v>
      </c>
      <c r="J1184" s="446" t="s">
        <v>746</v>
      </c>
      <c r="K1184" s="446" t="s">
        <v>7366</v>
      </c>
      <c r="L1184" s="450"/>
      <c r="M1184" s="450"/>
      <c r="N1184" s="450"/>
      <c r="O1184" s="450"/>
      <c r="P1184" s="450"/>
      <c r="Q1184" s="450"/>
      <c r="R1184" s="450"/>
      <c r="S1184" s="451"/>
      <c r="T1184" s="450"/>
      <c r="U1184" s="451"/>
      <c r="V1184" s="450"/>
      <c r="W1184" s="450"/>
      <c r="X1184" s="450"/>
      <c r="Y1184" s="450"/>
      <c r="Z1184" s="450"/>
    </row>
    <row r="1185" spans="1:26" x14ac:dyDescent="0.25">
      <c r="A1185" s="446" t="s">
        <v>1482</v>
      </c>
      <c r="B1185" s="446"/>
      <c r="C1185" s="446" t="s">
        <v>585</v>
      </c>
      <c r="D1185" s="446" t="s">
        <v>7367</v>
      </c>
      <c r="E1185" s="448" t="s">
        <v>7368</v>
      </c>
      <c r="F1185" s="448">
        <v>37990</v>
      </c>
      <c r="G1185" s="446" t="s">
        <v>7369</v>
      </c>
      <c r="H1185" s="446" t="s">
        <v>102</v>
      </c>
      <c r="I1185" s="446" t="s">
        <v>6811</v>
      </c>
      <c r="J1185" s="446" t="s">
        <v>4604</v>
      </c>
      <c r="K1185" s="446" t="s">
        <v>7370</v>
      </c>
      <c r="L1185" s="450"/>
      <c r="M1185" s="450"/>
      <c r="N1185" s="450"/>
      <c r="O1185" s="450"/>
      <c r="P1185" s="450"/>
      <c r="Q1185" s="450"/>
      <c r="R1185" s="450"/>
      <c r="S1185" s="451"/>
      <c r="T1185" s="450"/>
      <c r="U1185" s="451"/>
      <c r="V1185" s="450"/>
      <c r="W1185" s="450"/>
      <c r="X1185" s="450"/>
      <c r="Y1185" s="450"/>
      <c r="Z1185" s="450"/>
    </row>
    <row r="1186" spans="1:26" x14ac:dyDescent="0.25">
      <c r="A1186" s="446" t="s">
        <v>2903</v>
      </c>
      <c r="B1186" s="446"/>
      <c r="C1186" s="446" t="s">
        <v>533</v>
      </c>
      <c r="D1186" s="446" t="s">
        <v>7371</v>
      </c>
      <c r="E1186" s="448" t="s">
        <v>7372</v>
      </c>
      <c r="F1186" s="448">
        <v>37959</v>
      </c>
      <c r="G1186" s="446" t="s">
        <v>7373</v>
      </c>
      <c r="H1186" s="446" t="s">
        <v>7344</v>
      </c>
      <c r="I1186" s="446" t="s">
        <v>6877</v>
      </c>
      <c r="J1186" s="446" t="s">
        <v>4604</v>
      </c>
      <c r="K1186" s="446" t="s">
        <v>7374</v>
      </c>
      <c r="L1186" s="450"/>
      <c r="M1186" s="450"/>
      <c r="N1186" s="450"/>
      <c r="O1186" s="450"/>
      <c r="P1186" s="450"/>
      <c r="Q1186" s="450"/>
      <c r="R1186" s="450"/>
      <c r="S1186" s="451"/>
      <c r="T1186" s="450"/>
      <c r="U1186" s="451"/>
      <c r="V1186" s="450"/>
      <c r="W1186" s="450"/>
      <c r="X1186" s="450"/>
      <c r="Y1186" s="450"/>
      <c r="Z1186" s="450"/>
    </row>
    <row r="1187" spans="1:26" x14ac:dyDescent="0.25">
      <c r="A1187" s="446" t="s">
        <v>1510</v>
      </c>
      <c r="B1187" s="446"/>
      <c r="C1187" s="446" t="s">
        <v>202</v>
      </c>
      <c r="D1187" s="446" t="s">
        <v>7375</v>
      </c>
      <c r="E1187" s="448" t="s">
        <v>7376</v>
      </c>
      <c r="F1187" s="448">
        <v>38001</v>
      </c>
      <c r="G1187" s="446" t="s">
        <v>214</v>
      </c>
      <c r="H1187" s="446" t="s">
        <v>205</v>
      </c>
      <c r="I1187" s="446" t="s">
        <v>215</v>
      </c>
      <c r="J1187" s="446" t="s">
        <v>746</v>
      </c>
      <c r="K1187" s="446" t="s">
        <v>7377</v>
      </c>
      <c r="L1187" s="450"/>
      <c r="M1187" s="450"/>
      <c r="N1187" s="450"/>
      <c r="O1187" s="450"/>
      <c r="P1187" s="450"/>
      <c r="Q1187" s="450"/>
      <c r="R1187" s="450"/>
      <c r="S1187" s="451"/>
      <c r="T1187" s="450"/>
      <c r="U1187" s="451"/>
      <c r="V1187" s="450"/>
      <c r="W1187" s="450"/>
      <c r="X1187" s="450"/>
      <c r="Y1187" s="450"/>
      <c r="Z1187" s="450"/>
    </row>
    <row r="1188" spans="1:26" x14ac:dyDescent="0.25">
      <c r="A1188" s="446" t="s">
        <v>1504</v>
      </c>
      <c r="B1188" s="446"/>
      <c r="C1188" s="446" t="s">
        <v>202</v>
      </c>
      <c r="D1188" s="446" t="s">
        <v>7378</v>
      </c>
      <c r="E1188" s="448" t="s">
        <v>7376</v>
      </c>
      <c r="F1188" s="448">
        <v>38001</v>
      </c>
      <c r="G1188" s="446" t="s">
        <v>348</v>
      </c>
      <c r="H1188" s="446" t="s">
        <v>205</v>
      </c>
      <c r="I1188" s="446" t="s">
        <v>215</v>
      </c>
      <c r="J1188" s="446" t="s">
        <v>746</v>
      </c>
      <c r="K1188" s="446" t="s">
        <v>7379</v>
      </c>
      <c r="L1188" s="450"/>
      <c r="M1188" s="450"/>
      <c r="N1188" s="450"/>
      <c r="O1188" s="450"/>
      <c r="P1188" s="450"/>
      <c r="Q1188" s="450"/>
      <c r="R1188" s="450"/>
      <c r="S1188" s="451"/>
      <c r="T1188" s="450"/>
      <c r="U1188" s="451"/>
      <c r="V1188" s="450"/>
      <c r="W1188" s="450"/>
      <c r="X1188" s="450"/>
      <c r="Y1188" s="450"/>
      <c r="Z1188" s="450"/>
    </row>
    <row r="1189" spans="1:26" x14ac:dyDescent="0.25">
      <c r="A1189" s="446" t="s">
        <v>1521</v>
      </c>
      <c r="B1189" s="446"/>
      <c r="C1189" s="446" t="s">
        <v>202</v>
      </c>
      <c r="D1189" s="446" t="s">
        <v>7380</v>
      </c>
      <c r="E1189" s="448" t="s">
        <v>7376</v>
      </c>
      <c r="F1189" s="448">
        <v>38007</v>
      </c>
      <c r="G1189" s="446" t="s">
        <v>225</v>
      </c>
      <c r="H1189" s="446" t="s">
        <v>205</v>
      </c>
      <c r="I1189" s="446" t="s">
        <v>7381</v>
      </c>
      <c r="J1189" s="446" t="s">
        <v>746</v>
      </c>
      <c r="K1189" s="446" t="s">
        <v>7382</v>
      </c>
      <c r="L1189" s="450"/>
      <c r="M1189" s="450"/>
      <c r="N1189" s="450"/>
      <c r="O1189" s="450"/>
      <c r="P1189" s="450"/>
      <c r="Q1189" s="450"/>
      <c r="R1189" s="450"/>
      <c r="S1189" s="451"/>
      <c r="T1189" s="450"/>
      <c r="U1189" s="451"/>
      <c r="V1189" s="450"/>
      <c r="W1189" s="450"/>
      <c r="X1189" s="450"/>
      <c r="Y1189" s="450"/>
      <c r="Z1189" s="450"/>
    </row>
    <row r="1190" spans="1:26" x14ac:dyDescent="0.25">
      <c r="A1190" s="446" t="s">
        <v>1508</v>
      </c>
      <c r="B1190" s="446"/>
      <c r="C1190" s="446" t="s">
        <v>202</v>
      </c>
      <c r="D1190" s="446" t="s">
        <v>7383</v>
      </c>
      <c r="E1190" s="448" t="s">
        <v>7376</v>
      </c>
      <c r="F1190" s="448">
        <v>38001</v>
      </c>
      <c r="G1190" s="446" t="s">
        <v>351</v>
      </c>
      <c r="H1190" s="446" t="s">
        <v>205</v>
      </c>
      <c r="I1190" s="446" t="s">
        <v>215</v>
      </c>
      <c r="J1190" s="446" t="s">
        <v>746</v>
      </c>
      <c r="K1190" s="446" t="s">
        <v>7384</v>
      </c>
      <c r="L1190" s="450"/>
      <c r="M1190" s="450"/>
      <c r="N1190" s="450"/>
      <c r="O1190" s="450"/>
      <c r="P1190" s="450"/>
      <c r="Q1190" s="450"/>
      <c r="R1190" s="450"/>
      <c r="S1190" s="451"/>
      <c r="T1190" s="450"/>
      <c r="U1190" s="451"/>
      <c r="V1190" s="450"/>
      <c r="W1190" s="450"/>
      <c r="X1190" s="450"/>
      <c r="Y1190" s="450"/>
      <c r="Z1190" s="450"/>
    </row>
    <row r="1191" spans="1:26" x14ac:dyDescent="0.25">
      <c r="A1191" s="446" t="s">
        <v>1535</v>
      </c>
      <c r="B1191" s="446">
        <v>25</v>
      </c>
      <c r="C1191" s="446" t="s">
        <v>202</v>
      </c>
      <c r="D1191" s="446" t="s">
        <v>4481</v>
      </c>
      <c r="E1191" s="448" t="s">
        <v>7385</v>
      </c>
      <c r="F1191" s="448">
        <v>38025</v>
      </c>
      <c r="G1191" s="446" t="s">
        <v>230</v>
      </c>
      <c r="H1191" s="446" t="s">
        <v>205</v>
      </c>
      <c r="I1191" s="446" t="s">
        <v>6877</v>
      </c>
      <c r="J1191" s="446" t="s">
        <v>746</v>
      </c>
      <c r="K1191" s="446" t="s">
        <v>7386</v>
      </c>
      <c r="L1191" s="450"/>
      <c r="M1191" s="450"/>
      <c r="N1191" s="450"/>
      <c r="O1191" s="450"/>
      <c r="P1191" s="450"/>
      <c r="Q1191" s="450"/>
      <c r="R1191" s="450"/>
      <c r="S1191" s="451"/>
      <c r="T1191" s="450"/>
      <c r="U1191" s="451"/>
      <c r="V1191" s="450"/>
      <c r="W1191" s="450"/>
      <c r="X1191" s="450"/>
      <c r="Y1191" s="450"/>
      <c r="Z1191" s="450"/>
    </row>
    <row r="1192" spans="1:26" x14ac:dyDescent="0.25">
      <c r="A1192" s="446" t="s">
        <v>1524</v>
      </c>
      <c r="B1192" s="446"/>
      <c r="C1192" s="446" t="s">
        <v>202</v>
      </c>
      <c r="D1192" s="446" t="s">
        <v>7387</v>
      </c>
      <c r="E1192" s="448" t="s">
        <v>7385</v>
      </c>
      <c r="F1192" s="448">
        <v>38019</v>
      </c>
      <c r="G1192" s="446" t="s">
        <v>221</v>
      </c>
      <c r="H1192" s="446" t="s">
        <v>205</v>
      </c>
      <c r="I1192" s="446" t="s">
        <v>222</v>
      </c>
      <c r="J1192" s="446" t="s">
        <v>746</v>
      </c>
      <c r="K1192" s="446" t="s">
        <v>7388</v>
      </c>
      <c r="L1192" s="450"/>
      <c r="M1192" s="450"/>
      <c r="N1192" s="450"/>
      <c r="O1192" s="450"/>
      <c r="P1192" s="450"/>
      <c r="Q1192" s="450"/>
      <c r="R1192" s="450"/>
      <c r="S1192" s="451"/>
      <c r="T1192" s="450"/>
      <c r="U1192" s="451"/>
      <c r="V1192" s="450"/>
      <c r="W1192" s="450"/>
      <c r="X1192" s="450"/>
      <c r="Y1192" s="450"/>
      <c r="Z1192" s="450"/>
    </row>
    <row r="1193" spans="1:26" x14ac:dyDescent="0.25">
      <c r="A1193" s="446" t="s">
        <v>1515</v>
      </c>
      <c r="B1193" s="446"/>
      <c r="C1193" s="446" t="s">
        <v>202</v>
      </c>
      <c r="D1193" s="446" t="s">
        <v>7389</v>
      </c>
      <c r="E1193" s="448" t="s">
        <v>7385</v>
      </c>
      <c r="F1193" s="448">
        <v>38012</v>
      </c>
      <c r="G1193" s="446" t="s">
        <v>7390</v>
      </c>
      <c r="H1193" s="446" t="s">
        <v>205</v>
      </c>
      <c r="I1193" s="446" t="s">
        <v>215</v>
      </c>
      <c r="J1193" s="446" t="s">
        <v>746</v>
      </c>
      <c r="K1193" s="446" t="s">
        <v>7391</v>
      </c>
      <c r="L1193" s="450"/>
      <c r="M1193" s="450"/>
      <c r="N1193" s="450"/>
      <c r="O1193" s="450"/>
      <c r="P1193" s="450"/>
      <c r="Q1193" s="450"/>
      <c r="R1193" s="450"/>
      <c r="S1193" s="451"/>
      <c r="T1193" s="450"/>
      <c r="U1193" s="451"/>
      <c r="V1193" s="450"/>
      <c r="W1193" s="450"/>
      <c r="X1193" s="450"/>
      <c r="Y1193" s="450"/>
      <c r="Z1193" s="450"/>
    </row>
    <row r="1194" spans="1:26" x14ac:dyDescent="0.25">
      <c r="A1194" s="446" t="s">
        <v>1517</v>
      </c>
      <c r="B1194" s="446"/>
      <c r="C1194" s="446" t="s">
        <v>7014</v>
      </c>
      <c r="D1194" s="446" t="s">
        <v>7392</v>
      </c>
      <c r="E1194" s="448" t="s">
        <v>7385</v>
      </c>
      <c r="F1194" s="448">
        <v>38014</v>
      </c>
      <c r="G1194" s="446" t="s">
        <v>1519</v>
      </c>
      <c r="H1194" s="446" t="s">
        <v>102</v>
      </c>
      <c r="I1194" s="446" t="s">
        <v>215</v>
      </c>
      <c r="J1194" s="446" t="s">
        <v>4604</v>
      </c>
      <c r="K1194" s="446" t="s">
        <v>7393</v>
      </c>
      <c r="L1194" s="450"/>
      <c r="M1194" s="450"/>
      <c r="N1194" s="450"/>
      <c r="O1194" s="450"/>
      <c r="P1194" s="450"/>
      <c r="Q1194" s="450"/>
      <c r="R1194" s="450"/>
      <c r="S1194" s="451"/>
      <c r="T1194" s="450"/>
      <c r="U1194" s="451"/>
      <c r="V1194" s="450"/>
      <c r="W1194" s="450"/>
      <c r="X1194" s="450"/>
      <c r="Y1194" s="450"/>
      <c r="Z1194" s="450"/>
    </row>
    <row r="1195" spans="1:26" x14ac:dyDescent="0.25">
      <c r="A1195" s="446" t="s">
        <v>1506</v>
      </c>
      <c r="B1195" s="446"/>
      <c r="C1195" s="446" t="s">
        <v>202</v>
      </c>
      <c r="D1195" s="446" t="s">
        <v>7394</v>
      </c>
      <c r="E1195" s="448" t="s">
        <v>7395</v>
      </c>
      <c r="F1195" s="448">
        <v>38001</v>
      </c>
      <c r="G1195" s="446" t="s">
        <v>353</v>
      </c>
      <c r="H1195" s="446" t="s">
        <v>205</v>
      </c>
      <c r="I1195" s="446" t="s">
        <v>215</v>
      </c>
      <c r="J1195" s="446" t="s">
        <v>746</v>
      </c>
      <c r="K1195" s="446" t="s">
        <v>7396</v>
      </c>
      <c r="L1195" s="450"/>
      <c r="M1195" s="450"/>
      <c r="N1195" s="450"/>
      <c r="O1195" s="450"/>
      <c r="P1195" s="450"/>
      <c r="Q1195" s="450"/>
      <c r="R1195" s="450"/>
      <c r="S1195" s="451"/>
      <c r="T1195" s="450"/>
      <c r="U1195" s="451"/>
      <c r="V1195" s="450"/>
      <c r="W1195" s="450"/>
      <c r="X1195" s="450"/>
      <c r="Y1195" s="450"/>
      <c r="Z1195" s="450"/>
    </row>
    <row r="1196" spans="1:26" x14ac:dyDescent="0.25">
      <c r="A1196" s="446" t="s">
        <v>1495</v>
      </c>
      <c r="B1196" s="446">
        <v>22</v>
      </c>
      <c r="C1196" s="446" t="s">
        <v>202</v>
      </c>
      <c r="D1196" s="446" t="s">
        <v>4477</v>
      </c>
      <c r="E1196" s="448" t="s">
        <v>7395</v>
      </c>
      <c r="F1196" s="448">
        <v>37999</v>
      </c>
      <c r="G1196" s="446" t="s">
        <v>1221</v>
      </c>
      <c r="H1196" s="446" t="s">
        <v>205</v>
      </c>
      <c r="I1196" s="446" t="s">
        <v>7397</v>
      </c>
      <c r="J1196" s="446" t="s">
        <v>746</v>
      </c>
      <c r="K1196" s="446" t="s">
        <v>7398</v>
      </c>
      <c r="L1196" s="450"/>
      <c r="M1196" s="450"/>
      <c r="N1196" s="450"/>
      <c r="O1196" s="450"/>
      <c r="P1196" s="450"/>
      <c r="Q1196" s="450"/>
      <c r="R1196" s="450"/>
      <c r="S1196" s="451"/>
      <c r="T1196" s="450"/>
      <c r="U1196" s="451"/>
      <c r="V1196" s="450"/>
      <c r="W1196" s="450"/>
      <c r="X1196" s="450"/>
      <c r="Y1196" s="450"/>
      <c r="Z1196" s="450"/>
    </row>
    <row r="1197" spans="1:26" x14ac:dyDescent="0.25">
      <c r="A1197" s="446" t="s">
        <v>1486</v>
      </c>
      <c r="B1197" s="446"/>
      <c r="C1197" s="446" t="s">
        <v>202</v>
      </c>
      <c r="D1197" s="446" t="s">
        <v>7399</v>
      </c>
      <c r="E1197" s="448" t="s">
        <v>7395</v>
      </c>
      <c r="F1197" s="448">
        <v>37999</v>
      </c>
      <c r="G1197" s="446" t="s">
        <v>204</v>
      </c>
      <c r="H1197" s="446" t="s">
        <v>205</v>
      </c>
      <c r="I1197" s="446" t="s">
        <v>7397</v>
      </c>
      <c r="J1197" s="446" t="s">
        <v>746</v>
      </c>
      <c r="K1197" s="446" t="s">
        <v>7400</v>
      </c>
      <c r="L1197" s="450"/>
      <c r="M1197" s="450"/>
      <c r="N1197" s="450"/>
      <c r="O1197" s="450"/>
      <c r="P1197" s="450"/>
      <c r="Q1197" s="450"/>
      <c r="R1197" s="450"/>
      <c r="S1197" s="451"/>
      <c r="T1197" s="450"/>
      <c r="U1197" s="451"/>
      <c r="V1197" s="450"/>
      <c r="W1197" s="450"/>
      <c r="X1197" s="450"/>
      <c r="Y1197" s="450"/>
      <c r="Z1197" s="450"/>
    </row>
    <row r="1198" spans="1:26" x14ac:dyDescent="0.25">
      <c r="A1198" s="446" t="s">
        <v>1499</v>
      </c>
      <c r="B1198" s="446"/>
      <c r="C1198" s="446" t="s">
        <v>202</v>
      </c>
      <c r="D1198" s="446" t="s">
        <v>7401</v>
      </c>
      <c r="E1198" s="448" t="s">
        <v>7395</v>
      </c>
      <c r="F1198" s="448">
        <v>38001</v>
      </c>
      <c r="G1198" s="446" t="s">
        <v>355</v>
      </c>
      <c r="H1198" s="446" t="s">
        <v>205</v>
      </c>
      <c r="I1198" s="446" t="s">
        <v>215</v>
      </c>
      <c r="J1198" s="446" t="s">
        <v>746</v>
      </c>
      <c r="K1198" s="446" t="s">
        <v>7402</v>
      </c>
      <c r="L1198" s="450"/>
      <c r="M1198" s="450"/>
      <c r="N1198" s="450"/>
      <c r="O1198" s="450"/>
      <c r="P1198" s="450"/>
      <c r="Q1198" s="450"/>
      <c r="R1198" s="450"/>
      <c r="S1198" s="451"/>
      <c r="T1198" s="450"/>
      <c r="U1198" s="451"/>
      <c r="V1198" s="450"/>
      <c r="W1198" s="450"/>
      <c r="X1198" s="450"/>
      <c r="Y1198" s="450"/>
      <c r="Z1198" s="450"/>
    </row>
    <row r="1199" spans="1:26" x14ac:dyDescent="0.25">
      <c r="A1199" s="446" t="s">
        <v>1502</v>
      </c>
      <c r="B1199" s="446"/>
      <c r="C1199" s="446" t="s">
        <v>202</v>
      </c>
      <c r="D1199" s="446" t="s">
        <v>7403</v>
      </c>
      <c r="E1199" s="448" t="s">
        <v>7395</v>
      </c>
      <c r="F1199" s="448">
        <v>38001</v>
      </c>
      <c r="G1199" s="446" t="s">
        <v>7404</v>
      </c>
      <c r="H1199" s="446" t="s">
        <v>205</v>
      </c>
      <c r="I1199" s="446" t="s">
        <v>215</v>
      </c>
      <c r="J1199" s="446" t="s">
        <v>746</v>
      </c>
      <c r="K1199" s="446" t="s">
        <v>7405</v>
      </c>
      <c r="L1199" s="450"/>
      <c r="M1199" s="450"/>
      <c r="N1199" s="450"/>
      <c r="O1199" s="450"/>
      <c r="P1199" s="450"/>
      <c r="Q1199" s="450"/>
      <c r="R1199" s="450"/>
      <c r="S1199" s="451"/>
      <c r="T1199" s="450"/>
      <c r="U1199" s="451"/>
      <c r="V1199" s="450"/>
      <c r="W1199" s="450"/>
      <c r="X1199" s="450"/>
      <c r="Y1199" s="450"/>
      <c r="Z1199" s="450"/>
    </row>
    <row r="1200" spans="1:26" x14ac:dyDescent="0.25">
      <c r="A1200" s="446" t="s">
        <v>1497</v>
      </c>
      <c r="B1200" s="446"/>
      <c r="C1200" s="446" t="s">
        <v>202</v>
      </c>
      <c r="D1200" s="446" t="s">
        <v>7406</v>
      </c>
      <c r="E1200" s="448" t="s">
        <v>7395</v>
      </c>
      <c r="F1200" s="448">
        <v>37999</v>
      </c>
      <c r="G1200" s="446" t="s">
        <v>209</v>
      </c>
      <c r="H1200" s="446" t="s">
        <v>205</v>
      </c>
      <c r="I1200" s="446" t="s">
        <v>7397</v>
      </c>
      <c r="J1200" s="446" t="s">
        <v>746</v>
      </c>
      <c r="K1200" s="446" t="s">
        <v>7407</v>
      </c>
      <c r="L1200" s="450"/>
      <c r="M1200" s="450"/>
      <c r="N1200" s="450"/>
      <c r="O1200" s="450"/>
      <c r="P1200" s="450"/>
      <c r="Q1200" s="450"/>
      <c r="R1200" s="450"/>
      <c r="S1200" s="451"/>
      <c r="T1200" s="450"/>
      <c r="U1200" s="451"/>
      <c r="V1200" s="450"/>
      <c r="W1200" s="450"/>
      <c r="X1200" s="450"/>
      <c r="Y1200" s="450"/>
      <c r="Z1200" s="450"/>
    </row>
    <row r="1201" spans="1:26" x14ac:dyDescent="0.25">
      <c r="A1201" s="446" t="s">
        <v>1493</v>
      </c>
      <c r="B1201" s="446"/>
      <c r="C1201" s="446" t="s">
        <v>202</v>
      </c>
      <c r="D1201" s="446" t="s">
        <v>7408</v>
      </c>
      <c r="E1201" s="448" t="s">
        <v>7395</v>
      </c>
      <c r="F1201" s="448">
        <v>37999</v>
      </c>
      <c r="G1201" s="446" t="s">
        <v>211</v>
      </c>
      <c r="H1201" s="446" t="s">
        <v>205</v>
      </c>
      <c r="I1201" s="446" t="s">
        <v>7397</v>
      </c>
      <c r="J1201" s="446" t="s">
        <v>746</v>
      </c>
      <c r="K1201" s="446" t="s">
        <v>7409</v>
      </c>
      <c r="L1201" s="450"/>
      <c r="M1201" s="450"/>
      <c r="N1201" s="450"/>
      <c r="O1201" s="450"/>
      <c r="P1201" s="450"/>
      <c r="Q1201" s="450"/>
      <c r="R1201" s="450"/>
      <c r="S1201" s="451"/>
      <c r="T1201" s="450"/>
      <c r="U1201" s="451"/>
      <c r="V1201" s="450"/>
      <c r="W1201" s="450"/>
      <c r="X1201" s="450"/>
      <c r="Y1201" s="450"/>
      <c r="Z1201" s="450"/>
    </row>
    <row r="1202" spans="1:26" x14ac:dyDescent="0.25">
      <c r="A1202" s="446" t="s">
        <v>1513</v>
      </c>
      <c r="B1202" s="446">
        <v>23</v>
      </c>
      <c r="C1202" s="446" t="s">
        <v>202</v>
      </c>
      <c r="D1202" s="446" t="s">
        <v>7410</v>
      </c>
      <c r="E1202" s="448" t="s">
        <v>7395</v>
      </c>
      <c r="F1202" s="448">
        <v>38007</v>
      </c>
      <c r="G1202" s="446" t="s">
        <v>7411</v>
      </c>
      <c r="H1202" s="446" t="s">
        <v>205</v>
      </c>
      <c r="I1202" s="446" t="s">
        <v>215</v>
      </c>
      <c r="J1202" s="446" t="s">
        <v>746</v>
      </c>
      <c r="K1202" s="446" t="s">
        <v>7412</v>
      </c>
      <c r="L1202" s="450"/>
      <c r="M1202" s="450"/>
      <c r="N1202" s="450"/>
      <c r="O1202" s="450"/>
      <c r="P1202" s="450"/>
      <c r="Q1202" s="450"/>
      <c r="R1202" s="450"/>
      <c r="S1202" s="451"/>
      <c r="T1202" s="450"/>
      <c r="U1202" s="451"/>
      <c r="V1202" s="450"/>
      <c r="W1202" s="450"/>
      <c r="X1202" s="450"/>
      <c r="Y1202" s="450"/>
      <c r="Z1202" s="450"/>
    </row>
    <row r="1203" spans="1:26" x14ac:dyDescent="0.25">
      <c r="A1203" s="446" t="s">
        <v>1544</v>
      </c>
      <c r="B1203" s="446"/>
      <c r="C1203" s="446" t="s">
        <v>202</v>
      </c>
      <c r="D1203" s="446" t="s">
        <v>7413</v>
      </c>
      <c r="E1203" s="448" t="s">
        <v>7414</v>
      </c>
      <c r="F1203" s="448">
        <v>38032</v>
      </c>
      <c r="G1203" s="446" t="s">
        <v>236</v>
      </c>
      <c r="H1203" s="446" t="s">
        <v>237</v>
      </c>
      <c r="I1203" s="446" t="s">
        <v>6877</v>
      </c>
      <c r="J1203" s="446" t="s">
        <v>746</v>
      </c>
      <c r="K1203" s="446" t="s">
        <v>7415</v>
      </c>
      <c r="L1203" s="450"/>
      <c r="M1203" s="450"/>
      <c r="N1203" s="450"/>
      <c r="O1203" s="450"/>
      <c r="P1203" s="450"/>
      <c r="Q1203" s="450"/>
      <c r="R1203" s="450"/>
      <c r="S1203" s="451"/>
      <c r="T1203" s="450"/>
      <c r="U1203" s="451"/>
      <c r="V1203" s="450"/>
      <c r="W1203" s="450"/>
      <c r="X1203" s="450"/>
      <c r="Y1203" s="450"/>
      <c r="Z1203" s="450"/>
    </row>
    <row r="1204" spans="1:26" x14ac:dyDescent="0.25">
      <c r="A1204" s="446" t="s">
        <v>1533</v>
      </c>
      <c r="B1204" s="446">
        <v>24</v>
      </c>
      <c r="C1204" s="446" t="s">
        <v>202</v>
      </c>
      <c r="D1204" s="446" t="s">
        <v>4479</v>
      </c>
      <c r="E1204" s="448" t="s">
        <v>7416</v>
      </c>
      <c r="F1204" s="448">
        <v>38022</v>
      </c>
      <c r="G1204" s="446" t="s">
        <v>253</v>
      </c>
      <c r="H1204" s="446" t="s">
        <v>205</v>
      </c>
      <c r="I1204" s="446" t="s">
        <v>215</v>
      </c>
      <c r="J1204" s="446" t="s">
        <v>746</v>
      </c>
      <c r="K1204" s="446" t="s">
        <v>7417</v>
      </c>
      <c r="L1204" s="450"/>
      <c r="M1204" s="450"/>
      <c r="N1204" s="450"/>
      <c r="O1204" s="450"/>
      <c r="P1204" s="450"/>
      <c r="Q1204" s="450"/>
      <c r="R1204" s="450"/>
      <c r="S1204" s="451"/>
      <c r="T1204" s="450"/>
      <c r="U1204" s="451"/>
      <c r="V1204" s="450"/>
      <c r="W1204" s="450"/>
      <c r="X1204" s="450"/>
      <c r="Y1204" s="450"/>
      <c r="Z1204" s="450"/>
    </row>
    <row r="1205" spans="1:26" x14ac:dyDescent="0.25">
      <c r="A1205" s="446" t="s">
        <v>1526</v>
      </c>
      <c r="B1205" s="446"/>
      <c r="C1205" s="446" t="s">
        <v>1456</v>
      </c>
      <c r="D1205" s="446" t="s">
        <v>7418</v>
      </c>
      <c r="E1205" s="448" t="s">
        <v>7419</v>
      </c>
      <c r="F1205" s="448">
        <v>38022</v>
      </c>
      <c r="G1205" s="446" t="s">
        <v>205</v>
      </c>
      <c r="H1205" s="446" t="s">
        <v>1529</v>
      </c>
      <c r="I1205" s="446" t="s">
        <v>7420</v>
      </c>
      <c r="J1205" s="446" t="s">
        <v>746</v>
      </c>
      <c r="K1205" s="446" t="s">
        <v>7421</v>
      </c>
      <c r="L1205" s="450"/>
      <c r="M1205" s="450"/>
      <c r="N1205" s="450"/>
      <c r="O1205" s="450"/>
      <c r="P1205" s="450"/>
      <c r="Q1205" s="450"/>
      <c r="R1205" s="450"/>
      <c r="S1205" s="451"/>
      <c r="T1205" s="450"/>
      <c r="U1205" s="451"/>
      <c r="V1205" s="450"/>
      <c r="W1205" s="450"/>
      <c r="X1205" s="450"/>
      <c r="Y1205" s="450"/>
      <c r="Z1205" s="450"/>
    </row>
    <row r="1206" spans="1:26" x14ac:dyDescent="0.25">
      <c r="A1206" s="446" t="s">
        <v>1552</v>
      </c>
      <c r="B1206" s="446"/>
      <c r="C1206" s="446" t="s">
        <v>1456</v>
      </c>
      <c r="D1206" s="446" t="s">
        <v>7422</v>
      </c>
      <c r="E1206" s="448" t="s">
        <v>7423</v>
      </c>
      <c r="F1206" s="448">
        <v>38041</v>
      </c>
      <c r="G1206" s="446" t="s">
        <v>205</v>
      </c>
      <c r="H1206" s="446" t="s">
        <v>1554</v>
      </c>
      <c r="I1206" s="446" t="s">
        <v>222</v>
      </c>
      <c r="J1206" s="446" t="s">
        <v>746</v>
      </c>
      <c r="K1206" s="446" t="s">
        <v>7424</v>
      </c>
      <c r="L1206" s="450"/>
      <c r="M1206" s="450"/>
      <c r="N1206" s="450"/>
      <c r="O1206" s="450"/>
      <c r="P1206" s="450"/>
      <c r="Q1206" s="450"/>
      <c r="R1206" s="450"/>
      <c r="S1206" s="451"/>
      <c r="T1206" s="450"/>
      <c r="U1206" s="451"/>
      <c r="V1206" s="450"/>
      <c r="W1206" s="450"/>
      <c r="X1206" s="450"/>
      <c r="Y1206" s="450"/>
      <c r="Z1206" s="450"/>
    </row>
    <row r="1207" spans="1:26" x14ac:dyDescent="0.25">
      <c r="A1207" s="446" t="s">
        <v>1556</v>
      </c>
      <c r="B1207" s="446"/>
      <c r="C1207" s="446" t="s">
        <v>461</v>
      </c>
      <c r="D1207" s="446" t="s">
        <v>7425</v>
      </c>
      <c r="E1207" s="448" t="s">
        <v>7426</v>
      </c>
      <c r="F1207" s="448">
        <v>38078</v>
      </c>
      <c r="G1207" s="446" t="s">
        <v>342</v>
      </c>
      <c r="H1207" s="446" t="s">
        <v>102</v>
      </c>
      <c r="I1207" s="446" t="s">
        <v>6811</v>
      </c>
      <c r="J1207" s="446" t="s">
        <v>760</v>
      </c>
      <c r="K1207" s="446" t="s">
        <v>7427</v>
      </c>
      <c r="L1207" s="450"/>
      <c r="M1207" s="450"/>
      <c r="N1207" s="450"/>
      <c r="O1207" s="450"/>
      <c r="P1207" s="450"/>
      <c r="Q1207" s="450"/>
      <c r="R1207" s="450"/>
      <c r="S1207" s="451"/>
      <c r="T1207" s="450"/>
      <c r="U1207" s="451"/>
      <c r="V1207" s="450"/>
      <c r="W1207" s="450"/>
      <c r="X1207" s="450"/>
      <c r="Y1207" s="450"/>
      <c r="Z1207" s="450"/>
    </row>
    <row r="1208" spans="1:26" x14ac:dyDescent="0.25">
      <c r="A1208" s="446" t="s">
        <v>1538</v>
      </c>
      <c r="B1208" s="446"/>
      <c r="C1208" s="446" t="s">
        <v>1456</v>
      </c>
      <c r="D1208" s="446" t="s">
        <v>7428</v>
      </c>
      <c r="E1208" s="448" t="s">
        <v>7429</v>
      </c>
      <c r="F1208" s="448">
        <v>38029</v>
      </c>
      <c r="G1208" s="446" t="s">
        <v>205</v>
      </c>
      <c r="H1208" s="446" t="s">
        <v>7430</v>
      </c>
      <c r="I1208" s="446" t="s">
        <v>7431</v>
      </c>
      <c r="J1208" s="446" t="s">
        <v>746</v>
      </c>
      <c r="K1208" s="446" t="s">
        <v>7432</v>
      </c>
      <c r="L1208" s="450"/>
      <c r="M1208" s="450"/>
      <c r="N1208" s="450"/>
      <c r="O1208" s="450"/>
      <c r="P1208" s="450"/>
      <c r="Q1208" s="450"/>
      <c r="R1208" s="450"/>
      <c r="S1208" s="451"/>
      <c r="T1208" s="450"/>
      <c r="U1208" s="451"/>
      <c r="V1208" s="450"/>
      <c r="W1208" s="450"/>
      <c r="X1208" s="450"/>
      <c r="Y1208" s="450"/>
      <c r="Z1208" s="450"/>
    </row>
    <row r="1209" spans="1:26" x14ac:dyDescent="0.25">
      <c r="A1209" s="446" t="s">
        <v>1561</v>
      </c>
      <c r="B1209" s="446"/>
      <c r="C1209" s="446" t="s">
        <v>461</v>
      </c>
      <c r="D1209" s="446" t="s">
        <v>7433</v>
      </c>
      <c r="E1209" s="448" t="s">
        <v>7434</v>
      </c>
      <c r="F1209" s="448">
        <v>38112</v>
      </c>
      <c r="G1209" s="446" t="s">
        <v>1564</v>
      </c>
      <c r="H1209" s="446" t="s">
        <v>102</v>
      </c>
      <c r="I1209" s="446" t="s">
        <v>6844</v>
      </c>
      <c r="J1209" s="446" t="s">
        <v>760</v>
      </c>
      <c r="K1209" s="446" t="s">
        <v>7435</v>
      </c>
      <c r="L1209" s="450"/>
      <c r="M1209" s="450"/>
      <c r="N1209" s="450"/>
      <c r="O1209" s="450"/>
      <c r="P1209" s="450"/>
      <c r="Q1209" s="450"/>
      <c r="R1209" s="450"/>
      <c r="S1209" s="451"/>
      <c r="T1209" s="450"/>
      <c r="U1209" s="451"/>
      <c r="V1209" s="450"/>
      <c r="W1209" s="450"/>
      <c r="X1209" s="450"/>
      <c r="Y1209" s="450"/>
      <c r="Z1209" s="450"/>
    </row>
    <row r="1210" spans="1:26" x14ac:dyDescent="0.25">
      <c r="A1210" s="446" t="s">
        <v>1567</v>
      </c>
      <c r="B1210" s="446"/>
      <c r="C1210" s="446" t="s">
        <v>1456</v>
      </c>
      <c r="D1210" s="446" t="s">
        <v>7436</v>
      </c>
      <c r="E1210" s="448" t="s">
        <v>7437</v>
      </c>
      <c r="F1210" s="448">
        <v>38127</v>
      </c>
      <c r="G1210" s="446" t="s">
        <v>7430</v>
      </c>
      <c r="H1210" s="446" t="s">
        <v>205</v>
      </c>
      <c r="I1210" s="446" t="s">
        <v>7049</v>
      </c>
      <c r="J1210" s="446" t="s">
        <v>746</v>
      </c>
      <c r="K1210" s="446" t="s">
        <v>7438</v>
      </c>
      <c r="L1210" s="450"/>
      <c r="M1210" s="450"/>
      <c r="N1210" s="450"/>
      <c r="O1210" s="450"/>
      <c r="P1210" s="450"/>
      <c r="Q1210" s="450"/>
      <c r="R1210" s="450"/>
      <c r="S1210" s="451"/>
      <c r="T1210" s="450"/>
      <c r="U1210" s="451"/>
      <c r="V1210" s="450"/>
      <c r="W1210" s="450"/>
      <c r="X1210" s="450"/>
      <c r="Y1210" s="450"/>
      <c r="Z1210" s="450"/>
    </row>
    <row r="1211" spans="1:26" x14ac:dyDescent="0.25">
      <c r="A1211" s="446" t="s">
        <v>1571</v>
      </c>
      <c r="B1211" s="446"/>
      <c r="C1211" s="446" t="s">
        <v>1456</v>
      </c>
      <c r="D1211" s="446" t="s">
        <v>7439</v>
      </c>
      <c r="E1211" s="448" t="s">
        <v>7437</v>
      </c>
      <c r="F1211" s="448">
        <v>38139</v>
      </c>
      <c r="G1211" s="446" t="s">
        <v>205</v>
      </c>
      <c r="H1211" s="446" t="s">
        <v>1573</v>
      </c>
      <c r="I1211" s="446" t="s">
        <v>7049</v>
      </c>
      <c r="J1211" s="446" t="s">
        <v>746</v>
      </c>
      <c r="K1211" s="446" t="s">
        <v>7440</v>
      </c>
      <c r="L1211" s="450"/>
      <c r="M1211" s="450"/>
      <c r="N1211" s="450"/>
      <c r="O1211" s="450"/>
      <c r="P1211" s="450"/>
      <c r="Q1211" s="450"/>
      <c r="R1211" s="450"/>
      <c r="S1211" s="451"/>
      <c r="T1211" s="450"/>
      <c r="U1211" s="451"/>
      <c r="V1211" s="450"/>
      <c r="W1211" s="450"/>
      <c r="X1211" s="450"/>
      <c r="Y1211" s="450"/>
      <c r="Z1211" s="450"/>
    </row>
    <row r="1212" spans="1:26" x14ac:dyDescent="0.25">
      <c r="A1212" s="446" t="s">
        <v>1547</v>
      </c>
      <c r="B1212" s="446"/>
      <c r="C1212" s="446" t="s">
        <v>1456</v>
      </c>
      <c r="D1212" s="446" t="s">
        <v>7441</v>
      </c>
      <c r="E1212" s="448" t="s">
        <v>7442</v>
      </c>
      <c r="F1212" s="448">
        <v>38041</v>
      </c>
      <c r="G1212" s="446" t="s">
        <v>205</v>
      </c>
      <c r="H1212" s="446" t="s">
        <v>7443</v>
      </c>
      <c r="I1212" s="446" t="s">
        <v>7444</v>
      </c>
      <c r="J1212" s="446" t="s">
        <v>746</v>
      </c>
      <c r="K1212" s="446" t="s">
        <v>7445</v>
      </c>
      <c r="L1212" s="450"/>
      <c r="M1212" s="450"/>
      <c r="N1212" s="450"/>
      <c r="O1212" s="450"/>
      <c r="P1212" s="450"/>
      <c r="Q1212" s="450"/>
      <c r="R1212" s="450"/>
      <c r="S1212" s="451"/>
      <c r="T1212" s="450"/>
      <c r="U1212" s="451"/>
      <c r="V1212" s="450"/>
      <c r="W1212" s="450"/>
      <c r="X1212" s="450"/>
      <c r="Y1212" s="450"/>
      <c r="Z1212" s="450"/>
    </row>
    <row r="1213" spans="1:26" x14ac:dyDescent="0.25">
      <c r="A1213" s="446" t="s">
        <v>1575</v>
      </c>
      <c r="B1213" s="446"/>
      <c r="C1213" s="446" t="s">
        <v>202</v>
      </c>
      <c r="D1213" s="446" t="s">
        <v>7446</v>
      </c>
      <c r="E1213" s="448" t="s">
        <v>7447</v>
      </c>
      <c r="F1213" s="448">
        <v>38251</v>
      </c>
      <c r="G1213" s="446" t="s">
        <v>255</v>
      </c>
      <c r="H1213" s="446" t="s">
        <v>205</v>
      </c>
      <c r="I1213" s="446" t="s">
        <v>215</v>
      </c>
      <c r="J1213" s="446" t="s">
        <v>746</v>
      </c>
      <c r="K1213" s="446" t="s">
        <v>7448</v>
      </c>
      <c r="L1213" s="450"/>
      <c r="M1213" s="450"/>
      <c r="N1213" s="450"/>
      <c r="O1213" s="450"/>
      <c r="P1213" s="450"/>
      <c r="Q1213" s="450"/>
      <c r="R1213" s="450"/>
      <c r="S1213" s="451"/>
      <c r="T1213" s="450"/>
      <c r="U1213" s="451"/>
      <c r="V1213" s="450"/>
      <c r="W1213" s="450"/>
      <c r="X1213" s="450"/>
      <c r="Y1213" s="450"/>
      <c r="Z1213" s="450"/>
    </row>
    <row r="1214" spans="1:26" x14ac:dyDescent="0.25">
      <c r="A1214" s="446" t="s">
        <v>1577</v>
      </c>
      <c r="B1214" s="446"/>
      <c r="C1214" s="446" t="s">
        <v>202</v>
      </c>
      <c r="D1214" s="446" t="s">
        <v>7449</v>
      </c>
      <c r="E1214" s="448" t="s">
        <v>7447</v>
      </c>
      <c r="F1214" s="448">
        <v>38251</v>
      </c>
      <c r="G1214" s="446" t="s">
        <v>257</v>
      </c>
      <c r="H1214" s="446" t="s">
        <v>205</v>
      </c>
      <c r="I1214" s="446" t="s">
        <v>215</v>
      </c>
      <c r="J1214" s="446" t="s">
        <v>746</v>
      </c>
      <c r="K1214" s="446" t="s">
        <v>7450</v>
      </c>
      <c r="L1214" s="450"/>
      <c r="M1214" s="450"/>
      <c r="N1214" s="450"/>
      <c r="O1214" s="450"/>
      <c r="P1214" s="450"/>
      <c r="Q1214" s="450"/>
      <c r="R1214" s="450"/>
      <c r="S1214" s="451"/>
      <c r="T1214" s="450"/>
      <c r="U1214" s="451"/>
      <c r="V1214" s="450"/>
      <c r="W1214" s="450"/>
      <c r="X1214" s="450"/>
      <c r="Y1214" s="450"/>
      <c r="Z1214" s="450"/>
    </row>
    <row r="1215" spans="1:26" x14ac:dyDescent="0.25">
      <c r="A1215" s="446" t="s">
        <v>1579</v>
      </c>
      <c r="B1215" s="446"/>
      <c r="C1215" s="446" t="s">
        <v>202</v>
      </c>
      <c r="D1215" s="446" t="s">
        <v>7451</v>
      </c>
      <c r="E1215" s="448" t="s">
        <v>7447</v>
      </c>
      <c r="F1215" s="448">
        <v>38251</v>
      </c>
      <c r="G1215" s="446" t="s">
        <v>259</v>
      </c>
      <c r="H1215" s="446" t="s">
        <v>205</v>
      </c>
      <c r="I1215" s="446" t="s">
        <v>7452</v>
      </c>
      <c r="J1215" s="446" t="s">
        <v>746</v>
      </c>
      <c r="K1215" s="446" t="s">
        <v>7453</v>
      </c>
      <c r="L1215" s="450"/>
      <c r="M1215" s="450"/>
      <c r="N1215" s="450"/>
      <c r="O1215" s="450"/>
      <c r="P1215" s="450"/>
      <c r="Q1215" s="450"/>
      <c r="R1215" s="450"/>
      <c r="S1215" s="451"/>
      <c r="T1215" s="450"/>
      <c r="U1215" s="451"/>
      <c r="V1215" s="450"/>
      <c r="W1215" s="450"/>
      <c r="X1215" s="450"/>
      <c r="Y1215" s="450"/>
      <c r="Z1215" s="450"/>
    </row>
    <row r="1216" spans="1:26" x14ac:dyDescent="0.25">
      <c r="A1216" s="446" t="s">
        <v>1589</v>
      </c>
      <c r="B1216" s="446"/>
      <c r="C1216" s="446" t="s">
        <v>1456</v>
      </c>
      <c r="D1216" s="446" t="s">
        <v>7454</v>
      </c>
      <c r="E1216" s="448" t="s">
        <v>7447</v>
      </c>
      <c r="F1216" s="448">
        <v>38266</v>
      </c>
      <c r="G1216" s="446" t="s">
        <v>205</v>
      </c>
      <c r="H1216" s="446" t="s">
        <v>775</v>
      </c>
      <c r="I1216" s="446" t="s">
        <v>215</v>
      </c>
      <c r="J1216" s="446" t="s">
        <v>746</v>
      </c>
      <c r="K1216" s="446" t="s">
        <v>7455</v>
      </c>
      <c r="L1216" s="450"/>
      <c r="M1216" s="450"/>
      <c r="N1216" s="450"/>
      <c r="O1216" s="450"/>
      <c r="P1216" s="450"/>
      <c r="Q1216" s="450"/>
      <c r="R1216" s="450"/>
      <c r="S1216" s="451"/>
      <c r="T1216" s="450"/>
      <c r="U1216" s="451"/>
      <c r="V1216" s="450"/>
      <c r="W1216" s="450"/>
      <c r="X1216" s="450"/>
      <c r="Y1216" s="450"/>
      <c r="Z1216" s="450"/>
    </row>
    <row r="1217" spans="1:26" x14ac:dyDescent="0.25">
      <c r="A1217" s="446" t="s">
        <v>1582</v>
      </c>
      <c r="B1217" s="446"/>
      <c r="C1217" s="446" t="s">
        <v>619</v>
      </c>
      <c r="D1217" s="446" t="s">
        <v>7456</v>
      </c>
      <c r="E1217" s="448" t="s">
        <v>7457</v>
      </c>
      <c r="F1217" s="448">
        <v>38260</v>
      </c>
      <c r="G1217" s="446" t="s">
        <v>1584</v>
      </c>
      <c r="H1217" s="446" t="s">
        <v>1585</v>
      </c>
      <c r="I1217" s="446" t="s">
        <v>6877</v>
      </c>
      <c r="J1217" s="446" t="s">
        <v>404</v>
      </c>
      <c r="K1217" s="446" t="s">
        <v>7458</v>
      </c>
      <c r="L1217" s="450"/>
      <c r="M1217" s="450"/>
      <c r="N1217" s="450"/>
      <c r="O1217" s="450"/>
      <c r="P1217" s="450"/>
      <c r="Q1217" s="450"/>
      <c r="R1217" s="450"/>
      <c r="S1217" s="451"/>
      <c r="T1217" s="450"/>
      <c r="U1217" s="451"/>
      <c r="V1217" s="450"/>
      <c r="W1217" s="450"/>
      <c r="X1217" s="450"/>
      <c r="Y1217" s="450"/>
      <c r="Z1217" s="450"/>
    </row>
    <row r="1218" spans="1:26" x14ac:dyDescent="0.25">
      <c r="A1218" s="446" t="s">
        <v>1592</v>
      </c>
      <c r="B1218" s="446"/>
      <c r="C1218" s="446" t="s">
        <v>619</v>
      </c>
      <c r="D1218" s="446" t="s">
        <v>7459</v>
      </c>
      <c r="E1218" s="448" t="s">
        <v>7457</v>
      </c>
      <c r="F1218" s="448">
        <v>38267</v>
      </c>
      <c r="G1218" s="446" t="s">
        <v>1584</v>
      </c>
      <c r="H1218" s="446" t="s">
        <v>1585</v>
      </c>
      <c r="I1218" s="446" t="s">
        <v>6877</v>
      </c>
      <c r="J1218" s="446" t="s">
        <v>404</v>
      </c>
      <c r="K1218" s="446" t="s">
        <v>7460</v>
      </c>
      <c r="L1218" s="450"/>
      <c r="M1218" s="450"/>
      <c r="N1218" s="450"/>
      <c r="O1218" s="450"/>
      <c r="P1218" s="450"/>
      <c r="Q1218" s="450"/>
      <c r="R1218" s="450"/>
      <c r="S1218" s="451"/>
      <c r="T1218" s="450"/>
      <c r="U1218" s="451"/>
      <c r="V1218" s="450"/>
      <c r="W1218" s="450"/>
      <c r="X1218" s="450"/>
      <c r="Y1218" s="450"/>
      <c r="Z1218" s="450"/>
    </row>
    <row r="1219" spans="1:26" x14ac:dyDescent="0.25">
      <c r="A1219" s="446" t="s">
        <v>1595</v>
      </c>
      <c r="B1219" s="446"/>
      <c r="C1219" s="446" t="s">
        <v>619</v>
      </c>
      <c r="D1219" s="446" t="s">
        <v>7461</v>
      </c>
      <c r="E1219" s="448" t="s">
        <v>7462</v>
      </c>
      <c r="F1219" s="448">
        <v>38275</v>
      </c>
      <c r="G1219" s="446" t="s">
        <v>1597</v>
      </c>
      <c r="H1219" s="446" t="s">
        <v>1598</v>
      </c>
      <c r="I1219" s="446" t="s">
        <v>6811</v>
      </c>
      <c r="J1219" s="446" t="s">
        <v>404</v>
      </c>
      <c r="K1219" s="446" t="s">
        <v>7463</v>
      </c>
      <c r="L1219" s="450"/>
      <c r="M1219" s="450"/>
      <c r="N1219" s="450"/>
      <c r="O1219" s="450"/>
      <c r="P1219" s="450"/>
      <c r="Q1219" s="450"/>
      <c r="R1219" s="450"/>
      <c r="S1219" s="451"/>
      <c r="T1219" s="450"/>
      <c r="U1219" s="451"/>
      <c r="V1219" s="450"/>
      <c r="W1219" s="450"/>
      <c r="X1219" s="450"/>
      <c r="Y1219" s="450"/>
      <c r="Z1219" s="450"/>
    </row>
    <row r="1220" spans="1:26" x14ac:dyDescent="0.25">
      <c r="A1220" s="446" t="s">
        <v>1602</v>
      </c>
      <c r="B1220" s="446"/>
      <c r="C1220" s="446" t="s">
        <v>619</v>
      </c>
      <c r="D1220" s="446" t="s">
        <v>7464</v>
      </c>
      <c r="E1220" s="448" t="s">
        <v>7465</v>
      </c>
      <c r="F1220" s="448">
        <v>38292</v>
      </c>
      <c r="G1220" s="446" t="s">
        <v>7466</v>
      </c>
      <c r="H1220" s="446" t="s">
        <v>114</v>
      </c>
      <c r="I1220" s="446" t="s">
        <v>7467</v>
      </c>
      <c r="J1220" s="446" t="s">
        <v>404</v>
      </c>
      <c r="K1220" s="446" t="s">
        <v>7468</v>
      </c>
      <c r="L1220" s="450"/>
      <c r="M1220" s="450"/>
      <c r="N1220" s="450"/>
      <c r="O1220" s="450"/>
      <c r="P1220" s="450"/>
      <c r="Q1220" s="450"/>
      <c r="R1220" s="450"/>
      <c r="S1220" s="451"/>
      <c r="T1220" s="450"/>
      <c r="U1220" s="451"/>
      <c r="V1220" s="450"/>
      <c r="W1220" s="450"/>
      <c r="X1220" s="450"/>
      <c r="Y1220" s="450"/>
      <c r="Z1220" s="450"/>
    </row>
    <row r="1221" spans="1:26" x14ac:dyDescent="0.25">
      <c r="A1221" s="446" t="s">
        <v>1612</v>
      </c>
      <c r="B1221" s="446"/>
      <c r="C1221" s="446" t="s">
        <v>619</v>
      </c>
      <c r="D1221" s="446" t="s">
        <v>7469</v>
      </c>
      <c r="E1221" s="448" t="s">
        <v>7470</v>
      </c>
      <c r="F1221" s="448">
        <v>38362</v>
      </c>
      <c r="G1221" s="446" t="s">
        <v>1614</v>
      </c>
      <c r="H1221" s="446" t="s">
        <v>1615</v>
      </c>
      <c r="I1221" s="446" t="s">
        <v>6811</v>
      </c>
      <c r="J1221" s="446" t="s">
        <v>404</v>
      </c>
      <c r="K1221" s="446" t="s">
        <v>7471</v>
      </c>
      <c r="L1221" s="450"/>
      <c r="M1221" s="450"/>
      <c r="N1221" s="450"/>
      <c r="O1221" s="450"/>
      <c r="P1221" s="450"/>
      <c r="Q1221" s="450"/>
      <c r="R1221" s="450"/>
      <c r="S1221" s="451"/>
      <c r="T1221" s="450"/>
      <c r="U1221" s="451"/>
      <c r="V1221" s="450"/>
      <c r="W1221" s="450"/>
      <c r="X1221" s="450"/>
      <c r="Y1221" s="450"/>
      <c r="Z1221" s="450"/>
    </row>
    <row r="1222" spans="1:26" x14ac:dyDescent="0.25">
      <c r="A1222" s="446" t="s">
        <v>1606</v>
      </c>
      <c r="B1222" s="446"/>
      <c r="C1222" s="446" t="s">
        <v>408</v>
      </c>
      <c r="D1222" s="446" t="s">
        <v>7472</v>
      </c>
      <c r="E1222" s="448" t="s">
        <v>7473</v>
      </c>
      <c r="F1222" s="448">
        <v>38338</v>
      </c>
      <c r="G1222" s="446" t="s">
        <v>7474</v>
      </c>
      <c r="H1222" s="446" t="s">
        <v>1610</v>
      </c>
      <c r="I1222" s="446" t="s">
        <v>7475</v>
      </c>
      <c r="J1222" s="446" t="s">
        <v>4604</v>
      </c>
      <c r="K1222" s="446" t="s">
        <v>7476</v>
      </c>
      <c r="L1222" s="450"/>
      <c r="M1222" s="450"/>
      <c r="N1222" s="450"/>
      <c r="O1222" s="450"/>
      <c r="P1222" s="450"/>
      <c r="Q1222" s="450"/>
      <c r="R1222" s="450"/>
      <c r="S1222" s="451"/>
      <c r="T1222" s="450"/>
      <c r="U1222" s="451"/>
      <c r="V1222" s="450"/>
      <c r="W1222" s="450"/>
      <c r="X1222" s="450"/>
      <c r="Y1222" s="450"/>
      <c r="Z1222" s="450"/>
    </row>
    <row r="1223" spans="1:26" x14ac:dyDescent="0.25">
      <c r="A1223" s="446" t="s">
        <v>1617</v>
      </c>
      <c r="B1223" s="446"/>
      <c r="C1223" s="446" t="s">
        <v>202</v>
      </c>
      <c r="D1223" s="446" t="s">
        <v>7477</v>
      </c>
      <c r="E1223" s="448" t="s">
        <v>7478</v>
      </c>
      <c r="F1223" s="448">
        <v>38406</v>
      </c>
      <c r="G1223" s="446" t="s">
        <v>241</v>
      </c>
      <c r="H1223" s="446" t="s">
        <v>242</v>
      </c>
      <c r="I1223" s="446" t="s">
        <v>215</v>
      </c>
      <c r="J1223" s="446" t="s">
        <v>746</v>
      </c>
      <c r="K1223" s="446" t="s">
        <v>7479</v>
      </c>
      <c r="L1223" s="450"/>
      <c r="M1223" s="450"/>
      <c r="N1223" s="450"/>
      <c r="O1223" s="450"/>
      <c r="P1223" s="450"/>
      <c r="Q1223" s="450"/>
      <c r="R1223" s="450"/>
      <c r="S1223" s="451"/>
      <c r="T1223" s="450"/>
      <c r="U1223" s="451"/>
      <c r="V1223" s="450"/>
      <c r="W1223" s="450"/>
      <c r="X1223" s="450"/>
      <c r="Y1223" s="450"/>
      <c r="Z1223" s="450"/>
    </row>
    <row r="1224" spans="1:26" x14ac:dyDescent="0.25">
      <c r="A1224" s="446" t="s">
        <v>1625</v>
      </c>
      <c r="B1224" s="446"/>
      <c r="C1224" s="446" t="s">
        <v>202</v>
      </c>
      <c r="D1224" s="446" t="s">
        <v>7480</v>
      </c>
      <c r="E1224" s="448" t="s">
        <v>7481</v>
      </c>
      <c r="F1224" s="448">
        <v>38411</v>
      </c>
      <c r="G1224" s="446" t="s">
        <v>248</v>
      </c>
      <c r="H1224" s="446" t="s">
        <v>242</v>
      </c>
      <c r="I1224" s="446" t="s">
        <v>215</v>
      </c>
      <c r="J1224" s="446" t="s">
        <v>746</v>
      </c>
      <c r="K1224" s="446" t="s">
        <v>7482</v>
      </c>
      <c r="L1224" s="450"/>
      <c r="M1224" s="450"/>
      <c r="N1224" s="450"/>
      <c r="O1224" s="450"/>
      <c r="P1224" s="450"/>
      <c r="Q1224" s="450"/>
      <c r="R1224" s="450"/>
      <c r="S1224" s="451"/>
      <c r="T1224" s="450"/>
      <c r="U1224" s="451"/>
      <c r="V1224" s="450"/>
      <c r="W1224" s="450"/>
      <c r="X1224" s="450"/>
      <c r="Y1224" s="450"/>
      <c r="Z1224" s="450"/>
    </row>
    <row r="1225" spans="1:26" x14ac:dyDescent="0.25">
      <c r="A1225" s="446" t="s">
        <v>1621</v>
      </c>
      <c r="B1225" s="446"/>
      <c r="C1225" s="446" t="s">
        <v>202</v>
      </c>
      <c r="D1225" s="446" t="s">
        <v>7483</v>
      </c>
      <c r="E1225" s="448" t="s">
        <v>7484</v>
      </c>
      <c r="F1225" s="448">
        <v>38407</v>
      </c>
      <c r="G1225" s="446" t="s">
        <v>246</v>
      </c>
      <c r="H1225" s="446" t="s">
        <v>242</v>
      </c>
      <c r="I1225" s="446" t="s">
        <v>215</v>
      </c>
      <c r="J1225" s="446" t="s">
        <v>746</v>
      </c>
      <c r="K1225" s="446" t="s">
        <v>7485</v>
      </c>
      <c r="L1225" s="450"/>
      <c r="M1225" s="450"/>
      <c r="N1225" s="450"/>
      <c r="O1225" s="450"/>
      <c r="P1225" s="450"/>
      <c r="Q1225" s="450"/>
      <c r="R1225" s="450"/>
      <c r="S1225" s="451"/>
      <c r="T1225" s="450"/>
      <c r="U1225" s="451"/>
      <c r="V1225" s="450"/>
      <c r="W1225" s="450"/>
      <c r="X1225" s="450"/>
      <c r="Y1225" s="450"/>
      <c r="Z1225" s="450"/>
    </row>
    <row r="1226" spans="1:26" x14ac:dyDescent="0.25">
      <c r="A1226" s="446" t="s">
        <v>1623</v>
      </c>
      <c r="B1226" s="446"/>
      <c r="C1226" s="446" t="s">
        <v>202</v>
      </c>
      <c r="D1226" s="446" t="s">
        <v>7486</v>
      </c>
      <c r="E1226" s="448" t="s">
        <v>7484</v>
      </c>
      <c r="F1226" s="448">
        <v>38411</v>
      </c>
      <c r="G1226" s="446" t="s">
        <v>251</v>
      </c>
      <c r="H1226" s="446" t="s">
        <v>242</v>
      </c>
      <c r="I1226" s="446" t="s">
        <v>215</v>
      </c>
      <c r="J1226" s="446" t="s">
        <v>746</v>
      </c>
      <c r="K1226" s="446" t="s">
        <v>7487</v>
      </c>
      <c r="L1226" s="450"/>
      <c r="M1226" s="450"/>
      <c r="N1226" s="450"/>
      <c r="O1226" s="450"/>
      <c r="P1226" s="450"/>
      <c r="Q1226" s="450"/>
      <c r="R1226" s="450"/>
      <c r="S1226" s="451"/>
      <c r="T1226" s="450"/>
      <c r="U1226" s="451"/>
      <c r="V1226" s="450"/>
      <c r="W1226" s="450"/>
      <c r="X1226" s="450"/>
      <c r="Y1226" s="450"/>
      <c r="Z1226" s="450"/>
    </row>
    <row r="1227" spans="1:26" x14ac:dyDescent="0.25">
      <c r="A1227" s="446" t="s">
        <v>1634</v>
      </c>
      <c r="B1227" s="446"/>
      <c r="C1227" s="446" t="s">
        <v>461</v>
      </c>
      <c r="D1227" s="446" t="s">
        <v>7488</v>
      </c>
      <c r="E1227" s="448" t="s">
        <v>7489</v>
      </c>
      <c r="F1227" s="448">
        <v>38427</v>
      </c>
      <c r="G1227" s="446" t="s">
        <v>1036</v>
      </c>
      <c r="H1227" s="446" t="s">
        <v>102</v>
      </c>
      <c r="I1227" s="446" t="s">
        <v>6833</v>
      </c>
      <c r="J1227" s="446" t="s">
        <v>760</v>
      </c>
      <c r="K1227" s="446" t="s">
        <v>7490</v>
      </c>
      <c r="L1227" s="450"/>
      <c r="M1227" s="450"/>
      <c r="N1227" s="450"/>
      <c r="O1227" s="450"/>
      <c r="P1227" s="450"/>
      <c r="Q1227" s="450"/>
      <c r="R1227" s="450"/>
      <c r="S1227" s="451"/>
      <c r="T1227" s="450"/>
      <c r="U1227" s="451"/>
      <c r="V1227" s="450"/>
      <c r="W1227" s="450"/>
      <c r="X1227" s="450"/>
      <c r="Y1227" s="450"/>
      <c r="Z1227" s="450"/>
    </row>
    <row r="1228" spans="1:26" x14ac:dyDescent="0.25">
      <c r="A1228" s="446" t="s">
        <v>1649</v>
      </c>
      <c r="B1228" s="446"/>
      <c r="C1228" s="446" t="s">
        <v>619</v>
      </c>
      <c r="D1228" s="446" t="s">
        <v>7491</v>
      </c>
      <c r="E1228" s="448" t="s">
        <v>7492</v>
      </c>
      <c r="F1228" s="448">
        <v>38446</v>
      </c>
      <c r="G1228" s="446" t="s">
        <v>1651</v>
      </c>
      <c r="H1228" s="446" t="s">
        <v>1898</v>
      </c>
      <c r="I1228" s="446" t="s">
        <v>6844</v>
      </c>
      <c r="J1228" s="446" t="s">
        <v>404</v>
      </c>
      <c r="K1228" s="446" t="s">
        <v>7493</v>
      </c>
      <c r="L1228" s="450"/>
      <c r="M1228" s="450"/>
      <c r="N1228" s="450"/>
      <c r="O1228" s="450"/>
      <c r="P1228" s="450"/>
      <c r="Q1228" s="450"/>
      <c r="R1228" s="450"/>
      <c r="S1228" s="451"/>
      <c r="T1228" s="450"/>
      <c r="U1228" s="451"/>
      <c r="V1228" s="450"/>
      <c r="W1228" s="450"/>
      <c r="X1228" s="450"/>
      <c r="Y1228" s="450"/>
      <c r="Z1228" s="450"/>
    </row>
    <row r="1229" spans="1:26" x14ac:dyDescent="0.25">
      <c r="A1229" s="446" t="s">
        <v>1659</v>
      </c>
      <c r="B1229" s="446"/>
      <c r="C1229" s="446" t="s">
        <v>1362</v>
      </c>
      <c r="D1229" s="446" t="s">
        <v>7494</v>
      </c>
      <c r="E1229" s="448" t="s">
        <v>7495</v>
      </c>
      <c r="F1229" s="448">
        <v>38455</v>
      </c>
      <c r="G1229" s="446" t="s">
        <v>7496</v>
      </c>
      <c r="H1229" s="446" t="s">
        <v>102</v>
      </c>
      <c r="I1229" s="446" t="s">
        <v>7497</v>
      </c>
      <c r="J1229" s="446" t="s">
        <v>4604</v>
      </c>
      <c r="K1229" s="446" t="s">
        <v>7498</v>
      </c>
      <c r="L1229" s="450"/>
      <c r="M1229" s="450"/>
      <c r="N1229" s="450"/>
      <c r="O1229" s="450"/>
      <c r="P1229" s="450"/>
      <c r="Q1229" s="450"/>
      <c r="R1229" s="450"/>
      <c r="S1229" s="451"/>
      <c r="T1229" s="450"/>
      <c r="U1229" s="451"/>
      <c r="V1229" s="450"/>
      <c r="W1229" s="450"/>
      <c r="X1229" s="450"/>
      <c r="Y1229" s="450"/>
      <c r="Z1229" s="450"/>
    </row>
    <row r="1230" spans="1:26" x14ac:dyDescent="0.25">
      <c r="A1230" s="446" t="s">
        <v>1627</v>
      </c>
      <c r="B1230" s="446"/>
      <c r="C1230" s="446" t="s">
        <v>202</v>
      </c>
      <c r="D1230" s="446" t="s">
        <v>7499</v>
      </c>
      <c r="E1230" s="448" t="s">
        <v>7500</v>
      </c>
      <c r="F1230" s="448">
        <v>38419</v>
      </c>
      <c r="G1230" s="446" t="s">
        <v>2880</v>
      </c>
      <c r="H1230" s="446" t="s">
        <v>262</v>
      </c>
      <c r="I1230" s="446" t="s">
        <v>263</v>
      </c>
      <c r="J1230" s="446" t="s">
        <v>746</v>
      </c>
      <c r="K1230" s="446" t="s">
        <v>7501</v>
      </c>
      <c r="L1230" s="450"/>
      <c r="M1230" s="450"/>
      <c r="N1230" s="450"/>
      <c r="O1230" s="450"/>
      <c r="P1230" s="450"/>
      <c r="Q1230" s="450"/>
      <c r="R1230" s="450"/>
      <c r="S1230" s="451"/>
      <c r="T1230" s="450"/>
      <c r="U1230" s="451"/>
      <c r="V1230" s="450"/>
      <c r="W1230" s="450"/>
      <c r="X1230" s="450"/>
      <c r="Y1230" s="450"/>
      <c r="Z1230" s="450"/>
    </row>
    <row r="1231" spans="1:26" x14ac:dyDescent="0.25">
      <c r="A1231" s="446" t="s">
        <v>1631</v>
      </c>
      <c r="B1231" s="446"/>
      <c r="C1231" s="446" t="s">
        <v>202</v>
      </c>
      <c r="D1231" s="446" t="s">
        <v>7502</v>
      </c>
      <c r="E1231" s="448" t="s">
        <v>7500</v>
      </c>
      <c r="F1231" s="448">
        <v>38420</v>
      </c>
      <c r="G1231" s="446" t="s">
        <v>268</v>
      </c>
      <c r="H1231" s="446" t="s">
        <v>262</v>
      </c>
      <c r="I1231" s="446" t="s">
        <v>7045</v>
      </c>
      <c r="J1231" s="446" t="s">
        <v>746</v>
      </c>
      <c r="K1231" s="446" t="s">
        <v>7503</v>
      </c>
      <c r="L1231" s="450"/>
      <c r="M1231" s="450"/>
      <c r="N1231" s="450"/>
      <c r="O1231" s="450"/>
      <c r="P1231" s="450"/>
      <c r="Q1231" s="450"/>
      <c r="R1231" s="450"/>
      <c r="S1231" s="451"/>
      <c r="T1231" s="450"/>
      <c r="U1231" s="451"/>
      <c r="V1231" s="450"/>
      <c r="W1231" s="450"/>
      <c r="X1231" s="450"/>
      <c r="Y1231" s="450"/>
      <c r="Z1231" s="450"/>
    </row>
    <row r="1232" spans="1:26" x14ac:dyDescent="0.25">
      <c r="A1232" s="446" t="s">
        <v>1629</v>
      </c>
      <c r="B1232" s="446"/>
      <c r="C1232" s="446" t="s">
        <v>202</v>
      </c>
      <c r="D1232" s="446" t="s">
        <v>7504</v>
      </c>
      <c r="E1232" s="448" t="s">
        <v>7500</v>
      </c>
      <c r="F1232" s="448">
        <v>38419</v>
      </c>
      <c r="G1232" s="446" t="s">
        <v>6822</v>
      </c>
      <c r="H1232" s="446" t="s">
        <v>262</v>
      </c>
      <c r="I1232" s="446" t="s">
        <v>263</v>
      </c>
      <c r="J1232" s="446" t="s">
        <v>746</v>
      </c>
      <c r="K1232" s="446" t="s">
        <v>7505</v>
      </c>
      <c r="L1232" s="450"/>
      <c r="M1232" s="450"/>
      <c r="N1232" s="450"/>
      <c r="O1232" s="450"/>
      <c r="P1232" s="450"/>
      <c r="Q1232" s="450"/>
      <c r="R1232" s="450"/>
      <c r="S1232" s="451"/>
      <c r="T1232" s="450"/>
      <c r="U1232" s="451"/>
      <c r="V1232" s="450"/>
      <c r="W1232" s="450"/>
      <c r="X1232" s="450"/>
      <c r="Y1232" s="450"/>
      <c r="Z1232" s="450"/>
    </row>
    <row r="1233" spans="1:26" x14ac:dyDescent="0.25">
      <c r="A1233" s="446" t="s">
        <v>1654</v>
      </c>
      <c r="B1233" s="446"/>
      <c r="C1233" s="446" t="s">
        <v>202</v>
      </c>
      <c r="D1233" s="446" t="s">
        <v>7506</v>
      </c>
      <c r="E1233" s="448" t="s">
        <v>7507</v>
      </c>
      <c r="F1233" s="448">
        <v>38447</v>
      </c>
      <c r="G1233" s="446" t="s">
        <v>7508</v>
      </c>
      <c r="H1233" s="446" t="s">
        <v>7509</v>
      </c>
      <c r="I1233" s="446" t="s">
        <v>276</v>
      </c>
      <c r="J1233" s="446" t="s">
        <v>746</v>
      </c>
      <c r="K1233" s="446" t="s">
        <v>7510</v>
      </c>
      <c r="L1233" s="450"/>
      <c r="M1233" s="450"/>
      <c r="N1233" s="450"/>
      <c r="O1233" s="450"/>
      <c r="P1233" s="450"/>
      <c r="Q1233" s="450"/>
      <c r="R1233" s="450"/>
      <c r="S1233" s="451"/>
      <c r="T1233" s="450"/>
      <c r="U1233" s="451"/>
      <c r="V1233" s="450"/>
      <c r="W1233" s="450"/>
      <c r="X1233" s="450"/>
      <c r="Y1233" s="450"/>
      <c r="Z1233" s="450"/>
    </row>
    <row r="1234" spans="1:26" x14ac:dyDescent="0.25">
      <c r="A1234" s="446" t="s">
        <v>1639</v>
      </c>
      <c r="B1234" s="446"/>
      <c r="C1234" s="446" t="s">
        <v>202</v>
      </c>
      <c r="D1234" s="446" t="s">
        <v>7511</v>
      </c>
      <c r="E1234" s="448" t="s">
        <v>7512</v>
      </c>
      <c r="F1234" s="448">
        <v>38435</v>
      </c>
      <c r="G1234" s="446" t="s">
        <v>7513</v>
      </c>
      <c r="H1234" s="446" t="s">
        <v>242</v>
      </c>
      <c r="I1234" s="446" t="s">
        <v>222</v>
      </c>
      <c r="J1234" s="446" t="s">
        <v>746</v>
      </c>
      <c r="K1234" s="446" t="s">
        <v>7514</v>
      </c>
      <c r="L1234" s="450"/>
      <c r="M1234" s="450"/>
      <c r="N1234" s="450"/>
      <c r="O1234" s="450"/>
      <c r="P1234" s="450"/>
      <c r="Q1234" s="450"/>
      <c r="R1234" s="450"/>
      <c r="S1234" s="451"/>
      <c r="T1234" s="450"/>
      <c r="U1234" s="451"/>
      <c r="V1234" s="450"/>
      <c r="W1234" s="450"/>
      <c r="X1234" s="450"/>
      <c r="Y1234" s="450"/>
      <c r="Z1234" s="450"/>
    </row>
    <row r="1235" spans="1:26" x14ac:dyDescent="0.25">
      <c r="A1235" s="446" t="s">
        <v>1665</v>
      </c>
      <c r="B1235" s="446"/>
      <c r="C1235" s="446" t="s">
        <v>202</v>
      </c>
      <c r="D1235" s="446" t="s">
        <v>7515</v>
      </c>
      <c r="E1235" s="448" t="s">
        <v>7516</v>
      </c>
      <c r="F1235" s="448">
        <v>38457</v>
      </c>
      <c r="G1235" s="446" t="s">
        <v>114</v>
      </c>
      <c r="H1235" s="446" t="s">
        <v>7517</v>
      </c>
      <c r="I1235" s="446" t="s">
        <v>263</v>
      </c>
      <c r="J1235" s="446" t="s">
        <v>746</v>
      </c>
      <c r="K1235" s="446" t="s">
        <v>7518</v>
      </c>
      <c r="L1235" s="450"/>
      <c r="M1235" s="450"/>
      <c r="N1235" s="450"/>
      <c r="O1235" s="450"/>
      <c r="P1235" s="450"/>
      <c r="Q1235" s="450"/>
      <c r="R1235" s="450"/>
      <c r="S1235" s="451"/>
      <c r="T1235" s="450"/>
      <c r="U1235" s="451"/>
      <c r="V1235" s="450"/>
      <c r="W1235" s="450"/>
      <c r="X1235" s="450"/>
      <c r="Y1235" s="450"/>
      <c r="Z1235" s="450"/>
    </row>
    <row r="1236" spans="1:26" x14ac:dyDescent="0.25">
      <c r="A1236" s="446" t="s">
        <v>1684</v>
      </c>
      <c r="B1236" s="446"/>
      <c r="C1236" s="446" t="s">
        <v>619</v>
      </c>
      <c r="D1236" s="446" t="s">
        <v>7519</v>
      </c>
      <c r="E1236" s="448" t="s">
        <v>7520</v>
      </c>
      <c r="F1236" s="448">
        <v>38483</v>
      </c>
      <c r="G1236" s="446" t="s">
        <v>7521</v>
      </c>
      <c r="H1236" s="446" t="s">
        <v>7522</v>
      </c>
      <c r="I1236" s="446" t="s">
        <v>6844</v>
      </c>
      <c r="J1236" s="446" t="s">
        <v>404</v>
      </c>
      <c r="K1236" s="446" t="s">
        <v>7523</v>
      </c>
      <c r="L1236" s="450"/>
      <c r="M1236" s="450"/>
      <c r="N1236" s="450"/>
      <c r="O1236" s="450"/>
      <c r="P1236" s="450"/>
      <c r="Q1236" s="450"/>
      <c r="R1236" s="450"/>
      <c r="S1236" s="451"/>
      <c r="T1236" s="450"/>
      <c r="U1236" s="451"/>
      <c r="V1236" s="450"/>
      <c r="W1236" s="450"/>
      <c r="X1236" s="450"/>
      <c r="Y1236" s="450"/>
      <c r="Z1236" s="450"/>
    </row>
    <row r="1237" spans="1:26" x14ac:dyDescent="0.25">
      <c r="A1237" s="446" t="s">
        <v>1689</v>
      </c>
      <c r="B1237" s="446"/>
      <c r="C1237" s="446" t="s">
        <v>1690</v>
      </c>
      <c r="D1237" s="446" t="s">
        <v>7524</v>
      </c>
      <c r="E1237" s="448" t="s">
        <v>7525</v>
      </c>
      <c r="F1237" s="448">
        <v>38497</v>
      </c>
      <c r="G1237" s="446" t="s">
        <v>242</v>
      </c>
      <c r="H1237" s="446" t="s">
        <v>1692</v>
      </c>
      <c r="I1237" s="446" t="s">
        <v>7526</v>
      </c>
      <c r="J1237" s="446" t="s">
        <v>746</v>
      </c>
      <c r="K1237" s="446" t="s">
        <v>7527</v>
      </c>
      <c r="L1237" s="450"/>
      <c r="M1237" s="450"/>
      <c r="N1237" s="450"/>
      <c r="O1237" s="450"/>
      <c r="P1237" s="450"/>
      <c r="Q1237" s="450"/>
      <c r="R1237" s="450"/>
      <c r="S1237" s="451"/>
      <c r="T1237" s="450"/>
      <c r="U1237" s="451"/>
      <c r="V1237" s="450"/>
      <c r="W1237" s="450"/>
      <c r="X1237" s="450"/>
      <c r="Y1237" s="450"/>
      <c r="Z1237" s="450"/>
    </row>
    <row r="1238" spans="1:26" x14ac:dyDescent="0.25">
      <c r="A1238" s="446" t="s">
        <v>1644</v>
      </c>
      <c r="B1238" s="446">
        <v>26</v>
      </c>
      <c r="C1238" s="446" t="s">
        <v>202</v>
      </c>
      <c r="D1238" s="446" t="s">
        <v>4483</v>
      </c>
      <c r="E1238" s="448" t="s">
        <v>7528</v>
      </c>
      <c r="F1238" s="448">
        <v>38440</v>
      </c>
      <c r="G1238" s="446" t="s">
        <v>299</v>
      </c>
      <c r="H1238" s="446" t="s">
        <v>262</v>
      </c>
      <c r="I1238" s="446" t="s">
        <v>263</v>
      </c>
      <c r="J1238" s="446" t="s">
        <v>746</v>
      </c>
      <c r="K1238" s="446" t="s">
        <v>7529</v>
      </c>
      <c r="L1238" s="450"/>
      <c r="M1238" s="450"/>
      <c r="N1238" s="450"/>
      <c r="O1238" s="450"/>
      <c r="P1238" s="450"/>
      <c r="Q1238" s="450"/>
      <c r="R1238" s="450"/>
      <c r="S1238" s="451"/>
      <c r="T1238" s="450"/>
      <c r="U1238" s="451"/>
      <c r="V1238" s="450"/>
      <c r="W1238" s="450"/>
      <c r="X1238" s="450"/>
      <c r="Y1238" s="450"/>
      <c r="Z1238" s="450"/>
    </row>
    <row r="1239" spans="1:26" x14ac:dyDescent="0.25">
      <c r="A1239" s="446" t="s">
        <v>1646</v>
      </c>
      <c r="B1239" s="446"/>
      <c r="C1239" s="446" t="s">
        <v>1642</v>
      </c>
      <c r="D1239" s="446" t="s">
        <v>7530</v>
      </c>
      <c r="E1239" s="448" t="s">
        <v>7531</v>
      </c>
      <c r="F1239" s="448">
        <v>38441</v>
      </c>
      <c r="G1239" s="446" t="s">
        <v>301</v>
      </c>
      <c r="H1239" s="446" t="s">
        <v>262</v>
      </c>
      <c r="I1239" s="446" t="s">
        <v>263</v>
      </c>
      <c r="J1239" s="446" t="s">
        <v>746</v>
      </c>
      <c r="K1239" s="446" t="s">
        <v>7532</v>
      </c>
      <c r="L1239" s="450"/>
      <c r="M1239" s="450"/>
      <c r="N1239" s="450"/>
      <c r="O1239" s="450"/>
      <c r="P1239" s="450"/>
      <c r="Q1239" s="450"/>
      <c r="R1239" s="450"/>
      <c r="S1239" s="451"/>
      <c r="T1239" s="450"/>
      <c r="U1239" s="451"/>
      <c r="V1239" s="450"/>
      <c r="W1239" s="450"/>
      <c r="X1239" s="450"/>
      <c r="Y1239" s="450"/>
      <c r="Z1239" s="450"/>
    </row>
    <row r="1240" spans="1:26" x14ac:dyDescent="0.25">
      <c r="A1240" s="446" t="s">
        <v>1641</v>
      </c>
      <c r="B1240" s="446"/>
      <c r="C1240" s="446" t="s">
        <v>1642</v>
      </c>
      <c r="D1240" s="446" t="s">
        <v>7533</v>
      </c>
      <c r="E1240" s="448" t="s">
        <v>7531</v>
      </c>
      <c r="F1240" s="448">
        <v>38441</v>
      </c>
      <c r="G1240" s="446" t="s">
        <v>304</v>
      </c>
      <c r="H1240" s="446" t="s">
        <v>262</v>
      </c>
      <c r="I1240" s="446" t="s">
        <v>263</v>
      </c>
      <c r="J1240" s="446" t="s">
        <v>746</v>
      </c>
      <c r="K1240" s="446" t="s">
        <v>7534</v>
      </c>
      <c r="L1240" s="450"/>
      <c r="M1240" s="450"/>
      <c r="N1240" s="450"/>
      <c r="O1240" s="450"/>
      <c r="P1240" s="450"/>
      <c r="Q1240" s="450"/>
      <c r="R1240" s="450"/>
      <c r="S1240" s="451"/>
      <c r="T1240" s="450"/>
      <c r="U1240" s="451"/>
      <c r="V1240" s="450"/>
      <c r="W1240" s="450"/>
      <c r="X1240" s="450"/>
      <c r="Y1240" s="450"/>
      <c r="Z1240" s="450"/>
    </row>
    <row r="1241" spans="1:26" x14ac:dyDescent="0.25">
      <c r="A1241" s="446" t="s">
        <v>1695</v>
      </c>
      <c r="B1241" s="446"/>
      <c r="C1241" s="446" t="s">
        <v>619</v>
      </c>
      <c r="D1241" s="446" t="s">
        <v>7535</v>
      </c>
      <c r="E1241" s="448" t="s">
        <v>7536</v>
      </c>
      <c r="F1241" s="448">
        <v>38516</v>
      </c>
      <c r="G1241" s="446" t="s">
        <v>1697</v>
      </c>
      <c r="H1241" s="446" t="s">
        <v>1698</v>
      </c>
      <c r="I1241" s="446" t="s">
        <v>7444</v>
      </c>
      <c r="J1241" s="446" t="s">
        <v>404</v>
      </c>
      <c r="K1241" s="446" t="s">
        <v>7537</v>
      </c>
      <c r="L1241" s="450"/>
      <c r="M1241" s="450"/>
      <c r="N1241" s="450"/>
      <c r="O1241" s="450"/>
      <c r="P1241" s="450"/>
      <c r="Q1241" s="450"/>
      <c r="R1241" s="450"/>
      <c r="S1241" s="451"/>
      <c r="T1241" s="450"/>
      <c r="U1241" s="451"/>
      <c r="V1241" s="450"/>
      <c r="W1241" s="450"/>
      <c r="X1241" s="450"/>
      <c r="Y1241" s="450"/>
      <c r="Z1241" s="450"/>
    </row>
    <row r="1242" spans="1:26" x14ac:dyDescent="0.25">
      <c r="A1242" s="446" t="s">
        <v>1711</v>
      </c>
      <c r="B1242" s="446">
        <v>28</v>
      </c>
      <c r="C1242" s="446" t="s">
        <v>202</v>
      </c>
      <c r="D1242" s="446" t="s">
        <v>4487</v>
      </c>
      <c r="E1242" s="448" t="s">
        <v>7538</v>
      </c>
      <c r="F1242" s="448">
        <v>38482</v>
      </c>
      <c r="G1242" s="446" t="s">
        <v>306</v>
      </c>
      <c r="H1242" s="446" t="s">
        <v>262</v>
      </c>
      <c r="I1242" s="446" t="s">
        <v>215</v>
      </c>
      <c r="J1242" s="446" t="s">
        <v>746</v>
      </c>
      <c r="K1242" s="446" t="s">
        <v>7539</v>
      </c>
      <c r="L1242" s="450"/>
      <c r="M1242" s="450"/>
      <c r="N1242" s="450"/>
      <c r="O1242" s="450"/>
      <c r="P1242" s="450"/>
      <c r="Q1242" s="450"/>
      <c r="R1242" s="450"/>
      <c r="S1242" s="451"/>
      <c r="T1242" s="450"/>
      <c r="U1242" s="451"/>
      <c r="V1242" s="450"/>
      <c r="W1242" s="450"/>
      <c r="X1242" s="450"/>
      <c r="Y1242" s="450"/>
      <c r="Z1242" s="450"/>
    </row>
    <row r="1243" spans="1:26" x14ac:dyDescent="0.25">
      <c r="A1243" s="446" t="s">
        <v>1675</v>
      </c>
      <c r="B1243" s="446"/>
      <c r="C1243" s="446" t="s">
        <v>619</v>
      </c>
      <c r="D1243" s="446" t="s">
        <v>7540</v>
      </c>
      <c r="E1243" s="448" t="s">
        <v>7541</v>
      </c>
      <c r="F1243" s="448">
        <v>38473</v>
      </c>
      <c r="G1243" s="446" t="s">
        <v>114</v>
      </c>
      <c r="H1243" s="446" t="s">
        <v>7542</v>
      </c>
      <c r="I1243" s="446" t="s">
        <v>7543</v>
      </c>
      <c r="J1243" s="446" t="s">
        <v>404</v>
      </c>
      <c r="K1243" s="446" t="s">
        <v>7544</v>
      </c>
      <c r="L1243" s="450"/>
      <c r="M1243" s="450"/>
      <c r="N1243" s="450"/>
      <c r="O1243" s="450"/>
      <c r="P1243" s="450"/>
      <c r="Q1243" s="450"/>
      <c r="R1243" s="450"/>
      <c r="S1243" s="451"/>
      <c r="T1243" s="450"/>
      <c r="U1243" s="451"/>
      <c r="V1243" s="450"/>
      <c r="W1243" s="450"/>
      <c r="X1243" s="450"/>
      <c r="Y1243" s="450"/>
      <c r="Z1243" s="450"/>
    </row>
    <row r="1244" spans="1:26" x14ac:dyDescent="0.25">
      <c r="A1244" s="446" t="s">
        <v>1671</v>
      </c>
      <c r="B1244" s="446">
        <v>27</v>
      </c>
      <c r="C1244" s="446" t="s">
        <v>202</v>
      </c>
      <c r="D1244" s="446" t="s">
        <v>4485</v>
      </c>
      <c r="E1244" s="448" t="s">
        <v>7545</v>
      </c>
      <c r="F1244" s="448">
        <v>38468</v>
      </c>
      <c r="G1244" s="446" t="s">
        <v>7546</v>
      </c>
      <c r="H1244" s="446" t="s">
        <v>7547</v>
      </c>
      <c r="I1244" s="446" t="s">
        <v>215</v>
      </c>
      <c r="J1244" s="446" t="s">
        <v>746</v>
      </c>
      <c r="K1244" s="446" t="s">
        <v>7548</v>
      </c>
      <c r="L1244" s="450"/>
      <c r="M1244" s="450"/>
      <c r="N1244" s="450"/>
      <c r="O1244" s="450"/>
      <c r="P1244" s="450"/>
      <c r="Q1244" s="450"/>
      <c r="R1244" s="450"/>
      <c r="S1244" s="451"/>
      <c r="T1244" s="450"/>
      <c r="U1244" s="451"/>
      <c r="V1244" s="450"/>
      <c r="W1244" s="450"/>
      <c r="X1244" s="450"/>
      <c r="Y1244" s="450"/>
      <c r="Z1244" s="450"/>
    </row>
    <row r="1245" spans="1:26" x14ac:dyDescent="0.25">
      <c r="A1245" s="446" t="s">
        <v>1666</v>
      </c>
      <c r="B1245" s="446"/>
      <c r="C1245" s="446" t="s">
        <v>202</v>
      </c>
      <c r="D1245" s="446" t="s">
        <v>7549</v>
      </c>
      <c r="E1245" s="448" t="s">
        <v>7545</v>
      </c>
      <c r="F1245" s="448">
        <v>38468</v>
      </c>
      <c r="G1245" s="446" t="s">
        <v>279</v>
      </c>
      <c r="H1245" s="446" t="s">
        <v>7509</v>
      </c>
      <c r="I1245" s="446" t="s">
        <v>215</v>
      </c>
      <c r="J1245" s="446" t="s">
        <v>746</v>
      </c>
      <c r="K1245" s="446" t="s">
        <v>7550</v>
      </c>
      <c r="L1245" s="450"/>
      <c r="M1245" s="450"/>
      <c r="N1245" s="450"/>
      <c r="O1245" s="450"/>
      <c r="P1245" s="450"/>
      <c r="Q1245" s="450"/>
      <c r="R1245" s="450"/>
      <c r="S1245" s="451"/>
      <c r="T1245" s="450"/>
      <c r="U1245" s="451"/>
      <c r="V1245" s="450"/>
      <c r="W1245" s="450"/>
      <c r="X1245" s="450"/>
      <c r="Y1245" s="450"/>
      <c r="Z1245" s="450"/>
    </row>
    <row r="1246" spans="1:26" x14ac:dyDescent="0.25">
      <c r="A1246" s="446" t="s">
        <v>1673</v>
      </c>
      <c r="B1246" s="446"/>
      <c r="C1246" s="446" t="s">
        <v>202</v>
      </c>
      <c r="D1246" s="446" t="s">
        <v>7551</v>
      </c>
      <c r="E1246" s="448" t="s">
        <v>7545</v>
      </c>
      <c r="F1246" s="448">
        <v>38468</v>
      </c>
      <c r="G1246" s="446" t="s">
        <v>7552</v>
      </c>
      <c r="H1246" s="446" t="s">
        <v>7509</v>
      </c>
      <c r="I1246" s="446" t="s">
        <v>6833</v>
      </c>
      <c r="J1246" s="446" t="s">
        <v>746</v>
      </c>
      <c r="K1246" s="446" t="s">
        <v>7553</v>
      </c>
      <c r="L1246" s="450"/>
      <c r="M1246" s="450"/>
      <c r="N1246" s="450"/>
      <c r="O1246" s="450"/>
      <c r="P1246" s="450"/>
      <c r="Q1246" s="450"/>
      <c r="R1246" s="450"/>
      <c r="S1246" s="451"/>
      <c r="T1246" s="450"/>
      <c r="U1246" s="451"/>
      <c r="V1246" s="450"/>
      <c r="W1246" s="450"/>
      <c r="X1246" s="450"/>
      <c r="Y1246" s="450"/>
      <c r="Z1246" s="450"/>
    </row>
    <row r="1247" spans="1:26" x14ac:dyDescent="0.25">
      <c r="A1247" s="446" t="s">
        <v>1668</v>
      </c>
      <c r="B1247" s="446"/>
      <c r="C1247" s="446" t="s">
        <v>202</v>
      </c>
      <c r="D1247" s="446" t="s">
        <v>7554</v>
      </c>
      <c r="E1247" s="448" t="s">
        <v>7555</v>
      </c>
      <c r="F1247" s="448">
        <v>38468</v>
      </c>
      <c r="G1247" s="446" t="s">
        <v>4077</v>
      </c>
      <c r="H1247" s="446" t="s">
        <v>7556</v>
      </c>
      <c r="I1247" s="446" t="s">
        <v>215</v>
      </c>
      <c r="J1247" s="446" t="s">
        <v>746</v>
      </c>
      <c r="K1247" s="446" t="s">
        <v>7557</v>
      </c>
      <c r="L1247" s="450"/>
      <c r="M1247" s="450"/>
      <c r="N1247" s="450"/>
      <c r="O1247" s="450"/>
      <c r="P1247" s="450"/>
      <c r="Q1247" s="450"/>
      <c r="R1247" s="450"/>
      <c r="S1247" s="451"/>
      <c r="T1247" s="450"/>
      <c r="U1247" s="451"/>
      <c r="V1247" s="450"/>
      <c r="W1247" s="450"/>
      <c r="X1247" s="450"/>
      <c r="Y1247" s="450"/>
      <c r="Z1247" s="450"/>
    </row>
    <row r="1248" spans="1:26" x14ac:dyDescent="0.25">
      <c r="A1248" s="446" t="s">
        <v>1705</v>
      </c>
      <c r="B1248" s="446"/>
      <c r="C1248" s="446" t="s">
        <v>202</v>
      </c>
      <c r="D1248" s="446" t="s">
        <v>7558</v>
      </c>
      <c r="E1248" s="448" t="s">
        <v>7559</v>
      </c>
      <c r="F1248" s="448">
        <v>38482</v>
      </c>
      <c r="G1248" s="446" t="s">
        <v>288</v>
      </c>
      <c r="H1248" s="446" t="s">
        <v>262</v>
      </c>
      <c r="I1248" s="446" t="s">
        <v>215</v>
      </c>
      <c r="J1248" s="446" t="s">
        <v>746</v>
      </c>
      <c r="K1248" s="446" t="s">
        <v>7560</v>
      </c>
      <c r="L1248" s="450"/>
      <c r="M1248" s="450"/>
      <c r="N1248" s="450"/>
      <c r="O1248" s="450"/>
      <c r="P1248" s="450"/>
      <c r="Q1248" s="450"/>
      <c r="R1248" s="450"/>
      <c r="S1248" s="451"/>
      <c r="T1248" s="450"/>
      <c r="U1248" s="451"/>
      <c r="V1248" s="450"/>
      <c r="W1248" s="450"/>
      <c r="X1248" s="450"/>
      <c r="Y1248" s="450"/>
      <c r="Z1248" s="450"/>
    </row>
    <row r="1249" spans="1:26" x14ac:dyDescent="0.25">
      <c r="A1249" s="446" t="s">
        <v>1703</v>
      </c>
      <c r="B1249" s="446"/>
      <c r="C1249" s="446" t="s">
        <v>202</v>
      </c>
      <c r="D1249" s="446" t="s">
        <v>7561</v>
      </c>
      <c r="E1249" s="448" t="s">
        <v>7559</v>
      </c>
      <c r="F1249" s="448">
        <v>38482</v>
      </c>
      <c r="G1249" s="446" t="s">
        <v>291</v>
      </c>
      <c r="H1249" s="446" t="s">
        <v>262</v>
      </c>
      <c r="I1249" s="446" t="s">
        <v>215</v>
      </c>
      <c r="J1249" s="446" t="s">
        <v>746</v>
      </c>
      <c r="K1249" s="446" t="s">
        <v>7562</v>
      </c>
      <c r="L1249" s="450"/>
      <c r="M1249" s="450"/>
      <c r="N1249" s="450"/>
      <c r="O1249" s="450"/>
      <c r="P1249" s="450"/>
      <c r="Q1249" s="450"/>
      <c r="R1249" s="450"/>
      <c r="S1249" s="451"/>
      <c r="T1249" s="450"/>
      <c r="U1249" s="451"/>
      <c r="V1249" s="450"/>
      <c r="W1249" s="450"/>
      <c r="X1249" s="450"/>
      <c r="Y1249" s="450"/>
      <c r="Z1249" s="450"/>
    </row>
    <row r="1250" spans="1:26" x14ac:dyDescent="0.25">
      <c r="A1250" s="446" t="s">
        <v>1700</v>
      </c>
      <c r="B1250" s="446"/>
      <c r="C1250" s="446" t="s">
        <v>202</v>
      </c>
      <c r="D1250" s="446" t="s">
        <v>7563</v>
      </c>
      <c r="E1250" s="448" t="s">
        <v>7559</v>
      </c>
      <c r="F1250" s="448">
        <v>38482</v>
      </c>
      <c r="G1250" s="446" t="s">
        <v>293</v>
      </c>
      <c r="H1250" s="446" t="s">
        <v>262</v>
      </c>
      <c r="I1250" s="446" t="s">
        <v>215</v>
      </c>
      <c r="J1250" s="446" t="s">
        <v>746</v>
      </c>
      <c r="K1250" s="446" t="s">
        <v>7564</v>
      </c>
      <c r="L1250" s="450"/>
      <c r="M1250" s="450"/>
      <c r="N1250" s="450"/>
      <c r="O1250" s="450"/>
      <c r="P1250" s="450"/>
      <c r="Q1250" s="450"/>
      <c r="R1250" s="450"/>
      <c r="S1250" s="451"/>
      <c r="T1250" s="450"/>
      <c r="U1250" s="451"/>
      <c r="V1250" s="450"/>
      <c r="W1250" s="450"/>
      <c r="X1250" s="450"/>
      <c r="Y1250" s="450"/>
      <c r="Z1250" s="450"/>
    </row>
    <row r="1251" spans="1:26" x14ac:dyDescent="0.25">
      <c r="A1251" s="446" t="s">
        <v>1709</v>
      </c>
      <c r="B1251" s="446"/>
      <c r="C1251" s="446" t="s">
        <v>202</v>
      </c>
      <c r="D1251" s="446" t="s">
        <v>7565</v>
      </c>
      <c r="E1251" s="448" t="s">
        <v>7559</v>
      </c>
      <c r="F1251" s="448">
        <v>38482</v>
      </c>
      <c r="G1251" s="446" t="s">
        <v>295</v>
      </c>
      <c r="H1251" s="446" t="s">
        <v>262</v>
      </c>
      <c r="I1251" s="446" t="s">
        <v>215</v>
      </c>
      <c r="J1251" s="446" t="s">
        <v>746</v>
      </c>
      <c r="K1251" s="446" t="s">
        <v>7566</v>
      </c>
      <c r="L1251" s="450"/>
      <c r="M1251" s="450"/>
      <c r="N1251" s="450"/>
      <c r="O1251" s="450"/>
      <c r="P1251" s="450"/>
      <c r="Q1251" s="450"/>
      <c r="R1251" s="450"/>
      <c r="S1251" s="451"/>
      <c r="T1251" s="450"/>
      <c r="U1251" s="451"/>
      <c r="V1251" s="450"/>
      <c r="W1251" s="450"/>
      <c r="X1251" s="450"/>
      <c r="Y1251" s="450"/>
      <c r="Z1251" s="450"/>
    </row>
    <row r="1252" spans="1:26" x14ac:dyDescent="0.25">
      <c r="A1252" s="446" t="s">
        <v>1707</v>
      </c>
      <c r="B1252" s="446"/>
      <c r="C1252" s="446" t="s">
        <v>202</v>
      </c>
      <c r="D1252" s="446" t="s">
        <v>7567</v>
      </c>
      <c r="E1252" s="448" t="s">
        <v>7568</v>
      </c>
      <c r="F1252" s="448">
        <v>38482</v>
      </c>
      <c r="G1252" s="446" t="s">
        <v>297</v>
      </c>
      <c r="H1252" s="446" t="s">
        <v>262</v>
      </c>
      <c r="I1252" s="446" t="s">
        <v>215</v>
      </c>
      <c r="J1252" s="446" t="s">
        <v>746</v>
      </c>
      <c r="K1252" s="446" t="s">
        <v>7569</v>
      </c>
      <c r="L1252" s="450"/>
      <c r="M1252" s="450"/>
      <c r="N1252" s="450"/>
      <c r="O1252" s="450"/>
      <c r="P1252" s="450"/>
      <c r="Q1252" s="450"/>
      <c r="R1252" s="450"/>
      <c r="S1252" s="451"/>
      <c r="T1252" s="450"/>
      <c r="U1252" s="451"/>
      <c r="V1252" s="450"/>
      <c r="W1252" s="450"/>
      <c r="X1252" s="450"/>
      <c r="Y1252" s="450"/>
      <c r="Z1252" s="450"/>
    </row>
    <row r="1253" spans="1:26" x14ac:dyDescent="0.25">
      <c r="A1253" s="446" t="s">
        <v>1680</v>
      </c>
      <c r="B1253" s="446"/>
      <c r="C1253" s="446" t="s">
        <v>619</v>
      </c>
      <c r="D1253" s="446" t="s">
        <v>7570</v>
      </c>
      <c r="E1253" s="448" t="s">
        <v>7571</v>
      </c>
      <c r="F1253" s="448">
        <v>38473</v>
      </c>
      <c r="G1253" s="446" t="s">
        <v>114</v>
      </c>
      <c r="H1253" s="446" t="s">
        <v>7572</v>
      </c>
      <c r="I1253" s="446" t="s">
        <v>263</v>
      </c>
      <c r="J1253" s="446" t="s">
        <v>404</v>
      </c>
      <c r="K1253" s="446" t="s">
        <v>7573</v>
      </c>
      <c r="L1253" s="450"/>
      <c r="M1253" s="450"/>
      <c r="N1253" s="450"/>
      <c r="O1253" s="450"/>
      <c r="P1253" s="450"/>
      <c r="Q1253" s="450"/>
      <c r="R1253" s="450"/>
      <c r="S1253" s="451"/>
      <c r="T1253" s="450"/>
      <c r="U1253" s="451"/>
      <c r="V1253" s="450"/>
      <c r="W1253" s="450"/>
      <c r="X1253" s="450"/>
      <c r="Y1253" s="450"/>
      <c r="Z1253" s="450"/>
    </row>
    <row r="1254" spans="1:26" x14ac:dyDescent="0.25">
      <c r="A1254" s="446" t="s">
        <v>1714</v>
      </c>
      <c r="B1254" s="446"/>
      <c r="C1254" s="446" t="s">
        <v>1690</v>
      </c>
      <c r="D1254" s="446" t="s">
        <v>7574</v>
      </c>
      <c r="E1254" s="448" t="s">
        <v>7575</v>
      </c>
      <c r="F1254" s="448">
        <v>38523</v>
      </c>
      <c r="G1254" s="446" t="s">
        <v>242</v>
      </c>
      <c r="H1254" s="446" t="s">
        <v>1716</v>
      </c>
      <c r="I1254" s="446" t="s">
        <v>7526</v>
      </c>
      <c r="J1254" s="446" t="s">
        <v>746</v>
      </c>
      <c r="K1254" s="446" t="s">
        <v>7576</v>
      </c>
      <c r="L1254" s="450"/>
      <c r="M1254" s="450"/>
      <c r="N1254" s="450"/>
      <c r="O1254" s="450"/>
      <c r="P1254" s="450"/>
      <c r="Q1254" s="450"/>
      <c r="R1254" s="450"/>
      <c r="S1254" s="451"/>
      <c r="T1254" s="450"/>
      <c r="U1254" s="451"/>
      <c r="V1254" s="450"/>
      <c r="W1254" s="450"/>
      <c r="X1254" s="450"/>
      <c r="Y1254" s="450"/>
      <c r="Z1254" s="450"/>
    </row>
    <row r="1255" spans="1:26" x14ac:dyDescent="0.25">
      <c r="A1255" s="446" t="s">
        <v>1739</v>
      </c>
      <c r="B1255" s="446"/>
      <c r="C1255" s="446" t="s">
        <v>1456</v>
      </c>
      <c r="D1255" s="446" t="s">
        <v>7577</v>
      </c>
      <c r="E1255" s="448" t="s">
        <v>7578</v>
      </c>
      <c r="F1255" s="448">
        <v>38629</v>
      </c>
      <c r="G1255" s="446" t="s">
        <v>7579</v>
      </c>
      <c r="H1255" s="446" t="s">
        <v>7580</v>
      </c>
      <c r="I1255" s="446" t="s">
        <v>6811</v>
      </c>
      <c r="J1255" s="446" t="s">
        <v>746</v>
      </c>
      <c r="K1255" s="446" t="s">
        <v>7581</v>
      </c>
      <c r="L1255" s="450"/>
      <c r="M1255" s="450"/>
      <c r="N1255" s="450"/>
      <c r="O1255" s="450"/>
      <c r="P1255" s="450"/>
      <c r="Q1255" s="450"/>
      <c r="R1255" s="450"/>
      <c r="S1255" s="451"/>
      <c r="T1255" s="450"/>
      <c r="U1255" s="451"/>
      <c r="V1255" s="450"/>
      <c r="W1255" s="450"/>
      <c r="X1255" s="450"/>
      <c r="Y1255" s="450"/>
      <c r="Z1255" s="450"/>
    </row>
    <row r="1256" spans="1:26" x14ac:dyDescent="0.25">
      <c r="A1256" s="446" t="s">
        <v>1732</v>
      </c>
      <c r="B1256" s="446"/>
      <c r="C1256" s="446" t="s">
        <v>619</v>
      </c>
      <c r="D1256" s="446" t="s">
        <v>7582</v>
      </c>
      <c r="E1256" s="448" t="s">
        <v>7583</v>
      </c>
      <c r="F1256" s="448">
        <v>38625</v>
      </c>
      <c r="G1256" s="446" t="s">
        <v>306</v>
      </c>
      <c r="H1256" s="446" t="s">
        <v>1729</v>
      </c>
      <c r="I1256" s="446" t="s">
        <v>215</v>
      </c>
      <c r="J1256" s="446" t="s">
        <v>404</v>
      </c>
      <c r="K1256" s="446" t="s">
        <v>7584</v>
      </c>
      <c r="L1256" s="450"/>
      <c r="M1256" s="450"/>
      <c r="N1256" s="450"/>
      <c r="O1256" s="450"/>
      <c r="P1256" s="450"/>
      <c r="Q1256" s="450"/>
      <c r="R1256" s="450"/>
      <c r="S1256" s="451"/>
      <c r="T1256" s="450"/>
      <c r="U1256" s="451"/>
      <c r="V1256" s="450"/>
      <c r="W1256" s="450"/>
      <c r="X1256" s="450"/>
      <c r="Y1256" s="450"/>
      <c r="Z1256" s="450"/>
    </row>
    <row r="1257" spans="1:26" x14ac:dyDescent="0.25">
      <c r="A1257" s="446" t="s">
        <v>1727</v>
      </c>
      <c r="B1257" s="446"/>
      <c r="C1257" s="446" t="s">
        <v>619</v>
      </c>
      <c r="D1257" s="446" t="s">
        <v>7585</v>
      </c>
      <c r="E1257" s="448" t="s">
        <v>7583</v>
      </c>
      <c r="F1257" s="448">
        <v>38624</v>
      </c>
      <c r="G1257" s="446" t="s">
        <v>293</v>
      </c>
      <c r="H1257" s="446" t="s">
        <v>1729</v>
      </c>
      <c r="I1257" s="446" t="s">
        <v>215</v>
      </c>
      <c r="J1257" s="446" t="s">
        <v>404</v>
      </c>
      <c r="K1257" s="446" t="s">
        <v>7586</v>
      </c>
      <c r="L1257" s="450"/>
      <c r="M1257" s="450"/>
      <c r="N1257" s="450"/>
      <c r="O1257" s="450"/>
      <c r="P1257" s="450"/>
      <c r="Q1257" s="450"/>
      <c r="R1257" s="450"/>
      <c r="S1257" s="451"/>
      <c r="T1257" s="450"/>
      <c r="U1257" s="451"/>
      <c r="V1257" s="450"/>
      <c r="W1257" s="450"/>
      <c r="X1257" s="450"/>
      <c r="Y1257" s="450"/>
      <c r="Z1257" s="450"/>
    </row>
    <row r="1258" spans="1:26" x14ac:dyDescent="0.25">
      <c r="A1258" s="446" t="s">
        <v>1734</v>
      </c>
      <c r="B1258" s="446"/>
      <c r="C1258" s="446" t="s">
        <v>619</v>
      </c>
      <c r="D1258" s="446" t="s">
        <v>7587</v>
      </c>
      <c r="E1258" s="448" t="s">
        <v>7583</v>
      </c>
      <c r="F1258" s="448">
        <v>38626</v>
      </c>
      <c r="G1258" s="446" t="s">
        <v>2058</v>
      </c>
      <c r="H1258" s="446" t="s">
        <v>1729</v>
      </c>
      <c r="I1258" s="446" t="s">
        <v>215</v>
      </c>
      <c r="J1258" s="446" t="s">
        <v>404</v>
      </c>
      <c r="K1258" s="446" t="s">
        <v>7588</v>
      </c>
      <c r="L1258" s="450"/>
      <c r="M1258" s="450"/>
      <c r="N1258" s="450"/>
      <c r="O1258" s="450"/>
      <c r="P1258" s="450"/>
      <c r="Q1258" s="450"/>
      <c r="R1258" s="450"/>
      <c r="S1258" s="451"/>
      <c r="T1258" s="450"/>
      <c r="U1258" s="451"/>
      <c r="V1258" s="450"/>
      <c r="W1258" s="450"/>
      <c r="X1258" s="450"/>
      <c r="Y1258" s="450"/>
      <c r="Z1258" s="450"/>
    </row>
    <row r="1259" spans="1:26" x14ac:dyDescent="0.25">
      <c r="A1259" s="446" t="s">
        <v>1737</v>
      </c>
      <c r="B1259" s="446"/>
      <c r="C1259" s="446" t="s">
        <v>619</v>
      </c>
      <c r="D1259" s="446" t="s">
        <v>7589</v>
      </c>
      <c r="E1259" s="448" t="s">
        <v>7583</v>
      </c>
      <c r="F1259" s="448">
        <v>38626</v>
      </c>
      <c r="G1259" s="446" t="s">
        <v>2058</v>
      </c>
      <c r="H1259" s="446" t="s">
        <v>1729</v>
      </c>
      <c r="I1259" s="446" t="s">
        <v>215</v>
      </c>
      <c r="J1259" s="446" t="s">
        <v>404</v>
      </c>
      <c r="K1259" s="446" t="s">
        <v>7590</v>
      </c>
      <c r="L1259" s="450"/>
      <c r="M1259" s="450"/>
      <c r="N1259" s="450"/>
      <c r="O1259" s="450"/>
      <c r="P1259" s="450"/>
      <c r="Q1259" s="450"/>
      <c r="R1259" s="450"/>
      <c r="S1259" s="451"/>
      <c r="T1259" s="450"/>
      <c r="U1259" s="451"/>
      <c r="V1259" s="450"/>
      <c r="W1259" s="450"/>
      <c r="X1259" s="450"/>
      <c r="Y1259" s="450"/>
      <c r="Z1259" s="450"/>
    </row>
    <row r="1260" spans="1:26" x14ac:dyDescent="0.25">
      <c r="A1260" s="446" t="s">
        <v>1745</v>
      </c>
      <c r="B1260" s="446"/>
      <c r="C1260" s="446" t="s">
        <v>202</v>
      </c>
      <c r="D1260" s="446" t="s">
        <v>7591</v>
      </c>
      <c r="E1260" s="448" t="s">
        <v>7592</v>
      </c>
      <c r="F1260" s="448">
        <v>38632</v>
      </c>
      <c r="G1260" s="446" t="s">
        <v>7593</v>
      </c>
      <c r="H1260" s="446" t="s">
        <v>119</v>
      </c>
      <c r="I1260" s="446" t="s">
        <v>222</v>
      </c>
      <c r="J1260" s="446" t="s">
        <v>746</v>
      </c>
      <c r="K1260" s="446" t="s">
        <v>7594</v>
      </c>
      <c r="L1260" s="450"/>
      <c r="M1260" s="450"/>
      <c r="N1260" s="450"/>
      <c r="O1260" s="450"/>
      <c r="P1260" s="450"/>
      <c r="Q1260" s="450"/>
      <c r="R1260" s="450"/>
      <c r="S1260" s="451"/>
      <c r="T1260" s="450"/>
      <c r="U1260" s="451"/>
      <c r="V1260" s="450"/>
      <c r="W1260" s="450"/>
      <c r="X1260" s="450"/>
      <c r="Y1260" s="450"/>
      <c r="Z1260" s="450"/>
    </row>
    <row r="1261" spans="1:26" x14ac:dyDescent="0.25">
      <c r="A1261" s="446" t="s">
        <v>1718</v>
      </c>
      <c r="B1261" s="446"/>
      <c r="C1261" s="446" t="s">
        <v>619</v>
      </c>
      <c r="D1261" s="446" t="s">
        <v>7595</v>
      </c>
      <c r="E1261" s="448" t="s">
        <v>7596</v>
      </c>
      <c r="F1261" s="448">
        <v>38608</v>
      </c>
      <c r="G1261" s="446" t="s">
        <v>295</v>
      </c>
      <c r="H1261" s="446" t="s">
        <v>1720</v>
      </c>
      <c r="I1261" s="446" t="s">
        <v>6844</v>
      </c>
      <c r="J1261" s="446" t="s">
        <v>404</v>
      </c>
      <c r="K1261" s="446" t="s">
        <v>7597</v>
      </c>
      <c r="L1261" s="450"/>
      <c r="M1261" s="450"/>
      <c r="N1261" s="450"/>
      <c r="O1261" s="450"/>
      <c r="P1261" s="450"/>
      <c r="Q1261" s="450"/>
      <c r="R1261" s="450"/>
      <c r="S1261" s="451"/>
      <c r="T1261" s="450"/>
      <c r="U1261" s="451"/>
      <c r="V1261" s="450"/>
      <c r="W1261" s="450"/>
      <c r="X1261" s="450"/>
      <c r="Y1261" s="450"/>
      <c r="Z1261" s="450"/>
    </row>
    <row r="1262" spans="1:26" x14ac:dyDescent="0.25">
      <c r="A1262" s="446" t="s">
        <v>1767</v>
      </c>
      <c r="B1262" s="446"/>
      <c r="C1262" s="446" t="s">
        <v>619</v>
      </c>
      <c r="D1262" s="446" t="s">
        <v>7598</v>
      </c>
      <c r="E1262" s="448" t="s">
        <v>7596</v>
      </c>
      <c r="F1262" s="448">
        <v>38655</v>
      </c>
      <c r="G1262" s="446" t="s">
        <v>1720</v>
      </c>
      <c r="H1262" s="446" t="s">
        <v>1769</v>
      </c>
      <c r="I1262" s="446" t="s">
        <v>6844</v>
      </c>
      <c r="J1262" s="446" t="s">
        <v>404</v>
      </c>
      <c r="K1262" s="446" t="s">
        <v>7599</v>
      </c>
      <c r="L1262" s="450"/>
      <c r="M1262" s="450"/>
      <c r="N1262" s="450"/>
      <c r="O1262" s="450"/>
      <c r="P1262" s="450"/>
      <c r="Q1262" s="450"/>
      <c r="R1262" s="450"/>
      <c r="S1262" s="451"/>
      <c r="T1262" s="450"/>
      <c r="U1262" s="451"/>
      <c r="V1262" s="450"/>
      <c r="W1262" s="450"/>
      <c r="X1262" s="450"/>
      <c r="Y1262" s="450"/>
      <c r="Z1262" s="450"/>
    </row>
    <row r="1263" spans="1:26" x14ac:dyDescent="0.25">
      <c r="A1263" s="446" t="s">
        <v>1757</v>
      </c>
      <c r="B1263" s="446"/>
      <c r="C1263" s="446" t="s">
        <v>619</v>
      </c>
      <c r="D1263" s="446" t="s">
        <v>7600</v>
      </c>
      <c r="E1263" s="448" t="s">
        <v>7596</v>
      </c>
      <c r="F1263" s="448">
        <v>38650</v>
      </c>
      <c r="G1263" s="446" t="s">
        <v>1260</v>
      </c>
      <c r="H1263" s="446" t="s">
        <v>1615</v>
      </c>
      <c r="I1263" s="446" t="s">
        <v>6811</v>
      </c>
      <c r="J1263" s="446" t="s">
        <v>404</v>
      </c>
      <c r="K1263" s="446" t="s">
        <v>7601</v>
      </c>
      <c r="L1263" s="450"/>
      <c r="M1263" s="450"/>
      <c r="N1263" s="450"/>
      <c r="O1263" s="450"/>
      <c r="P1263" s="450"/>
      <c r="Q1263" s="450"/>
      <c r="R1263" s="450"/>
      <c r="S1263" s="451"/>
      <c r="T1263" s="450"/>
      <c r="U1263" s="451"/>
      <c r="V1263" s="450"/>
      <c r="W1263" s="450"/>
      <c r="X1263" s="450"/>
      <c r="Y1263" s="450"/>
      <c r="Z1263" s="450"/>
    </row>
    <row r="1264" spans="1:26" x14ac:dyDescent="0.25">
      <c r="A1264" s="446" t="s">
        <v>1771</v>
      </c>
      <c r="B1264" s="446"/>
      <c r="C1264" s="446" t="s">
        <v>1456</v>
      </c>
      <c r="D1264" s="446" t="s">
        <v>7602</v>
      </c>
      <c r="E1264" s="448" t="s">
        <v>7603</v>
      </c>
      <c r="F1264" s="448">
        <v>38657</v>
      </c>
      <c r="G1264" s="446" t="s">
        <v>7604</v>
      </c>
      <c r="H1264" s="446" t="s">
        <v>1775</v>
      </c>
      <c r="I1264" s="446" t="s">
        <v>6811</v>
      </c>
      <c r="J1264" s="446" t="s">
        <v>746</v>
      </c>
      <c r="K1264" s="446" t="s">
        <v>7605</v>
      </c>
      <c r="L1264" s="450"/>
      <c r="M1264" s="450"/>
      <c r="N1264" s="450"/>
      <c r="O1264" s="450"/>
      <c r="P1264" s="450"/>
      <c r="Q1264" s="450"/>
      <c r="R1264" s="450"/>
      <c r="S1264" s="451"/>
      <c r="T1264" s="450"/>
      <c r="U1264" s="451"/>
      <c r="V1264" s="450"/>
      <c r="W1264" s="450"/>
      <c r="X1264" s="450"/>
      <c r="Y1264" s="450"/>
      <c r="Z1264" s="450"/>
    </row>
    <row r="1265" spans="1:26" x14ac:dyDescent="0.25">
      <c r="A1265" s="446" t="s">
        <v>549</v>
      </c>
      <c r="B1265" s="446"/>
      <c r="C1265" s="446" t="s">
        <v>585</v>
      </c>
      <c r="D1265" s="446" t="s">
        <v>7606</v>
      </c>
      <c r="E1265" s="448" t="s">
        <v>7607</v>
      </c>
      <c r="F1265" s="448">
        <v>12655</v>
      </c>
      <c r="G1265" s="446" t="s">
        <v>7608</v>
      </c>
      <c r="H1265" s="446" t="s">
        <v>102</v>
      </c>
      <c r="I1265" s="446" t="s">
        <v>7609</v>
      </c>
      <c r="J1265" s="446" t="s">
        <v>4604</v>
      </c>
      <c r="K1265" s="446" t="s">
        <v>7610</v>
      </c>
      <c r="L1265" s="450"/>
      <c r="M1265" s="450"/>
      <c r="N1265" s="450"/>
      <c r="O1265" s="450"/>
      <c r="P1265" s="450"/>
      <c r="Q1265" s="450"/>
      <c r="R1265" s="450"/>
      <c r="S1265" s="451"/>
      <c r="T1265" s="450"/>
      <c r="U1265" s="451"/>
      <c r="V1265" s="450"/>
      <c r="W1265" s="450"/>
      <c r="X1265" s="450"/>
      <c r="Y1265" s="450"/>
      <c r="Z1265" s="450"/>
    </row>
    <row r="1266" spans="1:26" x14ac:dyDescent="0.25">
      <c r="A1266" s="446" t="s">
        <v>1752</v>
      </c>
      <c r="B1266" s="446">
        <v>30</v>
      </c>
      <c r="C1266" s="446" t="s">
        <v>202</v>
      </c>
      <c r="D1266" s="446" t="s">
        <v>4491</v>
      </c>
      <c r="E1266" s="448" t="s">
        <v>7611</v>
      </c>
      <c r="F1266" s="448">
        <v>38636</v>
      </c>
      <c r="G1266" s="446" t="s">
        <v>337</v>
      </c>
      <c r="H1266" s="446" t="s">
        <v>324</v>
      </c>
      <c r="I1266" s="446" t="s">
        <v>263</v>
      </c>
      <c r="J1266" s="446" t="s">
        <v>746</v>
      </c>
      <c r="K1266" s="446" t="s">
        <v>7612</v>
      </c>
      <c r="L1266" s="450"/>
      <c r="M1266" s="450"/>
      <c r="N1266" s="450"/>
      <c r="O1266" s="450"/>
      <c r="P1266" s="450"/>
      <c r="Q1266" s="450"/>
      <c r="R1266" s="450"/>
      <c r="S1266" s="451"/>
      <c r="T1266" s="450"/>
      <c r="U1266" s="451"/>
      <c r="V1266" s="450"/>
      <c r="W1266" s="450"/>
      <c r="X1266" s="450"/>
      <c r="Y1266" s="450"/>
      <c r="Z1266" s="450"/>
    </row>
    <row r="1267" spans="1:26" x14ac:dyDescent="0.25">
      <c r="A1267" s="446" t="s">
        <v>1748</v>
      </c>
      <c r="B1267" s="446">
        <v>31</v>
      </c>
      <c r="C1267" s="446" t="s">
        <v>202</v>
      </c>
      <c r="D1267" s="446" t="s">
        <v>7613</v>
      </c>
      <c r="E1267" s="448" t="s">
        <v>7611</v>
      </c>
      <c r="F1267" s="448">
        <v>38636</v>
      </c>
      <c r="G1267" s="446" t="s">
        <v>335</v>
      </c>
      <c r="H1267" s="446" t="s">
        <v>324</v>
      </c>
      <c r="I1267" s="446" t="s">
        <v>6877</v>
      </c>
      <c r="J1267" s="446" t="s">
        <v>746</v>
      </c>
      <c r="K1267" s="446" t="s">
        <v>7614</v>
      </c>
      <c r="L1267" s="450"/>
      <c r="M1267" s="450"/>
      <c r="N1267" s="450"/>
      <c r="O1267" s="450"/>
      <c r="P1267" s="450"/>
      <c r="Q1267" s="450"/>
      <c r="R1267" s="450"/>
      <c r="S1267" s="451"/>
      <c r="T1267" s="450"/>
      <c r="U1267" s="451"/>
      <c r="V1267" s="450"/>
      <c r="W1267" s="450"/>
      <c r="X1267" s="450"/>
      <c r="Y1267" s="450"/>
      <c r="Z1267" s="450"/>
    </row>
    <row r="1268" spans="1:26" x14ac:dyDescent="0.25">
      <c r="A1268" s="446" t="s">
        <v>1791</v>
      </c>
      <c r="B1268" s="446">
        <v>34</v>
      </c>
      <c r="C1268" s="446" t="s">
        <v>202</v>
      </c>
      <c r="D1268" s="446" t="s">
        <v>7615</v>
      </c>
      <c r="E1268" s="448" t="s">
        <v>7611</v>
      </c>
      <c r="F1268" s="448">
        <v>38670</v>
      </c>
      <c r="G1268" s="446" t="s">
        <v>339</v>
      </c>
      <c r="H1268" s="446" t="s">
        <v>324</v>
      </c>
      <c r="I1268" s="446" t="s">
        <v>7616</v>
      </c>
      <c r="J1268" s="446" t="s">
        <v>746</v>
      </c>
      <c r="K1268" s="446" t="s">
        <v>7617</v>
      </c>
      <c r="L1268" s="450"/>
      <c r="M1268" s="450"/>
      <c r="N1268" s="450"/>
      <c r="O1268" s="450"/>
      <c r="P1268" s="450"/>
      <c r="Q1268" s="450"/>
      <c r="R1268" s="450"/>
      <c r="S1268" s="451"/>
      <c r="T1268" s="450"/>
      <c r="U1268" s="451"/>
      <c r="V1268" s="450"/>
      <c r="W1268" s="450"/>
      <c r="X1268" s="450"/>
      <c r="Y1268" s="450"/>
      <c r="Z1268" s="450"/>
    </row>
    <row r="1269" spans="1:26" x14ac:dyDescent="0.25">
      <c r="A1269" s="446" t="s">
        <v>1776</v>
      </c>
      <c r="B1269" s="446"/>
      <c r="C1269" s="446" t="s">
        <v>202</v>
      </c>
      <c r="D1269" s="446" t="s">
        <v>7618</v>
      </c>
      <c r="E1269" s="448" t="s">
        <v>7611</v>
      </c>
      <c r="F1269" s="448">
        <v>38657</v>
      </c>
      <c r="G1269" s="446" t="s">
        <v>6058</v>
      </c>
      <c r="H1269" s="446" t="s">
        <v>324</v>
      </c>
      <c r="I1269" s="446" t="s">
        <v>321</v>
      </c>
      <c r="J1269" s="446" t="s">
        <v>746</v>
      </c>
      <c r="K1269" s="446" t="s">
        <v>7619</v>
      </c>
      <c r="L1269" s="450"/>
      <c r="M1269" s="450"/>
      <c r="N1269" s="450"/>
      <c r="O1269" s="450"/>
      <c r="P1269" s="450"/>
      <c r="Q1269" s="450"/>
      <c r="R1269" s="450"/>
      <c r="S1269" s="451"/>
      <c r="T1269" s="450"/>
      <c r="U1269" s="451"/>
      <c r="V1269" s="450"/>
      <c r="W1269" s="450"/>
      <c r="X1269" s="450"/>
      <c r="Y1269" s="450"/>
      <c r="Z1269" s="450"/>
    </row>
    <row r="1270" spans="1:26" x14ac:dyDescent="0.25">
      <c r="A1270" s="446" t="s">
        <v>1754</v>
      </c>
      <c r="B1270" s="446">
        <v>32</v>
      </c>
      <c r="C1270" s="446" t="s">
        <v>202</v>
      </c>
      <c r="D1270" s="446" t="s">
        <v>7620</v>
      </c>
      <c r="E1270" s="448" t="s">
        <v>7611</v>
      </c>
      <c r="F1270" s="448">
        <v>38637</v>
      </c>
      <c r="G1270" s="446" t="s">
        <v>3133</v>
      </c>
      <c r="H1270" s="446" t="s">
        <v>324</v>
      </c>
      <c r="I1270" s="446" t="s">
        <v>321</v>
      </c>
      <c r="J1270" s="446" t="s">
        <v>746</v>
      </c>
      <c r="K1270" s="446" t="s">
        <v>7621</v>
      </c>
      <c r="L1270" s="450"/>
      <c r="M1270" s="450"/>
      <c r="N1270" s="450"/>
      <c r="O1270" s="450"/>
      <c r="P1270" s="450"/>
      <c r="Q1270" s="450"/>
      <c r="R1270" s="450"/>
      <c r="S1270" s="451"/>
      <c r="T1270" s="450"/>
      <c r="U1270" s="451"/>
      <c r="V1270" s="450"/>
      <c r="W1270" s="450"/>
      <c r="X1270" s="450"/>
      <c r="Y1270" s="450"/>
      <c r="Z1270" s="450"/>
    </row>
    <row r="1271" spans="1:26" x14ac:dyDescent="0.25">
      <c r="A1271" s="446" t="s">
        <v>1765</v>
      </c>
      <c r="B1271" s="446"/>
      <c r="C1271" s="446" t="s">
        <v>202</v>
      </c>
      <c r="D1271" s="446" t="s">
        <v>7622</v>
      </c>
      <c r="E1271" s="448" t="s">
        <v>7611</v>
      </c>
      <c r="F1271" s="448">
        <v>38653</v>
      </c>
      <c r="G1271" s="446" t="s">
        <v>319</v>
      </c>
      <c r="H1271" s="446" t="s">
        <v>324</v>
      </c>
      <c r="I1271" s="446" t="s">
        <v>321</v>
      </c>
      <c r="J1271" s="446" t="s">
        <v>746</v>
      </c>
      <c r="K1271" s="446" t="s">
        <v>7623</v>
      </c>
      <c r="L1271" s="450"/>
      <c r="M1271" s="450"/>
      <c r="N1271" s="450"/>
      <c r="O1271" s="450"/>
      <c r="P1271" s="450"/>
      <c r="Q1271" s="450"/>
      <c r="R1271" s="450"/>
      <c r="S1271" s="451"/>
      <c r="T1271" s="450"/>
      <c r="U1271" s="451"/>
      <c r="V1271" s="450"/>
      <c r="W1271" s="450"/>
      <c r="X1271" s="450"/>
      <c r="Y1271" s="450"/>
      <c r="Z1271" s="450"/>
    </row>
    <row r="1272" spans="1:26" x14ac:dyDescent="0.25">
      <c r="A1272" s="446" t="s">
        <v>1724</v>
      </c>
      <c r="B1272" s="446">
        <v>29</v>
      </c>
      <c r="C1272" s="446" t="s">
        <v>202</v>
      </c>
      <c r="D1272" s="446" t="s">
        <v>4489</v>
      </c>
      <c r="E1272" s="448" t="s">
        <v>7624</v>
      </c>
      <c r="F1272" s="448">
        <v>38621</v>
      </c>
      <c r="G1272" s="446" t="s">
        <v>342</v>
      </c>
      <c r="H1272" s="446" t="s">
        <v>343</v>
      </c>
      <c r="I1272" s="446" t="s">
        <v>222</v>
      </c>
      <c r="J1272" s="446" t="s">
        <v>746</v>
      </c>
      <c r="K1272" s="446" t="s">
        <v>7625</v>
      </c>
      <c r="L1272" s="450"/>
      <c r="M1272" s="450"/>
      <c r="N1272" s="450"/>
      <c r="O1272" s="450"/>
      <c r="P1272" s="450"/>
      <c r="Q1272" s="450"/>
      <c r="R1272" s="450"/>
      <c r="S1272" s="451"/>
      <c r="T1272" s="450"/>
      <c r="U1272" s="451"/>
      <c r="V1272" s="450"/>
      <c r="W1272" s="450"/>
      <c r="X1272" s="450"/>
      <c r="Y1272" s="450"/>
      <c r="Z1272" s="450"/>
    </row>
    <row r="1273" spans="1:26" x14ac:dyDescent="0.25">
      <c r="A1273" s="446" t="s">
        <v>1721</v>
      </c>
      <c r="B1273" s="446"/>
      <c r="C1273" s="446" t="s">
        <v>202</v>
      </c>
      <c r="D1273" s="446" t="s">
        <v>7626</v>
      </c>
      <c r="E1273" s="448" t="s">
        <v>7624</v>
      </c>
      <c r="F1273" s="448">
        <v>38621</v>
      </c>
      <c r="G1273" s="446" t="s">
        <v>312</v>
      </c>
      <c r="H1273" s="446" t="s">
        <v>343</v>
      </c>
      <c r="I1273" s="446" t="s">
        <v>215</v>
      </c>
      <c r="J1273" s="446" t="s">
        <v>746</v>
      </c>
      <c r="K1273" s="446" t="s">
        <v>7627</v>
      </c>
      <c r="L1273" s="450"/>
      <c r="M1273" s="450"/>
      <c r="N1273" s="450"/>
      <c r="O1273" s="450"/>
      <c r="P1273" s="450"/>
      <c r="Q1273" s="450"/>
      <c r="R1273" s="450"/>
      <c r="S1273" s="451"/>
      <c r="T1273" s="450"/>
      <c r="U1273" s="451"/>
      <c r="V1273" s="450"/>
      <c r="W1273" s="450"/>
      <c r="X1273" s="450"/>
      <c r="Y1273" s="450"/>
      <c r="Z1273" s="450"/>
    </row>
    <row r="1274" spans="1:26" x14ac:dyDescent="0.25">
      <c r="A1274" s="446" t="s">
        <v>1819</v>
      </c>
      <c r="B1274" s="446"/>
      <c r="C1274" s="446" t="s">
        <v>1465</v>
      </c>
      <c r="D1274" s="446" t="s">
        <v>7628</v>
      </c>
      <c r="E1274" s="448" t="s">
        <v>7629</v>
      </c>
      <c r="F1274" s="448">
        <v>38698</v>
      </c>
      <c r="G1274" s="446" t="s">
        <v>7630</v>
      </c>
      <c r="H1274" s="446" t="s">
        <v>1822</v>
      </c>
      <c r="I1274" s="446" t="s">
        <v>6844</v>
      </c>
      <c r="J1274" s="446" t="s">
        <v>760</v>
      </c>
      <c r="K1274" s="446" t="s">
        <v>7631</v>
      </c>
      <c r="L1274" s="450"/>
      <c r="M1274" s="450"/>
      <c r="N1274" s="450"/>
      <c r="O1274" s="450"/>
      <c r="P1274" s="450"/>
      <c r="Q1274" s="450"/>
      <c r="R1274" s="450"/>
      <c r="S1274" s="451"/>
      <c r="T1274" s="450"/>
      <c r="U1274" s="451"/>
      <c r="V1274" s="450"/>
      <c r="W1274" s="450"/>
      <c r="X1274" s="450"/>
      <c r="Y1274" s="450"/>
      <c r="Z1274" s="450"/>
    </row>
    <row r="1275" spans="1:26" x14ac:dyDescent="0.25">
      <c r="A1275" s="446" t="s">
        <v>1812</v>
      </c>
      <c r="B1275" s="446"/>
      <c r="C1275" s="446" t="s">
        <v>1465</v>
      </c>
      <c r="D1275" s="446" t="s">
        <v>7632</v>
      </c>
      <c r="E1275" s="448" t="s">
        <v>7629</v>
      </c>
      <c r="F1275" s="448">
        <v>38694</v>
      </c>
      <c r="G1275" s="446" t="s">
        <v>335</v>
      </c>
      <c r="H1275" s="446" t="s">
        <v>102</v>
      </c>
      <c r="I1275" s="446" t="s">
        <v>7497</v>
      </c>
      <c r="J1275" s="446" t="s">
        <v>760</v>
      </c>
      <c r="K1275" s="446" t="s">
        <v>7633</v>
      </c>
      <c r="L1275" s="450"/>
      <c r="M1275" s="450"/>
      <c r="N1275" s="450"/>
      <c r="O1275" s="450"/>
      <c r="P1275" s="450"/>
      <c r="Q1275" s="450"/>
      <c r="R1275" s="450"/>
      <c r="S1275" s="451"/>
      <c r="T1275" s="450"/>
      <c r="U1275" s="451"/>
      <c r="V1275" s="450"/>
      <c r="W1275" s="450"/>
      <c r="X1275" s="450"/>
      <c r="Y1275" s="450"/>
      <c r="Z1275" s="450"/>
    </row>
    <row r="1276" spans="1:26" x14ac:dyDescent="0.25">
      <c r="A1276" s="446" t="s">
        <v>1824</v>
      </c>
      <c r="B1276" s="446"/>
      <c r="C1276" s="446" t="s">
        <v>1465</v>
      </c>
      <c r="D1276" s="446" t="s">
        <v>7634</v>
      </c>
      <c r="E1276" s="448" t="s">
        <v>7629</v>
      </c>
      <c r="F1276" s="448">
        <v>38699</v>
      </c>
      <c r="G1276" s="446" t="s">
        <v>7635</v>
      </c>
      <c r="H1276" s="446" t="s">
        <v>102</v>
      </c>
      <c r="I1276" s="446" t="s">
        <v>222</v>
      </c>
      <c r="J1276" s="446" t="s">
        <v>760</v>
      </c>
      <c r="K1276" s="446" t="s">
        <v>7636</v>
      </c>
      <c r="L1276" s="450"/>
      <c r="M1276" s="450"/>
      <c r="N1276" s="450"/>
      <c r="O1276" s="450"/>
      <c r="P1276" s="450"/>
      <c r="Q1276" s="450"/>
      <c r="R1276" s="450"/>
      <c r="S1276" s="451"/>
      <c r="T1276" s="450"/>
      <c r="U1276" s="451"/>
      <c r="V1276" s="450"/>
      <c r="W1276" s="450"/>
      <c r="X1276" s="450"/>
      <c r="Y1276" s="450"/>
      <c r="Z1276" s="450"/>
    </row>
    <row r="1277" spans="1:26" x14ac:dyDescent="0.25">
      <c r="A1277" s="446" t="s">
        <v>1835</v>
      </c>
      <c r="B1277" s="446">
        <v>36</v>
      </c>
      <c r="C1277" s="446" t="s">
        <v>202</v>
      </c>
      <c r="D1277" s="446" t="s">
        <v>4496</v>
      </c>
      <c r="E1277" s="448" t="s">
        <v>7637</v>
      </c>
      <c r="F1277" s="448">
        <v>38708</v>
      </c>
      <c r="G1277" s="446" t="s">
        <v>357</v>
      </c>
      <c r="H1277" s="446" t="s">
        <v>7638</v>
      </c>
      <c r="I1277" s="446" t="s">
        <v>215</v>
      </c>
      <c r="J1277" s="446" t="s">
        <v>746</v>
      </c>
      <c r="K1277" s="446" t="s">
        <v>7639</v>
      </c>
      <c r="L1277" s="450"/>
      <c r="M1277" s="450"/>
      <c r="N1277" s="450"/>
      <c r="O1277" s="450"/>
      <c r="P1277" s="450"/>
      <c r="Q1277" s="450"/>
      <c r="R1277" s="450"/>
      <c r="S1277" s="451"/>
      <c r="T1277" s="450"/>
      <c r="U1277" s="451"/>
      <c r="V1277" s="450"/>
      <c r="W1277" s="450"/>
      <c r="X1277" s="450"/>
      <c r="Y1277" s="450"/>
      <c r="Z1277" s="450"/>
    </row>
    <row r="1278" spans="1:26" x14ac:dyDescent="0.25">
      <c r="A1278" s="446" t="s">
        <v>1850</v>
      </c>
      <c r="B1278" s="446">
        <v>37</v>
      </c>
      <c r="C1278" s="446" t="s">
        <v>202</v>
      </c>
      <c r="D1278" s="446" t="s">
        <v>4497</v>
      </c>
      <c r="E1278" s="448" t="s">
        <v>7640</v>
      </c>
      <c r="F1278" s="448">
        <v>38725</v>
      </c>
      <c r="G1278" s="446" t="s">
        <v>360</v>
      </c>
      <c r="H1278" s="446" t="s">
        <v>3146</v>
      </c>
      <c r="I1278" s="446" t="s">
        <v>215</v>
      </c>
      <c r="J1278" s="446" t="s">
        <v>746</v>
      </c>
      <c r="K1278" s="446" t="s">
        <v>7641</v>
      </c>
      <c r="L1278" s="450"/>
      <c r="M1278" s="450"/>
      <c r="N1278" s="450"/>
      <c r="O1278" s="450"/>
      <c r="P1278" s="450"/>
      <c r="Q1278" s="450"/>
      <c r="R1278" s="450"/>
      <c r="S1278" s="451"/>
      <c r="T1278" s="450"/>
      <c r="U1278" s="451"/>
      <c r="V1278" s="450"/>
      <c r="W1278" s="450"/>
      <c r="X1278" s="450"/>
      <c r="Y1278" s="450"/>
      <c r="Z1278" s="450"/>
    </row>
    <row r="1279" spans="1:26" x14ac:dyDescent="0.25">
      <c r="A1279" s="446" t="s">
        <v>1855</v>
      </c>
      <c r="B1279" s="446">
        <v>38</v>
      </c>
      <c r="C1279" s="446" t="s">
        <v>202</v>
      </c>
      <c r="D1279" s="446" t="s">
        <v>4499</v>
      </c>
      <c r="E1279" s="448" t="s">
        <v>7642</v>
      </c>
      <c r="F1279" s="448">
        <v>38732</v>
      </c>
      <c r="G1279" s="446" t="s">
        <v>7643</v>
      </c>
      <c r="H1279" s="446" t="s">
        <v>3146</v>
      </c>
      <c r="I1279" s="446" t="s">
        <v>215</v>
      </c>
      <c r="J1279" s="446" t="s">
        <v>746</v>
      </c>
      <c r="K1279" s="446" t="s">
        <v>7644</v>
      </c>
      <c r="L1279" s="450"/>
      <c r="M1279" s="450"/>
      <c r="N1279" s="450"/>
      <c r="O1279" s="450"/>
      <c r="P1279" s="450"/>
      <c r="Q1279" s="450"/>
      <c r="R1279" s="450"/>
      <c r="S1279" s="451"/>
      <c r="T1279" s="450"/>
      <c r="U1279" s="451"/>
      <c r="V1279" s="450"/>
      <c r="W1279" s="450"/>
      <c r="X1279" s="450"/>
      <c r="Y1279" s="450"/>
      <c r="Z1279" s="450"/>
    </row>
    <row r="1280" spans="1:26" x14ac:dyDescent="0.25">
      <c r="A1280" s="446" t="s">
        <v>1847</v>
      </c>
      <c r="B1280" s="446"/>
      <c r="C1280" s="446" t="s">
        <v>1456</v>
      </c>
      <c r="D1280" s="446" t="s">
        <v>7645</v>
      </c>
      <c r="E1280" s="448" t="s">
        <v>7646</v>
      </c>
      <c r="F1280" s="448">
        <v>38723</v>
      </c>
      <c r="G1280" s="446" t="s">
        <v>237</v>
      </c>
      <c r="H1280" s="446" t="s">
        <v>1573</v>
      </c>
      <c r="I1280" s="446" t="s">
        <v>6877</v>
      </c>
      <c r="J1280" s="446" t="s">
        <v>746</v>
      </c>
      <c r="K1280" s="446" t="s">
        <v>7647</v>
      </c>
      <c r="L1280" s="450"/>
      <c r="M1280" s="450"/>
      <c r="N1280" s="450"/>
      <c r="O1280" s="450"/>
      <c r="P1280" s="450"/>
      <c r="Q1280" s="450"/>
      <c r="R1280" s="450"/>
      <c r="S1280" s="451"/>
      <c r="T1280" s="450"/>
      <c r="U1280" s="451"/>
      <c r="V1280" s="450"/>
      <c r="W1280" s="450"/>
      <c r="X1280" s="450"/>
      <c r="Y1280" s="450"/>
      <c r="Z1280" s="450"/>
    </row>
    <row r="1281" spans="1:26" x14ac:dyDescent="0.25">
      <c r="A1281" s="446" t="s">
        <v>1793</v>
      </c>
      <c r="B1281" s="446"/>
      <c r="C1281" s="446" t="s">
        <v>1456</v>
      </c>
      <c r="D1281" s="446" t="s">
        <v>7648</v>
      </c>
      <c r="E1281" s="448" t="s">
        <v>7646</v>
      </c>
      <c r="F1281" s="448">
        <v>38677</v>
      </c>
      <c r="G1281" s="446" t="s">
        <v>324</v>
      </c>
      <c r="H1281" s="446" t="s">
        <v>1573</v>
      </c>
      <c r="I1281" s="446" t="s">
        <v>263</v>
      </c>
      <c r="J1281" s="446" t="s">
        <v>746</v>
      </c>
      <c r="K1281" s="446" t="s">
        <v>7649</v>
      </c>
      <c r="L1281" s="450"/>
      <c r="M1281" s="450"/>
      <c r="N1281" s="450"/>
      <c r="O1281" s="450"/>
      <c r="P1281" s="450"/>
      <c r="Q1281" s="450"/>
      <c r="R1281" s="450"/>
      <c r="S1281" s="451"/>
      <c r="T1281" s="450"/>
      <c r="U1281" s="451"/>
      <c r="V1281" s="450"/>
      <c r="W1281" s="450"/>
      <c r="X1281" s="450"/>
      <c r="Y1281" s="450"/>
      <c r="Z1281" s="450"/>
    </row>
    <row r="1282" spans="1:26" x14ac:dyDescent="0.25">
      <c r="A1282" s="446" t="s">
        <v>1759</v>
      </c>
      <c r="B1282" s="446"/>
      <c r="C1282" s="446" t="s">
        <v>1456</v>
      </c>
      <c r="D1282" s="446" t="s">
        <v>7650</v>
      </c>
      <c r="E1282" s="448" t="s">
        <v>7646</v>
      </c>
      <c r="F1282" s="448">
        <v>38651</v>
      </c>
      <c r="G1282" s="446" t="s">
        <v>324</v>
      </c>
      <c r="H1282" s="446" t="s">
        <v>1573</v>
      </c>
      <c r="I1282" s="446" t="s">
        <v>7497</v>
      </c>
      <c r="J1282" s="446" t="s">
        <v>746</v>
      </c>
      <c r="K1282" s="446" t="s">
        <v>7651</v>
      </c>
      <c r="L1282" s="450"/>
      <c r="M1282" s="450"/>
      <c r="N1282" s="450"/>
      <c r="O1282" s="450"/>
      <c r="P1282" s="450"/>
      <c r="Q1282" s="450"/>
      <c r="R1282" s="450"/>
      <c r="S1282" s="451"/>
      <c r="T1282" s="450"/>
      <c r="U1282" s="451"/>
      <c r="V1282" s="450"/>
      <c r="W1282" s="450"/>
      <c r="X1282" s="450"/>
      <c r="Y1282" s="450"/>
      <c r="Z1282" s="450"/>
    </row>
    <row r="1283" spans="1:26" x14ac:dyDescent="0.25">
      <c r="A1283" s="446" t="s">
        <v>1798</v>
      </c>
      <c r="B1283" s="446"/>
      <c r="C1283" s="446" t="s">
        <v>1456</v>
      </c>
      <c r="D1283" s="446" t="s">
        <v>7652</v>
      </c>
      <c r="E1283" s="448" t="s">
        <v>7646</v>
      </c>
      <c r="F1283" s="448">
        <v>38686</v>
      </c>
      <c r="G1283" s="446" t="s">
        <v>324</v>
      </c>
      <c r="H1283" s="446" t="s">
        <v>1573</v>
      </c>
      <c r="I1283" s="446" t="s">
        <v>7653</v>
      </c>
      <c r="J1283" s="446" t="s">
        <v>746</v>
      </c>
      <c r="K1283" s="446" t="s">
        <v>7654</v>
      </c>
      <c r="L1283" s="450"/>
      <c r="M1283" s="450"/>
      <c r="N1283" s="450"/>
      <c r="O1283" s="450"/>
      <c r="P1283" s="450"/>
      <c r="Q1283" s="450"/>
      <c r="R1283" s="450"/>
      <c r="S1283" s="451"/>
      <c r="T1283" s="450"/>
      <c r="U1283" s="451"/>
      <c r="V1283" s="450"/>
      <c r="W1283" s="450"/>
      <c r="X1283" s="450"/>
      <c r="Y1283" s="450"/>
      <c r="Z1283" s="450"/>
    </row>
    <row r="1284" spans="1:26" x14ac:dyDescent="0.25">
      <c r="A1284" s="446" t="s">
        <v>1784</v>
      </c>
      <c r="B1284" s="446"/>
      <c r="C1284" s="446" t="s">
        <v>1456</v>
      </c>
      <c r="D1284" s="446" t="s">
        <v>7655</v>
      </c>
      <c r="E1284" s="448" t="s">
        <v>7646</v>
      </c>
      <c r="F1284" s="448">
        <v>38666</v>
      </c>
      <c r="G1284" s="446" t="s">
        <v>324</v>
      </c>
      <c r="H1284" s="446" t="s">
        <v>7656</v>
      </c>
      <c r="I1284" s="446" t="s">
        <v>321</v>
      </c>
      <c r="J1284" s="446" t="s">
        <v>746</v>
      </c>
      <c r="K1284" s="446" t="s">
        <v>7657</v>
      </c>
      <c r="L1284" s="450"/>
      <c r="M1284" s="450"/>
      <c r="N1284" s="450"/>
      <c r="O1284" s="450"/>
      <c r="P1284" s="450"/>
      <c r="Q1284" s="450"/>
      <c r="R1284" s="450"/>
      <c r="S1284" s="451"/>
      <c r="T1284" s="450"/>
      <c r="U1284" s="451"/>
      <c r="V1284" s="450"/>
      <c r="W1284" s="450"/>
      <c r="X1284" s="450"/>
      <c r="Y1284" s="450"/>
      <c r="Z1284" s="450"/>
    </row>
    <row r="1285" spans="1:26" x14ac:dyDescent="0.25">
      <c r="A1285" s="446" t="s">
        <v>1788</v>
      </c>
      <c r="B1285" s="446"/>
      <c r="C1285" s="446" t="s">
        <v>1456</v>
      </c>
      <c r="D1285" s="446" t="s">
        <v>7658</v>
      </c>
      <c r="E1285" s="448" t="s">
        <v>7646</v>
      </c>
      <c r="F1285" s="448">
        <v>38666</v>
      </c>
      <c r="G1285" s="446" t="s">
        <v>324</v>
      </c>
      <c r="H1285" s="446" t="s">
        <v>1573</v>
      </c>
      <c r="I1285" s="446" t="s">
        <v>321</v>
      </c>
      <c r="J1285" s="446" t="s">
        <v>746</v>
      </c>
      <c r="K1285" s="446" t="s">
        <v>7659</v>
      </c>
      <c r="L1285" s="450"/>
      <c r="M1285" s="450"/>
      <c r="N1285" s="450"/>
      <c r="O1285" s="450"/>
      <c r="P1285" s="450"/>
      <c r="Q1285" s="450"/>
      <c r="R1285" s="450"/>
      <c r="S1285" s="451"/>
      <c r="T1285" s="450"/>
      <c r="U1285" s="451"/>
      <c r="V1285" s="450"/>
      <c r="W1285" s="450"/>
      <c r="X1285" s="450"/>
      <c r="Y1285" s="450"/>
      <c r="Z1285" s="450"/>
    </row>
    <row r="1286" spans="1:26" x14ac:dyDescent="0.25">
      <c r="A1286" s="446" t="s">
        <v>1852</v>
      </c>
      <c r="B1286" s="446"/>
      <c r="C1286" s="446" t="s">
        <v>1902</v>
      </c>
      <c r="D1286" s="446" t="s">
        <v>7660</v>
      </c>
      <c r="E1286" s="448" t="s">
        <v>7661</v>
      </c>
      <c r="F1286" s="448">
        <v>38733</v>
      </c>
      <c r="G1286" s="446" t="s">
        <v>114</v>
      </c>
      <c r="H1286" s="446" t="s">
        <v>7542</v>
      </c>
      <c r="I1286" s="446" t="s">
        <v>263</v>
      </c>
      <c r="J1286" s="446" t="s">
        <v>760</v>
      </c>
      <c r="K1286" s="446" t="s">
        <v>7662</v>
      </c>
      <c r="L1286" s="450"/>
      <c r="M1286" s="450"/>
      <c r="N1286" s="450"/>
      <c r="O1286" s="450"/>
      <c r="P1286" s="450"/>
      <c r="Q1286" s="450"/>
      <c r="R1286" s="450"/>
      <c r="S1286" s="451"/>
      <c r="T1286" s="450"/>
      <c r="U1286" s="451"/>
      <c r="V1286" s="450"/>
      <c r="W1286" s="450"/>
      <c r="X1286" s="450"/>
      <c r="Y1286" s="450"/>
      <c r="Z1286" s="450"/>
    </row>
    <row r="1287" spans="1:26" x14ac:dyDescent="0.25">
      <c r="A1287" s="446" t="s">
        <v>1810</v>
      </c>
      <c r="B1287" s="446">
        <v>35</v>
      </c>
      <c r="C1287" s="446" t="s">
        <v>202</v>
      </c>
      <c r="D1287" s="446" t="s">
        <v>7663</v>
      </c>
      <c r="E1287" s="448" t="s">
        <v>7664</v>
      </c>
      <c r="F1287" s="448">
        <v>38693</v>
      </c>
      <c r="G1287" s="446" t="s">
        <v>370</v>
      </c>
      <c r="H1287" s="446" t="s">
        <v>324</v>
      </c>
      <c r="I1287" s="446" t="s">
        <v>332</v>
      </c>
      <c r="J1287" s="446" t="s">
        <v>746</v>
      </c>
      <c r="K1287" s="446" t="s">
        <v>7665</v>
      </c>
      <c r="L1287" s="450"/>
      <c r="M1287" s="450"/>
      <c r="N1287" s="450"/>
      <c r="O1287" s="450"/>
      <c r="P1287" s="450"/>
      <c r="Q1287" s="450"/>
      <c r="R1287" s="450"/>
      <c r="S1287" s="451"/>
      <c r="T1287" s="450"/>
      <c r="U1287" s="451"/>
      <c r="V1287" s="450"/>
      <c r="W1287" s="450"/>
      <c r="X1287" s="450"/>
      <c r="Y1287" s="450"/>
      <c r="Z1287" s="450"/>
    </row>
    <row r="1288" spans="1:26" x14ac:dyDescent="0.25">
      <c r="A1288" s="446" t="s">
        <v>1777</v>
      </c>
      <c r="B1288" s="446">
        <v>33</v>
      </c>
      <c r="C1288" s="446" t="s">
        <v>202</v>
      </c>
      <c r="D1288" s="446" t="s">
        <v>4494</v>
      </c>
      <c r="E1288" s="448" t="s">
        <v>7664</v>
      </c>
      <c r="F1288" s="448">
        <v>38657</v>
      </c>
      <c r="G1288" s="446" t="s">
        <v>368</v>
      </c>
      <c r="H1288" s="446" t="s">
        <v>324</v>
      </c>
      <c r="I1288" s="446" t="s">
        <v>321</v>
      </c>
      <c r="J1288" s="446" t="s">
        <v>746</v>
      </c>
      <c r="K1288" s="446" t="s">
        <v>7666</v>
      </c>
      <c r="L1288" s="450"/>
      <c r="M1288" s="450"/>
      <c r="N1288" s="450"/>
      <c r="O1288" s="450"/>
      <c r="P1288" s="450"/>
      <c r="Q1288" s="450"/>
      <c r="R1288" s="450"/>
      <c r="S1288" s="451"/>
      <c r="T1288" s="450"/>
      <c r="U1288" s="451"/>
      <c r="V1288" s="450"/>
      <c r="W1288" s="450"/>
      <c r="X1288" s="450"/>
      <c r="Y1288" s="450"/>
      <c r="Z1288" s="450"/>
    </row>
    <row r="1289" spans="1:26" x14ac:dyDescent="0.25">
      <c r="A1289" s="446" t="s">
        <v>1782</v>
      </c>
      <c r="B1289" s="446"/>
      <c r="C1289" s="446" t="s">
        <v>202</v>
      </c>
      <c r="D1289" s="446" t="s">
        <v>7667</v>
      </c>
      <c r="E1289" s="448" t="s">
        <v>7664</v>
      </c>
      <c r="F1289" s="448">
        <v>38657</v>
      </c>
      <c r="G1289" s="446" t="s">
        <v>327</v>
      </c>
      <c r="H1289" s="446" t="s">
        <v>324</v>
      </c>
      <c r="I1289" s="446" t="s">
        <v>321</v>
      </c>
      <c r="J1289" s="446" t="s">
        <v>746</v>
      </c>
      <c r="K1289" s="446" t="s">
        <v>7668</v>
      </c>
      <c r="L1289" s="450"/>
      <c r="M1289" s="450"/>
      <c r="N1289" s="450"/>
      <c r="O1289" s="450"/>
      <c r="P1289" s="450"/>
      <c r="Q1289" s="450"/>
      <c r="R1289" s="450"/>
      <c r="S1289" s="451"/>
      <c r="T1289" s="450"/>
      <c r="U1289" s="451"/>
      <c r="V1289" s="450"/>
      <c r="W1289" s="450"/>
      <c r="X1289" s="450"/>
      <c r="Y1289" s="450"/>
      <c r="Z1289" s="450"/>
    </row>
    <row r="1290" spans="1:26" x14ac:dyDescent="0.25">
      <c r="A1290" s="446" t="s">
        <v>1796</v>
      </c>
      <c r="B1290" s="446"/>
      <c r="C1290" s="446" t="s">
        <v>202</v>
      </c>
      <c r="D1290" s="446" t="s">
        <v>7669</v>
      </c>
      <c r="E1290" s="448" t="s">
        <v>7664</v>
      </c>
      <c r="F1290" s="448">
        <v>38677</v>
      </c>
      <c r="G1290" s="446" t="s">
        <v>331</v>
      </c>
      <c r="H1290" s="446" t="s">
        <v>324</v>
      </c>
      <c r="I1290" s="446" t="s">
        <v>332</v>
      </c>
      <c r="J1290" s="446" t="s">
        <v>746</v>
      </c>
      <c r="K1290" s="446" t="s">
        <v>7670</v>
      </c>
      <c r="L1290" s="450"/>
      <c r="M1290" s="450"/>
      <c r="N1290" s="450"/>
      <c r="O1290" s="450"/>
      <c r="P1290" s="450"/>
      <c r="Q1290" s="450"/>
      <c r="R1290" s="450"/>
      <c r="S1290" s="451"/>
      <c r="T1290" s="450"/>
      <c r="U1290" s="451"/>
      <c r="V1290" s="450"/>
      <c r="W1290" s="450"/>
      <c r="X1290" s="450"/>
      <c r="Y1290" s="450"/>
      <c r="Z1290" s="450"/>
    </row>
    <row r="1291" spans="1:26" x14ac:dyDescent="0.25">
      <c r="A1291" s="446" t="s">
        <v>1780</v>
      </c>
      <c r="B1291" s="446"/>
      <c r="C1291" s="446" t="s">
        <v>202</v>
      </c>
      <c r="D1291" s="446" t="s">
        <v>7671</v>
      </c>
      <c r="E1291" s="448" t="s">
        <v>7664</v>
      </c>
      <c r="F1291" s="448">
        <v>38657</v>
      </c>
      <c r="G1291" s="446" t="s">
        <v>329</v>
      </c>
      <c r="H1291" s="446" t="s">
        <v>324</v>
      </c>
      <c r="I1291" s="446" t="s">
        <v>321</v>
      </c>
      <c r="J1291" s="446" t="s">
        <v>746</v>
      </c>
      <c r="K1291" s="446" t="s">
        <v>7672</v>
      </c>
      <c r="L1291" s="450"/>
      <c r="M1291" s="450"/>
      <c r="N1291" s="450"/>
      <c r="O1291" s="450"/>
      <c r="P1291" s="450"/>
      <c r="Q1291" s="450"/>
      <c r="R1291" s="450"/>
      <c r="S1291" s="451"/>
      <c r="T1291" s="450"/>
      <c r="U1291" s="451"/>
      <c r="V1291" s="450"/>
      <c r="W1291" s="450"/>
      <c r="X1291" s="450"/>
      <c r="Y1291" s="450"/>
      <c r="Z1291" s="450"/>
    </row>
    <row r="1292" spans="1:26" x14ac:dyDescent="0.25">
      <c r="A1292" s="446" t="s">
        <v>1512</v>
      </c>
      <c r="B1292" s="446"/>
      <c r="C1292" s="446" t="s">
        <v>202</v>
      </c>
      <c r="D1292" s="446" t="s">
        <v>7673</v>
      </c>
      <c r="E1292" s="448" t="s">
        <v>7674</v>
      </c>
      <c r="F1292" s="448">
        <v>38001</v>
      </c>
      <c r="G1292" s="446" t="s">
        <v>214</v>
      </c>
      <c r="H1292" s="446" t="s">
        <v>205</v>
      </c>
      <c r="I1292" s="446" t="s">
        <v>215</v>
      </c>
      <c r="J1292" s="446" t="s">
        <v>746</v>
      </c>
      <c r="K1292" s="446" t="s">
        <v>7675</v>
      </c>
      <c r="L1292" s="450"/>
      <c r="M1292" s="450"/>
      <c r="N1292" s="450"/>
      <c r="O1292" s="450"/>
      <c r="P1292" s="450"/>
      <c r="Q1292" s="450"/>
      <c r="R1292" s="450"/>
      <c r="S1292" s="451"/>
      <c r="T1292" s="450"/>
      <c r="U1292" s="451"/>
      <c r="V1292" s="450"/>
      <c r="W1292" s="450"/>
      <c r="X1292" s="450"/>
      <c r="Y1292" s="450"/>
      <c r="Z1292" s="450"/>
    </row>
    <row r="1293" spans="1:26" x14ac:dyDescent="0.25">
      <c r="A1293" s="446" t="s">
        <v>1865</v>
      </c>
      <c r="B1293" s="446"/>
      <c r="C1293" s="446" t="s">
        <v>1456</v>
      </c>
      <c r="D1293" s="446" t="s">
        <v>7676</v>
      </c>
      <c r="E1293" s="448" t="s">
        <v>7677</v>
      </c>
      <c r="F1293" s="448">
        <v>38748</v>
      </c>
      <c r="G1293" s="446" t="s">
        <v>343</v>
      </c>
      <c r="H1293" s="446" t="s">
        <v>7678</v>
      </c>
      <c r="I1293" s="446" t="s">
        <v>1868</v>
      </c>
      <c r="J1293" s="446" t="s">
        <v>746</v>
      </c>
      <c r="K1293" s="446" t="s">
        <v>7679</v>
      </c>
      <c r="L1293" s="450"/>
      <c r="M1293" s="450"/>
      <c r="N1293" s="450"/>
      <c r="O1293" s="450"/>
      <c r="P1293" s="450"/>
      <c r="Q1293" s="450"/>
      <c r="R1293" s="450"/>
      <c r="S1293" s="451"/>
      <c r="T1293" s="450"/>
      <c r="U1293" s="451"/>
      <c r="V1293" s="450"/>
      <c r="W1293" s="450"/>
      <c r="X1293" s="450"/>
      <c r="Y1293" s="450"/>
      <c r="Z1293" s="450"/>
    </row>
    <row r="1294" spans="1:26" x14ac:dyDescent="0.25">
      <c r="A1294" s="446" t="s">
        <v>1844</v>
      </c>
      <c r="B1294" s="446"/>
      <c r="C1294" s="446" t="s">
        <v>202</v>
      </c>
      <c r="D1294" s="446" t="s">
        <v>7680</v>
      </c>
      <c r="E1294" s="448" t="s">
        <v>7681</v>
      </c>
      <c r="F1294" s="448">
        <v>38720</v>
      </c>
      <c r="G1294" s="446" t="s">
        <v>7682</v>
      </c>
      <c r="H1294" s="446" t="s">
        <v>324</v>
      </c>
      <c r="I1294" s="446" t="s">
        <v>222</v>
      </c>
      <c r="J1294" s="446" t="s">
        <v>746</v>
      </c>
      <c r="K1294" s="446" t="s">
        <v>7683</v>
      </c>
      <c r="L1294" s="450"/>
      <c r="M1294" s="450"/>
      <c r="N1294" s="450"/>
      <c r="O1294" s="450"/>
      <c r="P1294" s="450"/>
      <c r="Q1294" s="450"/>
      <c r="R1294" s="450"/>
      <c r="S1294" s="451"/>
      <c r="T1294" s="450"/>
      <c r="U1294" s="451"/>
      <c r="V1294" s="450"/>
      <c r="W1294" s="450"/>
      <c r="X1294" s="450"/>
      <c r="Y1294" s="450"/>
      <c r="Z1294" s="450"/>
    </row>
    <row r="1295" spans="1:26" x14ac:dyDescent="0.25">
      <c r="A1295" s="446" t="s">
        <v>1859</v>
      </c>
      <c r="B1295" s="446"/>
      <c r="C1295" s="446" t="s">
        <v>1456</v>
      </c>
      <c r="D1295" s="446" t="s">
        <v>7684</v>
      </c>
      <c r="E1295" s="448" t="s">
        <v>7685</v>
      </c>
      <c r="F1295" s="448">
        <v>38737</v>
      </c>
      <c r="G1295" s="446" t="s">
        <v>7686</v>
      </c>
      <c r="H1295" s="446" t="s">
        <v>1573</v>
      </c>
      <c r="I1295" s="446" t="s">
        <v>332</v>
      </c>
      <c r="J1295" s="446" t="s">
        <v>746</v>
      </c>
      <c r="K1295" s="446" t="s">
        <v>7687</v>
      </c>
      <c r="L1295" s="450"/>
      <c r="M1295" s="450"/>
      <c r="N1295" s="450"/>
      <c r="O1295" s="450"/>
      <c r="P1295" s="450"/>
      <c r="Q1295" s="450"/>
      <c r="R1295" s="450"/>
      <c r="S1295" s="451"/>
      <c r="T1295" s="450"/>
      <c r="U1295" s="451"/>
      <c r="V1295" s="450"/>
      <c r="W1295" s="450"/>
      <c r="X1295" s="450"/>
      <c r="Y1295" s="450"/>
      <c r="Z1295" s="450"/>
    </row>
    <row r="1296" spans="1:26" x14ac:dyDescent="0.25">
      <c r="A1296" s="446" t="s">
        <v>1881</v>
      </c>
      <c r="B1296" s="446"/>
      <c r="C1296" s="446" t="s">
        <v>202</v>
      </c>
      <c r="D1296" s="446" t="s">
        <v>4501</v>
      </c>
      <c r="E1296" s="448" t="s">
        <v>7688</v>
      </c>
      <c r="F1296" s="448">
        <v>38760</v>
      </c>
      <c r="G1296" s="446" t="s">
        <v>372</v>
      </c>
      <c r="H1296" s="446" t="s">
        <v>3146</v>
      </c>
      <c r="I1296" s="446" t="s">
        <v>222</v>
      </c>
      <c r="J1296" s="446" t="s">
        <v>746</v>
      </c>
      <c r="K1296" s="446" t="s">
        <v>7689</v>
      </c>
      <c r="L1296" s="450"/>
      <c r="M1296" s="450"/>
      <c r="N1296" s="450"/>
      <c r="O1296" s="450"/>
      <c r="P1296" s="450"/>
      <c r="Q1296" s="450"/>
      <c r="R1296" s="450"/>
      <c r="S1296" s="451"/>
      <c r="T1296" s="450"/>
      <c r="U1296" s="451"/>
      <c r="V1296" s="450"/>
      <c r="W1296" s="450"/>
      <c r="X1296" s="450"/>
      <c r="Y1296" s="450"/>
      <c r="Z1296" s="450"/>
    </row>
    <row r="1297" spans="1:26" x14ac:dyDescent="0.25">
      <c r="A1297" s="446" t="s">
        <v>1871</v>
      </c>
      <c r="B1297" s="446"/>
      <c r="C1297" s="446" t="s">
        <v>1456</v>
      </c>
      <c r="D1297" s="446" t="s">
        <v>7690</v>
      </c>
      <c r="E1297" s="448" t="s">
        <v>7691</v>
      </c>
      <c r="F1297" s="448">
        <v>38757</v>
      </c>
      <c r="G1297" s="446" t="s">
        <v>1529</v>
      </c>
      <c r="H1297" s="446" t="s">
        <v>262</v>
      </c>
      <c r="I1297" s="446" t="s">
        <v>215</v>
      </c>
      <c r="J1297" s="446" t="s">
        <v>746</v>
      </c>
      <c r="K1297" s="446" t="s">
        <v>7692</v>
      </c>
      <c r="L1297" s="450"/>
      <c r="M1297" s="450"/>
      <c r="N1297" s="450"/>
      <c r="O1297" s="450"/>
      <c r="P1297" s="450"/>
      <c r="Q1297" s="450"/>
      <c r="R1297" s="450"/>
      <c r="S1297" s="451"/>
      <c r="T1297" s="450"/>
      <c r="U1297" s="451"/>
      <c r="V1297" s="450"/>
      <c r="W1297" s="450"/>
      <c r="X1297" s="450"/>
      <c r="Y1297" s="450"/>
      <c r="Z1297" s="450"/>
    </row>
    <row r="1298" spans="1:26" x14ac:dyDescent="0.25">
      <c r="A1298" s="446" t="s">
        <v>1801</v>
      </c>
      <c r="B1298" s="446"/>
      <c r="C1298" s="446" t="s">
        <v>1456</v>
      </c>
      <c r="D1298" s="446" t="s">
        <v>7693</v>
      </c>
      <c r="E1298" s="448" t="s">
        <v>7694</v>
      </c>
      <c r="F1298" s="448">
        <v>38687</v>
      </c>
      <c r="G1298" s="446" t="s">
        <v>7686</v>
      </c>
      <c r="H1298" s="446" t="s">
        <v>7695</v>
      </c>
      <c r="I1298" s="446" t="s">
        <v>7696</v>
      </c>
      <c r="J1298" s="446" t="s">
        <v>746</v>
      </c>
      <c r="K1298" s="446" t="s">
        <v>7697</v>
      </c>
      <c r="L1298" s="450"/>
      <c r="M1298" s="450"/>
      <c r="N1298" s="450"/>
      <c r="O1298" s="450"/>
      <c r="P1298" s="450"/>
      <c r="Q1298" s="450"/>
      <c r="R1298" s="450"/>
      <c r="S1298" s="451"/>
      <c r="T1298" s="450"/>
      <c r="U1298" s="451"/>
      <c r="V1298" s="450"/>
      <c r="W1298" s="450"/>
      <c r="X1298" s="450"/>
      <c r="Y1298" s="450"/>
      <c r="Z1298" s="450"/>
    </row>
    <row r="1299" spans="1:26" x14ac:dyDescent="0.25">
      <c r="A1299" s="446" t="s">
        <v>1804</v>
      </c>
      <c r="B1299" s="446"/>
      <c r="C1299" s="446" t="s">
        <v>1456</v>
      </c>
      <c r="D1299" s="446" t="s">
        <v>7698</v>
      </c>
      <c r="E1299" s="448" t="s">
        <v>7694</v>
      </c>
      <c r="F1299" s="448">
        <v>38687</v>
      </c>
      <c r="G1299" s="446" t="s">
        <v>7686</v>
      </c>
      <c r="H1299" s="446" t="s">
        <v>7695</v>
      </c>
      <c r="I1299" s="446" t="s">
        <v>7696</v>
      </c>
      <c r="J1299" s="446" t="s">
        <v>746</v>
      </c>
      <c r="K1299" s="446" t="s">
        <v>7699</v>
      </c>
      <c r="L1299" s="450"/>
      <c r="M1299" s="450"/>
      <c r="N1299" s="450"/>
      <c r="O1299" s="450"/>
      <c r="P1299" s="450"/>
      <c r="Q1299" s="450"/>
      <c r="R1299" s="450"/>
      <c r="S1299" s="451"/>
      <c r="T1299" s="450"/>
      <c r="U1299" s="451"/>
      <c r="V1299" s="450"/>
      <c r="W1299" s="450"/>
      <c r="X1299" s="450"/>
      <c r="Y1299" s="450"/>
      <c r="Z1299" s="450"/>
    </row>
    <row r="1300" spans="1:26" x14ac:dyDescent="0.25">
      <c r="A1300" s="446" t="s">
        <v>1832</v>
      </c>
      <c r="B1300" s="446"/>
      <c r="C1300" s="446" t="s">
        <v>1456</v>
      </c>
      <c r="D1300" s="446" t="s">
        <v>7700</v>
      </c>
      <c r="E1300" s="448" t="s">
        <v>7694</v>
      </c>
      <c r="F1300" s="448">
        <v>38702</v>
      </c>
      <c r="G1300" s="446" t="s">
        <v>7686</v>
      </c>
      <c r="H1300" s="446" t="s">
        <v>7695</v>
      </c>
      <c r="I1300" s="446" t="s">
        <v>332</v>
      </c>
      <c r="J1300" s="446" t="s">
        <v>746</v>
      </c>
      <c r="K1300" s="446" t="s">
        <v>7701</v>
      </c>
      <c r="L1300" s="450"/>
      <c r="M1300" s="450"/>
      <c r="N1300" s="450"/>
      <c r="O1300" s="450"/>
      <c r="P1300" s="450"/>
      <c r="Q1300" s="450"/>
      <c r="R1300" s="450"/>
      <c r="S1300" s="451"/>
      <c r="T1300" s="450"/>
      <c r="U1300" s="451"/>
      <c r="V1300" s="450"/>
      <c r="W1300" s="450"/>
      <c r="X1300" s="450"/>
      <c r="Y1300" s="450"/>
      <c r="Z1300" s="450"/>
    </row>
    <row r="1301" spans="1:26" x14ac:dyDescent="0.25">
      <c r="A1301" s="446" t="s">
        <v>1807</v>
      </c>
      <c r="B1301" s="446"/>
      <c r="C1301" s="446" t="s">
        <v>521</v>
      </c>
      <c r="D1301" s="446" t="s">
        <v>7702</v>
      </c>
      <c r="E1301" s="448" t="s">
        <v>7703</v>
      </c>
      <c r="F1301" s="448">
        <v>38691</v>
      </c>
      <c r="G1301" s="446" t="s">
        <v>331</v>
      </c>
      <c r="H1301" s="446" t="s">
        <v>7686</v>
      </c>
      <c r="I1301" s="446" t="s">
        <v>231</v>
      </c>
      <c r="J1301" s="446" t="s">
        <v>760</v>
      </c>
      <c r="K1301" s="446" t="s">
        <v>7704</v>
      </c>
      <c r="L1301" s="450"/>
      <c r="M1301" s="450"/>
      <c r="N1301" s="450"/>
      <c r="O1301" s="450"/>
      <c r="P1301" s="450"/>
      <c r="Q1301" s="450"/>
      <c r="R1301" s="450"/>
      <c r="S1301" s="451"/>
      <c r="T1301" s="450"/>
      <c r="U1301" s="451"/>
      <c r="V1301" s="450"/>
      <c r="W1301" s="450"/>
      <c r="X1301" s="450"/>
      <c r="Y1301" s="450"/>
      <c r="Z1301" s="450"/>
    </row>
    <row r="1302" spans="1:26" x14ac:dyDescent="0.25">
      <c r="A1302" s="446" t="s">
        <v>1862</v>
      </c>
      <c r="B1302" s="446"/>
      <c r="C1302" s="446" t="s">
        <v>7705</v>
      </c>
      <c r="D1302" s="446" t="s">
        <v>7706</v>
      </c>
      <c r="E1302" s="448" t="s">
        <v>7707</v>
      </c>
      <c r="F1302" s="448">
        <v>38748</v>
      </c>
      <c r="G1302" s="446" t="s">
        <v>119</v>
      </c>
      <c r="H1302" s="446" t="s">
        <v>7708</v>
      </c>
      <c r="I1302" s="446" t="s">
        <v>222</v>
      </c>
      <c r="J1302" s="446" t="s">
        <v>746</v>
      </c>
      <c r="K1302" s="446" t="s">
        <v>7709</v>
      </c>
      <c r="L1302" s="450"/>
      <c r="M1302" s="450"/>
      <c r="N1302" s="450"/>
      <c r="O1302" s="450"/>
      <c r="P1302" s="450"/>
      <c r="Q1302" s="450"/>
      <c r="R1302" s="450"/>
      <c r="S1302" s="451"/>
      <c r="T1302" s="450"/>
      <c r="U1302" s="451"/>
      <c r="V1302" s="450"/>
      <c r="W1302" s="450"/>
      <c r="X1302" s="450"/>
      <c r="Y1302" s="450"/>
      <c r="Z1302" s="450"/>
    </row>
    <row r="1303" spans="1:26" x14ac:dyDescent="0.25">
      <c r="A1303" s="446" t="s">
        <v>1891</v>
      </c>
      <c r="B1303" s="446"/>
      <c r="C1303" s="446" t="s">
        <v>1690</v>
      </c>
      <c r="D1303" s="446" t="s">
        <v>7710</v>
      </c>
      <c r="E1303" s="448" t="s">
        <v>7711</v>
      </c>
      <c r="F1303" s="448">
        <v>38798</v>
      </c>
      <c r="G1303" s="446" t="s">
        <v>262</v>
      </c>
      <c r="H1303" s="446" t="s">
        <v>7712</v>
      </c>
      <c r="I1303" s="446" t="s">
        <v>215</v>
      </c>
      <c r="J1303" s="446" t="s">
        <v>746</v>
      </c>
      <c r="K1303" s="446" t="s">
        <v>7713</v>
      </c>
      <c r="L1303" s="450"/>
      <c r="M1303" s="450"/>
      <c r="N1303" s="450"/>
      <c r="O1303" s="450"/>
      <c r="P1303" s="450"/>
      <c r="Q1303" s="450"/>
      <c r="R1303" s="450"/>
      <c r="S1303" s="451"/>
      <c r="T1303" s="450"/>
      <c r="U1303" s="451"/>
      <c r="V1303" s="450"/>
      <c r="W1303" s="450"/>
      <c r="X1303" s="450"/>
      <c r="Y1303" s="450"/>
      <c r="Z1303" s="450"/>
    </row>
    <row r="1304" spans="1:26" x14ac:dyDescent="0.25">
      <c r="A1304" s="446" t="s">
        <v>1857</v>
      </c>
      <c r="B1304" s="446"/>
      <c r="C1304" s="446" t="s">
        <v>202</v>
      </c>
      <c r="D1304" s="446" t="s">
        <v>7714</v>
      </c>
      <c r="E1304" s="448" t="s">
        <v>7715</v>
      </c>
      <c r="F1304" s="448">
        <v>38748</v>
      </c>
      <c r="G1304" s="446" t="s">
        <v>374</v>
      </c>
      <c r="H1304" s="446" t="s">
        <v>324</v>
      </c>
      <c r="I1304" s="446" t="s">
        <v>6877</v>
      </c>
      <c r="J1304" s="446" t="s">
        <v>746</v>
      </c>
      <c r="K1304" s="446" t="s">
        <v>7716</v>
      </c>
      <c r="L1304" s="450"/>
      <c r="M1304" s="450"/>
      <c r="N1304" s="450"/>
      <c r="O1304" s="450"/>
      <c r="P1304" s="450"/>
      <c r="Q1304" s="450"/>
      <c r="R1304" s="450"/>
      <c r="S1304" s="451"/>
      <c r="T1304" s="450"/>
      <c r="U1304" s="451"/>
      <c r="V1304" s="450"/>
      <c r="W1304" s="450"/>
      <c r="X1304" s="450"/>
      <c r="Y1304" s="450"/>
      <c r="Z1304" s="450"/>
    </row>
    <row r="1305" spans="1:26" x14ac:dyDescent="0.25">
      <c r="A1305" s="446" t="s">
        <v>1896</v>
      </c>
      <c r="B1305" s="446"/>
      <c r="C1305" s="446" t="s">
        <v>619</v>
      </c>
      <c r="D1305" s="446" t="s">
        <v>7717</v>
      </c>
      <c r="E1305" s="448" t="s">
        <v>7718</v>
      </c>
      <c r="F1305" s="448">
        <v>38855</v>
      </c>
      <c r="G1305" s="446" t="s">
        <v>1898</v>
      </c>
      <c r="H1305" s="446" t="s">
        <v>1899</v>
      </c>
      <c r="I1305" s="446" t="s">
        <v>6844</v>
      </c>
      <c r="J1305" s="446" t="s">
        <v>404</v>
      </c>
      <c r="K1305" s="446" t="s">
        <v>7719</v>
      </c>
      <c r="L1305" s="450"/>
      <c r="M1305" s="450"/>
      <c r="N1305" s="450"/>
      <c r="O1305" s="450"/>
      <c r="P1305" s="450"/>
      <c r="Q1305" s="450"/>
      <c r="R1305" s="450"/>
      <c r="S1305" s="451"/>
      <c r="T1305" s="450"/>
      <c r="U1305" s="451"/>
      <c r="V1305" s="450"/>
      <c r="W1305" s="450"/>
      <c r="X1305" s="450"/>
      <c r="Y1305" s="450"/>
      <c r="Z1305" s="450"/>
    </row>
    <row r="1306" spans="1:26" x14ac:dyDescent="0.25">
      <c r="A1306" s="446" t="s">
        <v>1883</v>
      </c>
      <c r="B1306" s="446"/>
      <c r="C1306" s="446" t="s">
        <v>1456</v>
      </c>
      <c r="D1306" s="446" t="s">
        <v>7720</v>
      </c>
      <c r="E1306" s="448" t="s">
        <v>7721</v>
      </c>
      <c r="F1306" s="448">
        <v>38769</v>
      </c>
      <c r="G1306" s="446" t="s">
        <v>7686</v>
      </c>
      <c r="H1306" s="446" t="s">
        <v>7708</v>
      </c>
      <c r="I1306" s="446" t="s">
        <v>222</v>
      </c>
      <c r="J1306" s="446" t="s">
        <v>746</v>
      </c>
      <c r="K1306" s="446" t="s">
        <v>7722</v>
      </c>
      <c r="L1306" s="450"/>
      <c r="M1306" s="450"/>
      <c r="N1306" s="450"/>
      <c r="O1306" s="450"/>
      <c r="P1306" s="450"/>
      <c r="Q1306" s="450"/>
      <c r="R1306" s="450"/>
      <c r="S1306" s="451"/>
      <c r="T1306" s="450"/>
      <c r="U1306" s="451"/>
      <c r="V1306" s="450"/>
      <c r="W1306" s="450"/>
      <c r="X1306" s="450"/>
      <c r="Y1306" s="450"/>
      <c r="Z1306" s="450"/>
    </row>
    <row r="1307" spans="1:26" x14ac:dyDescent="0.25">
      <c r="A1307" s="446" t="s">
        <v>1915</v>
      </c>
      <c r="B1307" s="446"/>
      <c r="C1307" s="446" t="s">
        <v>1690</v>
      </c>
      <c r="D1307" s="446" t="s">
        <v>7723</v>
      </c>
      <c r="E1307" s="448" t="s">
        <v>7724</v>
      </c>
      <c r="F1307" s="448">
        <v>38862</v>
      </c>
      <c r="G1307" s="446" t="s">
        <v>1917</v>
      </c>
      <c r="H1307" s="446" t="s">
        <v>7725</v>
      </c>
      <c r="I1307" s="446" t="s">
        <v>215</v>
      </c>
      <c r="J1307" s="446" t="s">
        <v>746</v>
      </c>
      <c r="K1307" s="446" t="s">
        <v>7726</v>
      </c>
      <c r="L1307" s="450"/>
      <c r="M1307" s="450"/>
      <c r="N1307" s="450"/>
      <c r="O1307" s="450"/>
      <c r="P1307" s="450"/>
      <c r="Q1307" s="450"/>
      <c r="R1307" s="450"/>
      <c r="S1307" s="451"/>
      <c r="T1307" s="450"/>
      <c r="U1307" s="451"/>
      <c r="V1307" s="450"/>
      <c r="W1307" s="450"/>
      <c r="X1307" s="450"/>
      <c r="Y1307" s="450"/>
      <c r="Z1307" s="450"/>
    </row>
    <row r="1308" spans="1:26" x14ac:dyDescent="0.25">
      <c r="A1308" s="446" t="s">
        <v>1924</v>
      </c>
      <c r="B1308" s="446"/>
      <c r="C1308" s="446" t="s">
        <v>1690</v>
      </c>
      <c r="D1308" s="446" t="s">
        <v>7727</v>
      </c>
      <c r="E1308" s="448" t="s">
        <v>7728</v>
      </c>
      <c r="F1308" s="448">
        <v>38890</v>
      </c>
      <c r="G1308" s="446" t="s">
        <v>1927</v>
      </c>
      <c r="H1308" s="446" t="s">
        <v>7729</v>
      </c>
      <c r="I1308" s="446" t="s">
        <v>215</v>
      </c>
      <c r="J1308" s="446" t="s">
        <v>746</v>
      </c>
      <c r="K1308" s="446" t="s">
        <v>7730</v>
      </c>
      <c r="L1308" s="450"/>
      <c r="M1308" s="450"/>
      <c r="N1308" s="450"/>
      <c r="O1308" s="450"/>
      <c r="P1308" s="450"/>
      <c r="Q1308" s="450"/>
      <c r="R1308" s="450"/>
      <c r="S1308" s="451"/>
      <c r="T1308" s="450"/>
      <c r="U1308" s="451"/>
      <c r="V1308" s="450"/>
      <c r="W1308" s="450"/>
      <c r="X1308" s="450"/>
      <c r="Y1308" s="450"/>
      <c r="Z1308" s="450"/>
    </row>
    <row r="1309" spans="1:26" x14ac:dyDescent="0.25">
      <c r="A1309" s="446" t="s">
        <v>1930</v>
      </c>
      <c r="B1309" s="446"/>
      <c r="C1309" s="446" t="s">
        <v>1456</v>
      </c>
      <c r="D1309" s="446" t="s">
        <v>7731</v>
      </c>
      <c r="E1309" s="448" t="s">
        <v>7732</v>
      </c>
      <c r="F1309" s="448">
        <v>38905</v>
      </c>
      <c r="G1309" s="446" t="s">
        <v>7733</v>
      </c>
      <c r="H1309" s="446" t="s">
        <v>7734</v>
      </c>
      <c r="I1309" s="446" t="s">
        <v>215</v>
      </c>
      <c r="J1309" s="446" t="s">
        <v>746</v>
      </c>
      <c r="K1309" s="446" t="s">
        <v>7735</v>
      </c>
      <c r="L1309" s="450"/>
      <c r="M1309" s="450"/>
      <c r="N1309" s="450"/>
      <c r="O1309" s="450"/>
      <c r="P1309" s="450"/>
      <c r="Q1309" s="450"/>
      <c r="R1309" s="450"/>
      <c r="S1309" s="451"/>
      <c r="T1309" s="450"/>
      <c r="U1309" s="451"/>
      <c r="V1309" s="450"/>
      <c r="W1309" s="450"/>
      <c r="X1309" s="450"/>
      <c r="Y1309" s="450"/>
      <c r="Z1309" s="450"/>
    </row>
    <row r="1310" spans="1:26" x14ac:dyDescent="0.25">
      <c r="A1310" s="446" t="s">
        <v>1941</v>
      </c>
      <c r="B1310" s="446"/>
      <c r="C1310" s="446" t="s">
        <v>1456</v>
      </c>
      <c r="D1310" s="446" t="s">
        <v>7736</v>
      </c>
      <c r="E1310" s="448" t="s">
        <v>7737</v>
      </c>
      <c r="F1310" s="448">
        <v>38909</v>
      </c>
      <c r="G1310" s="446" t="s">
        <v>7738</v>
      </c>
      <c r="H1310" s="446" t="s">
        <v>7739</v>
      </c>
      <c r="I1310" s="446" t="s">
        <v>215</v>
      </c>
      <c r="J1310" s="446" t="s">
        <v>746</v>
      </c>
      <c r="K1310" s="446" t="s">
        <v>7740</v>
      </c>
      <c r="L1310" s="450"/>
      <c r="M1310" s="450"/>
      <c r="N1310" s="450"/>
      <c r="O1310" s="450"/>
      <c r="P1310" s="450"/>
      <c r="Q1310" s="450"/>
      <c r="R1310" s="450"/>
      <c r="S1310" s="451"/>
      <c r="T1310" s="450"/>
      <c r="U1310" s="451"/>
      <c r="V1310" s="450"/>
      <c r="W1310" s="450"/>
      <c r="X1310" s="450"/>
      <c r="Y1310" s="450"/>
      <c r="Z1310" s="450"/>
    </row>
    <row r="1311" spans="1:26" x14ac:dyDescent="0.25">
      <c r="A1311" s="446" t="s">
        <v>1919</v>
      </c>
      <c r="B1311" s="446"/>
      <c r="C1311" s="446" t="s">
        <v>2189</v>
      </c>
      <c r="D1311" s="446" t="s">
        <v>7741</v>
      </c>
      <c r="E1311" s="448" t="s">
        <v>7742</v>
      </c>
      <c r="F1311" s="448">
        <v>38869</v>
      </c>
      <c r="G1311" s="446" t="s">
        <v>1922</v>
      </c>
      <c r="H1311" s="446" t="s">
        <v>102</v>
      </c>
      <c r="I1311" s="446" t="s">
        <v>6093</v>
      </c>
      <c r="J1311" s="446" t="s">
        <v>746</v>
      </c>
      <c r="K1311" s="446" t="s">
        <v>7743</v>
      </c>
      <c r="L1311" s="450"/>
      <c r="M1311" s="450"/>
      <c r="N1311" s="450"/>
      <c r="O1311" s="450"/>
      <c r="P1311" s="450"/>
      <c r="Q1311" s="450"/>
      <c r="R1311" s="450"/>
      <c r="S1311" s="451"/>
      <c r="T1311" s="450"/>
      <c r="U1311" s="451"/>
      <c r="V1311" s="450"/>
      <c r="W1311" s="450"/>
      <c r="X1311" s="450"/>
      <c r="Y1311" s="450"/>
      <c r="Z1311" s="450"/>
    </row>
    <row r="1312" spans="1:26" x14ac:dyDescent="0.25">
      <c r="A1312" s="446" t="s">
        <v>1901</v>
      </c>
      <c r="B1312" s="446"/>
      <c r="C1312" s="446" t="s">
        <v>1902</v>
      </c>
      <c r="D1312" s="446" t="s">
        <v>7744</v>
      </c>
      <c r="E1312" s="448" t="s">
        <v>7745</v>
      </c>
      <c r="F1312" s="448">
        <v>38861</v>
      </c>
      <c r="G1312" s="446" t="s">
        <v>1904</v>
      </c>
      <c r="H1312" s="446" t="s">
        <v>7746</v>
      </c>
      <c r="I1312" s="446" t="s">
        <v>6844</v>
      </c>
      <c r="J1312" s="446" t="s">
        <v>760</v>
      </c>
      <c r="K1312" s="446" t="s">
        <v>7747</v>
      </c>
      <c r="L1312" s="450"/>
      <c r="M1312" s="450"/>
      <c r="N1312" s="450"/>
      <c r="O1312" s="450"/>
      <c r="P1312" s="450"/>
      <c r="Q1312" s="450"/>
      <c r="R1312" s="450"/>
      <c r="S1312" s="451"/>
      <c r="T1312" s="450"/>
      <c r="U1312" s="451"/>
      <c r="V1312" s="450"/>
      <c r="W1312" s="450"/>
      <c r="X1312" s="450"/>
      <c r="Y1312" s="450"/>
      <c r="Z1312" s="450"/>
    </row>
    <row r="1313" spans="1:26" x14ac:dyDescent="0.25">
      <c r="A1313" s="446" t="s">
        <v>1838</v>
      </c>
      <c r="B1313" s="446"/>
      <c r="C1313" s="446" t="s">
        <v>2029</v>
      </c>
      <c r="D1313" s="446" t="s">
        <v>7748</v>
      </c>
      <c r="E1313" s="448" t="s">
        <v>7749</v>
      </c>
      <c r="F1313" s="448">
        <v>38717</v>
      </c>
      <c r="G1313" s="446" t="s">
        <v>7750</v>
      </c>
      <c r="H1313" s="446" t="s">
        <v>7751</v>
      </c>
      <c r="I1313" s="446" t="s">
        <v>332</v>
      </c>
      <c r="J1313" s="446" t="s">
        <v>746</v>
      </c>
      <c r="K1313" s="446" t="s">
        <v>7752</v>
      </c>
      <c r="L1313" s="450"/>
      <c r="M1313" s="450"/>
      <c r="N1313" s="450"/>
      <c r="O1313" s="450"/>
      <c r="P1313" s="450"/>
      <c r="Q1313" s="450"/>
      <c r="R1313" s="450"/>
      <c r="S1313" s="451"/>
      <c r="T1313" s="450"/>
      <c r="U1313" s="451"/>
      <c r="V1313" s="450"/>
      <c r="W1313" s="450"/>
      <c r="X1313" s="450"/>
      <c r="Y1313" s="450"/>
      <c r="Z1313" s="450"/>
    </row>
    <row r="1314" spans="1:26" x14ac:dyDescent="0.25">
      <c r="A1314" s="446" t="s">
        <v>1944</v>
      </c>
      <c r="B1314" s="446"/>
      <c r="C1314" s="446" t="s">
        <v>1690</v>
      </c>
      <c r="D1314" s="446" t="s">
        <v>7753</v>
      </c>
      <c r="E1314" s="448" t="s">
        <v>7754</v>
      </c>
      <c r="F1314" s="448">
        <v>39009</v>
      </c>
      <c r="G1314" s="446" t="s">
        <v>7755</v>
      </c>
      <c r="H1314" s="446" t="s">
        <v>7756</v>
      </c>
      <c r="I1314" s="446" t="s">
        <v>215</v>
      </c>
      <c r="J1314" s="446" t="s">
        <v>746</v>
      </c>
      <c r="K1314" s="446" t="s">
        <v>7757</v>
      </c>
      <c r="L1314" s="450"/>
      <c r="M1314" s="450"/>
      <c r="N1314" s="450"/>
      <c r="O1314" s="450"/>
      <c r="P1314" s="450"/>
      <c r="Q1314" s="450"/>
      <c r="R1314" s="450"/>
      <c r="S1314" s="451"/>
      <c r="T1314" s="450"/>
      <c r="U1314" s="451"/>
      <c r="V1314" s="450"/>
      <c r="W1314" s="450"/>
      <c r="X1314" s="450"/>
      <c r="Y1314" s="450"/>
      <c r="Z1314" s="450"/>
    </row>
    <row r="1315" spans="1:26" x14ac:dyDescent="0.25">
      <c r="A1315" s="446" t="s">
        <v>1948</v>
      </c>
      <c r="B1315" s="446"/>
      <c r="C1315" s="446" t="s">
        <v>1456</v>
      </c>
      <c r="D1315" s="446" t="s">
        <v>7758</v>
      </c>
      <c r="E1315" s="448" t="s">
        <v>7759</v>
      </c>
      <c r="F1315" s="448">
        <v>39052</v>
      </c>
      <c r="G1315" s="446" t="s">
        <v>1950</v>
      </c>
      <c r="H1315" s="446" t="s">
        <v>7760</v>
      </c>
      <c r="I1315" s="446" t="s">
        <v>215</v>
      </c>
      <c r="J1315" s="446" t="s">
        <v>746</v>
      </c>
      <c r="K1315" s="446" t="s">
        <v>7761</v>
      </c>
      <c r="L1315" s="450"/>
      <c r="M1315" s="450"/>
      <c r="N1315" s="450"/>
      <c r="O1315" s="450"/>
      <c r="P1315" s="450"/>
      <c r="Q1315" s="450"/>
      <c r="R1315" s="450"/>
      <c r="S1315" s="451"/>
      <c r="T1315" s="450"/>
      <c r="U1315" s="451"/>
      <c r="V1315" s="450"/>
      <c r="W1315" s="450"/>
      <c r="X1315" s="450"/>
      <c r="Y1315" s="450"/>
      <c r="Z1315" s="450"/>
    </row>
    <row r="1316" spans="1:26" x14ac:dyDescent="0.25">
      <c r="A1316" s="446" t="s">
        <v>1380</v>
      </c>
      <c r="B1316" s="446"/>
      <c r="C1316" s="446" t="s">
        <v>1381</v>
      </c>
      <c r="D1316" s="446" t="s">
        <v>7762</v>
      </c>
      <c r="E1316" s="448" t="s">
        <v>7763</v>
      </c>
      <c r="F1316" s="448">
        <v>36835</v>
      </c>
      <c r="G1316" s="446" t="s">
        <v>7764</v>
      </c>
      <c r="H1316" s="446" t="s">
        <v>102</v>
      </c>
      <c r="I1316" s="446" t="s">
        <v>7765</v>
      </c>
      <c r="J1316" s="446" t="s">
        <v>760</v>
      </c>
      <c r="K1316" s="446" t="s">
        <v>7766</v>
      </c>
      <c r="L1316" s="450"/>
      <c r="M1316" s="450"/>
      <c r="N1316" s="450"/>
      <c r="O1316" s="450"/>
      <c r="P1316" s="450"/>
      <c r="Q1316" s="450"/>
      <c r="R1316" s="450"/>
      <c r="S1316" s="451"/>
      <c r="T1316" s="450"/>
      <c r="U1316" s="451"/>
      <c r="V1316" s="450"/>
      <c r="W1316" s="450"/>
      <c r="X1316" s="450"/>
      <c r="Y1316" s="450"/>
      <c r="Z1316" s="450"/>
    </row>
    <row r="1317" spans="1:26" x14ac:dyDescent="0.25">
      <c r="A1317" s="446" t="s">
        <v>1906</v>
      </c>
      <c r="B1317" s="446"/>
      <c r="C1317" s="446" t="s">
        <v>1456</v>
      </c>
      <c r="D1317" s="446" t="s">
        <v>7767</v>
      </c>
      <c r="E1317" s="448" t="s">
        <v>7768</v>
      </c>
      <c r="F1317" s="448">
        <v>38861</v>
      </c>
      <c r="G1317" s="446" t="s">
        <v>7769</v>
      </c>
      <c r="H1317" s="446" t="s">
        <v>1910</v>
      </c>
      <c r="I1317" s="446" t="s">
        <v>1911</v>
      </c>
      <c r="J1317" s="446" t="s">
        <v>746</v>
      </c>
      <c r="K1317" s="446" t="s">
        <v>7770</v>
      </c>
      <c r="L1317" s="450"/>
      <c r="M1317" s="450"/>
      <c r="N1317" s="450"/>
      <c r="O1317" s="450"/>
      <c r="P1317" s="450"/>
      <c r="Q1317" s="450"/>
      <c r="R1317" s="450"/>
      <c r="S1317" s="451"/>
      <c r="T1317" s="450"/>
      <c r="U1317" s="451"/>
      <c r="V1317" s="450"/>
      <c r="W1317" s="450"/>
      <c r="X1317" s="450"/>
      <c r="Y1317" s="450"/>
      <c r="Z1317" s="450"/>
    </row>
    <row r="1318" spans="1:26" x14ac:dyDescent="0.25">
      <c r="A1318" s="446" t="s">
        <v>1961</v>
      </c>
      <c r="B1318" s="446"/>
      <c r="C1318" s="446" t="s">
        <v>619</v>
      </c>
      <c r="D1318" s="446" t="s">
        <v>7771</v>
      </c>
      <c r="E1318" s="448" t="s">
        <v>7772</v>
      </c>
      <c r="F1318" s="448">
        <v>39160</v>
      </c>
      <c r="G1318" s="446" t="s">
        <v>1963</v>
      </c>
      <c r="H1318" s="446" t="s">
        <v>114</v>
      </c>
      <c r="I1318" s="446" t="s">
        <v>6844</v>
      </c>
      <c r="J1318" s="446" t="s">
        <v>404</v>
      </c>
      <c r="K1318" s="446" t="s">
        <v>7773</v>
      </c>
      <c r="L1318" s="450"/>
      <c r="M1318" s="450"/>
      <c r="N1318" s="450"/>
      <c r="O1318" s="450"/>
      <c r="P1318" s="450"/>
      <c r="Q1318" s="450"/>
      <c r="R1318" s="450"/>
      <c r="S1318" s="451"/>
      <c r="T1318" s="450"/>
      <c r="U1318" s="451"/>
      <c r="V1318" s="450"/>
      <c r="W1318" s="450"/>
      <c r="X1318" s="450"/>
      <c r="Y1318" s="450"/>
      <c r="Z1318" s="450"/>
    </row>
    <row r="1319" spans="1:26" x14ac:dyDescent="0.25">
      <c r="A1319" s="446" t="s">
        <v>1964</v>
      </c>
      <c r="B1319" s="446"/>
      <c r="C1319" s="446" t="s">
        <v>533</v>
      </c>
      <c r="D1319" s="446" t="s">
        <v>7774</v>
      </c>
      <c r="E1319" s="448" t="s">
        <v>7775</v>
      </c>
      <c r="F1319" s="448">
        <v>39162</v>
      </c>
      <c r="G1319" s="446" t="s">
        <v>7776</v>
      </c>
      <c r="H1319" s="446" t="s">
        <v>7777</v>
      </c>
      <c r="I1319" s="446" t="s">
        <v>7778</v>
      </c>
      <c r="J1319" s="446" t="s">
        <v>4604</v>
      </c>
      <c r="K1319" s="446" t="s">
        <v>7779</v>
      </c>
      <c r="L1319" s="450"/>
      <c r="M1319" s="450"/>
      <c r="N1319" s="450"/>
      <c r="O1319" s="450"/>
      <c r="P1319" s="450"/>
      <c r="Q1319" s="450"/>
      <c r="R1319" s="450"/>
      <c r="S1319" s="451"/>
      <c r="T1319" s="450"/>
      <c r="U1319" s="451"/>
      <c r="V1319" s="450"/>
      <c r="W1319" s="450"/>
      <c r="X1319" s="450"/>
      <c r="Y1319" s="450"/>
      <c r="Z1319" s="450"/>
    </row>
    <row r="1320" spans="1:26" x14ac:dyDescent="0.25">
      <c r="A1320" s="446" t="s">
        <v>1886</v>
      </c>
      <c r="B1320" s="446"/>
      <c r="C1320" s="446" t="s">
        <v>1902</v>
      </c>
      <c r="D1320" s="446" t="s">
        <v>7780</v>
      </c>
      <c r="E1320" s="448" t="s">
        <v>7781</v>
      </c>
      <c r="F1320" s="448">
        <v>38798</v>
      </c>
      <c r="G1320" s="446" t="s">
        <v>262</v>
      </c>
      <c r="H1320" s="446" t="s">
        <v>1889</v>
      </c>
      <c r="I1320" s="446" t="s">
        <v>215</v>
      </c>
      <c r="J1320" s="446" t="s">
        <v>760</v>
      </c>
      <c r="K1320" s="446" t="s">
        <v>7782</v>
      </c>
      <c r="L1320" s="450"/>
      <c r="M1320" s="450"/>
      <c r="N1320" s="450"/>
      <c r="O1320" s="450"/>
      <c r="P1320" s="450"/>
      <c r="Q1320" s="450"/>
      <c r="R1320" s="450"/>
      <c r="S1320" s="451"/>
      <c r="T1320" s="450"/>
      <c r="U1320" s="451"/>
      <c r="V1320" s="450"/>
      <c r="W1320" s="450"/>
      <c r="X1320" s="450"/>
      <c r="Y1320" s="450"/>
      <c r="Z1320" s="450"/>
    </row>
    <row r="1321" spans="1:26" x14ac:dyDescent="0.25">
      <c r="A1321" s="446" t="s">
        <v>1970</v>
      </c>
      <c r="B1321" s="446"/>
      <c r="C1321" s="446" t="s">
        <v>1902</v>
      </c>
      <c r="D1321" s="446" t="s">
        <v>7783</v>
      </c>
      <c r="E1321" s="448" t="s">
        <v>7784</v>
      </c>
      <c r="F1321" s="448">
        <v>39268</v>
      </c>
      <c r="G1321" s="446" t="s">
        <v>1529</v>
      </c>
      <c r="H1321" s="446" t="s">
        <v>262</v>
      </c>
      <c r="I1321" s="446" t="s">
        <v>7785</v>
      </c>
      <c r="J1321" s="446" t="s">
        <v>760</v>
      </c>
      <c r="K1321" s="446" t="s">
        <v>7786</v>
      </c>
      <c r="L1321" s="450"/>
      <c r="M1321" s="450"/>
      <c r="N1321" s="450"/>
      <c r="O1321" s="450"/>
      <c r="P1321" s="450"/>
      <c r="Q1321" s="450"/>
      <c r="R1321" s="450"/>
      <c r="S1321" s="451"/>
      <c r="T1321" s="450"/>
      <c r="U1321" s="451"/>
      <c r="V1321" s="450"/>
      <c r="W1321" s="450"/>
      <c r="X1321" s="450"/>
      <c r="Y1321" s="450"/>
      <c r="Z1321" s="450"/>
    </row>
    <row r="1322" spans="1:26" x14ac:dyDescent="0.25">
      <c r="A1322" s="446" t="s">
        <v>1953</v>
      </c>
      <c r="B1322" s="446"/>
      <c r="C1322" s="446" t="s">
        <v>2189</v>
      </c>
      <c r="D1322" s="446" t="s">
        <v>7787</v>
      </c>
      <c r="E1322" s="448" t="s">
        <v>7788</v>
      </c>
      <c r="F1322" s="448">
        <v>39145</v>
      </c>
      <c r="G1322" s="446" t="s">
        <v>1956</v>
      </c>
      <c r="H1322" s="446" t="s">
        <v>1957</v>
      </c>
      <c r="I1322" s="446" t="s">
        <v>7789</v>
      </c>
      <c r="J1322" s="446" t="s">
        <v>746</v>
      </c>
      <c r="K1322" s="446" t="s">
        <v>7790</v>
      </c>
      <c r="L1322" s="450"/>
      <c r="M1322" s="450"/>
      <c r="N1322" s="450"/>
      <c r="O1322" s="450"/>
      <c r="P1322" s="450"/>
      <c r="Q1322" s="450"/>
      <c r="R1322" s="450"/>
      <c r="S1322" s="451"/>
      <c r="T1322" s="450"/>
      <c r="U1322" s="451"/>
      <c r="V1322" s="450"/>
      <c r="W1322" s="450"/>
      <c r="X1322" s="450"/>
      <c r="Y1322" s="450"/>
      <c r="Z1322" s="450"/>
    </row>
    <row r="1323" spans="1:26" x14ac:dyDescent="0.25">
      <c r="A1323" s="446" t="s">
        <v>1974</v>
      </c>
      <c r="B1323" s="446"/>
      <c r="C1323" s="446" t="s">
        <v>7791</v>
      </c>
      <c r="D1323" s="446" t="s">
        <v>7792</v>
      </c>
      <c r="E1323" s="448" t="s">
        <v>7793</v>
      </c>
      <c r="F1323" s="448">
        <v>39315</v>
      </c>
      <c r="G1323" s="446" t="s">
        <v>1977</v>
      </c>
      <c r="H1323" s="446" t="s">
        <v>102</v>
      </c>
      <c r="I1323" s="446" t="s">
        <v>5207</v>
      </c>
      <c r="J1323" s="446" t="s">
        <v>760</v>
      </c>
      <c r="K1323" s="446" t="s">
        <v>7794</v>
      </c>
      <c r="L1323" s="450"/>
      <c r="M1323" s="450"/>
      <c r="N1323" s="450"/>
      <c r="O1323" s="450"/>
      <c r="P1323" s="450"/>
      <c r="Q1323" s="450"/>
      <c r="R1323" s="450"/>
      <c r="S1323" s="451"/>
      <c r="T1323" s="450"/>
      <c r="U1323" s="451"/>
      <c r="V1323" s="450"/>
      <c r="W1323" s="450"/>
      <c r="X1323" s="450"/>
      <c r="Y1323" s="450"/>
      <c r="Z1323" s="450"/>
    </row>
    <row r="1324" spans="1:26" x14ac:dyDescent="0.25">
      <c r="A1324" s="446" t="s">
        <v>1978</v>
      </c>
      <c r="B1324" s="446">
        <v>40</v>
      </c>
      <c r="C1324" s="446" t="s">
        <v>1456</v>
      </c>
      <c r="D1324" s="446" t="s">
        <v>3037</v>
      </c>
      <c r="E1324" s="448" t="s">
        <v>7795</v>
      </c>
      <c r="F1324" s="448">
        <v>39336</v>
      </c>
      <c r="G1324" s="446" t="s">
        <v>1980</v>
      </c>
      <c r="H1324" s="446" t="s">
        <v>3020</v>
      </c>
      <c r="I1324" s="446" t="s">
        <v>7796</v>
      </c>
      <c r="J1324" s="446" t="s">
        <v>746</v>
      </c>
      <c r="K1324" s="446" t="s">
        <v>7797</v>
      </c>
      <c r="L1324" s="450"/>
      <c r="M1324" s="450"/>
      <c r="N1324" s="450"/>
      <c r="O1324" s="450"/>
      <c r="P1324" s="450"/>
      <c r="Q1324" s="450"/>
      <c r="R1324" s="450"/>
      <c r="S1324" s="451"/>
      <c r="T1324" s="450"/>
      <c r="U1324" s="451"/>
      <c r="V1324" s="450"/>
      <c r="W1324" s="450"/>
      <c r="X1324" s="450"/>
      <c r="Y1324" s="450"/>
      <c r="Z1324" s="450"/>
    </row>
    <row r="1325" spans="1:26" x14ac:dyDescent="0.25">
      <c r="A1325" s="446" t="s">
        <v>1985</v>
      </c>
      <c r="B1325" s="446"/>
      <c r="C1325" s="446" t="s">
        <v>585</v>
      </c>
      <c r="D1325" s="446" t="s">
        <v>7798</v>
      </c>
      <c r="E1325" s="448" t="s">
        <v>7799</v>
      </c>
      <c r="F1325" s="448">
        <v>39400</v>
      </c>
      <c r="G1325" s="446" t="s">
        <v>940</v>
      </c>
      <c r="H1325" s="446" t="s">
        <v>102</v>
      </c>
      <c r="I1325" s="446" t="s">
        <v>6844</v>
      </c>
      <c r="J1325" s="446" t="s">
        <v>4604</v>
      </c>
      <c r="K1325" s="446" t="s">
        <v>7800</v>
      </c>
      <c r="L1325" s="450"/>
      <c r="M1325" s="450"/>
      <c r="N1325" s="450"/>
      <c r="O1325" s="450"/>
      <c r="P1325" s="450"/>
      <c r="Q1325" s="450"/>
      <c r="R1325" s="450"/>
      <c r="S1325" s="451"/>
      <c r="T1325" s="450"/>
      <c r="U1325" s="451"/>
      <c r="V1325" s="450"/>
      <c r="W1325" s="450"/>
      <c r="X1325" s="450"/>
      <c r="Y1325" s="450"/>
      <c r="Z1325" s="450"/>
    </row>
    <row r="1326" spans="1:26" x14ac:dyDescent="0.25">
      <c r="A1326" s="446" t="s">
        <v>7801</v>
      </c>
      <c r="B1326" s="446"/>
      <c r="C1326" s="446" t="s">
        <v>714</v>
      </c>
      <c r="D1326" s="446" t="s">
        <v>7802</v>
      </c>
      <c r="E1326" s="448" t="s">
        <v>7803</v>
      </c>
      <c r="F1326" s="448">
        <v>39609</v>
      </c>
      <c r="G1326" s="446" t="s">
        <v>7804</v>
      </c>
      <c r="H1326" s="446" t="s">
        <v>2062</v>
      </c>
      <c r="I1326" s="446" t="s">
        <v>2063</v>
      </c>
      <c r="J1326" s="446" t="s">
        <v>4604</v>
      </c>
      <c r="K1326" s="446" t="s">
        <v>7805</v>
      </c>
      <c r="L1326" s="450"/>
      <c r="M1326" s="450"/>
      <c r="N1326" s="450"/>
      <c r="O1326" s="450"/>
      <c r="P1326" s="450"/>
      <c r="Q1326" s="450"/>
      <c r="R1326" s="450"/>
      <c r="S1326" s="451"/>
      <c r="T1326" s="450"/>
      <c r="U1326" s="451"/>
      <c r="V1326" s="450"/>
      <c r="W1326" s="450"/>
      <c r="X1326" s="450"/>
      <c r="Y1326" s="450"/>
      <c r="Z1326" s="450"/>
    </row>
    <row r="1327" spans="1:26" x14ac:dyDescent="0.25">
      <c r="A1327" s="446" t="s">
        <v>1990</v>
      </c>
      <c r="B1327" s="446"/>
      <c r="C1327" s="446" t="s">
        <v>1160</v>
      </c>
      <c r="D1327" s="446" t="s">
        <v>7806</v>
      </c>
      <c r="E1327" s="448" t="s">
        <v>7807</v>
      </c>
      <c r="F1327" s="448">
        <v>39645</v>
      </c>
      <c r="G1327" s="446" t="s">
        <v>7808</v>
      </c>
      <c r="H1327" s="446" t="s">
        <v>7809</v>
      </c>
      <c r="I1327" s="446" t="s">
        <v>6823</v>
      </c>
      <c r="J1327" s="446" t="s">
        <v>404</v>
      </c>
      <c r="K1327" s="446" t="s">
        <v>7810</v>
      </c>
      <c r="L1327" s="450"/>
      <c r="M1327" s="450"/>
      <c r="N1327" s="450"/>
      <c r="O1327" s="450"/>
      <c r="P1327" s="450"/>
      <c r="Q1327" s="450"/>
      <c r="R1327" s="450"/>
      <c r="S1327" s="451"/>
      <c r="T1327" s="450"/>
      <c r="U1327" s="451"/>
      <c r="V1327" s="450"/>
      <c r="W1327" s="450"/>
      <c r="X1327" s="450"/>
      <c r="Y1327" s="450"/>
      <c r="Z1327" s="450"/>
    </row>
    <row r="1328" spans="1:26" x14ac:dyDescent="0.25">
      <c r="A1328" s="446" t="s">
        <v>1599</v>
      </c>
      <c r="B1328" s="446"/>
      <c r="C1328" s="446" t="s">
        <v>619</v>
      </c>
      <c r="D1328" s="446" t="s">
        <v>7811</v>
      </c>
      <c r="E1328" s="448" t="s">
        <v>7812</v>
      </c>
      <c r="F1328" s="448">
        <v>38286</v>
      </c>
      <c r="G1328" s="446" t="s">
        <v>7813</v>
      </c>
      <c r="H1328" s="446" t="s">
        <v>119</v>
      </c>
      <c r="I1328" s="446" t="s">
        <v>7814</v>
      </c>
      <c r="J1328" s="446" t="s">
        <v>404</v>
      </c>
      <c r="K1328" s="446" t="s">
        <v>7815</v>
      </c>
      <c r="L1328" s="450"/>
      <c r="M1328" s="450"/>
      <c r="N1328" s="450"/>
      <c r="O1328" s="450"/>
      <c r="P1328" s="450"/>
      <c r="Q1328" s="450"/>
      <c r="R1328" s="450"/>
      <c r="S1328" s="451"/>
      <c r="T1328" s="450"/>
      <c r="U1328" s="451"/>
      <c r="V1328" s="450"/>
      <c r="W1328" s="450"/>
      <c r="X1328" s="450"/>
      <c r="Y1328" s="450"/>
      <c r="Z1328" s="450"/>
    </row>
    <row r="1329" spans="1:26" x14ac:dyDescent="0.25">
      <c r="A1329" s="446" t="s">
        <v>1998</v>
      </c>
      <c r="B1329" s="446"/>
      <c r="C1329" s="446" t="s">
        <v>2189</v>
      </c>
      <c r="D1329" s="446" t="s">
        <v>7816</v>
      </c>
      <c r="E1329" s="448" t="s">
        <v>7817</v>
      </c>
      <c r="F1329" s="448">
        <v>39756</v>
      </c>
      <c r="G1329" s="446" t="s">
        <v>7808</v>
      </c>
      <c r="H1329" s="446" t="s">
        <v>7809</v>
      </c>
      <c r="I1329" s="446" t="s">
        <v>6823</v>
      </c>
      <c r="J1329" s="446" t="s">
        <v>746</v>
      </c>
      <c r="K1329" s="446" t="s">
        <v>7818</v>
      </c>
      <c r="L1329" s="450"/>
      <c r="M1329" s="450"/>
      <c r="N1329" s="450"/>
      <c r="O1329" s="450"/>
      <c r="P1329" s="450"/>
      <c r="Q1329" s="450"/>
      <c r="R1329" s="450"/>
      <c r="S1329" s="451"/>
      <c r="T1329" s="450"/>
      <c r="U1329" s="451"/>
      <c r="V1329" s="450"/>
      <c r="W1329" s="450"/>
      <c r="X1329" s="450"/>
      <c r="Y1329" s="450"/>
      <c r="Z1329" s="450"/>
    </row>
    <row r="1330" spans="1:26" x14ac:dyDescent="0.25">
      <c r="A1330" s="446" t="s">
        <v>1994</v>
      </c>
      <c r="B1330" s="446"/>
      <c r="C1330" s="446" t="s">
        <v>619</v>
      </c>
      <c r="D1330" s="446" t="s">
        <v>7819</v>
      </c>
      <c r="E1330" s="448" t="s">
        <v>7820</v>
      </c>
      <c r="F1330" s="448">
        <v>39751</v>
      </c>
      <c r="G1330" s="446" t="s">
        <v>7821</v>
      </c>
      <c r="H1330" s="446" t="s">
        <v>7822</v>
      </c>
      <c r="I1330" s="446" t="s">
        <v>6844</v>
      </c>
      <c r="J1330" s="446" t="s">
        <v>404</v>
      </c>
      <c r="K1330" s="446" t="s">
        <v>7823</v>
      </c>
      <c r="L1330" s="450"/>
      <c r="M1330" s="450"/>
      <c r="N1330" s="450"/>
      <c r="O1330" s="450"/>
      <c r="P1330" s="450"/>
      <c r="Q1330" s="450"/>
      <c r="R1330" s="450"/>
      <c r="S1330" s="451"/>
      <c r="T1330" s="450"/>
      <c r="U1330" s="451"/>
      <c r="V1330" s="450"/>
      <c r="W1330" s="450"/>
      <c r="X1330" s="450"/>
      <c r="Y1330" s="450"/>
      <c r="Z1330" s="450"/>
    </row>
    <row r="1331" spans="1:26" x14ac:dyDescent="0.25">
      <c r="A1331" s="446" t="s">
        <v>2004</v>
      </c>
      <c r="B1331" s="446"/>
      <c r="C1331" s="446" t="s">
        <v>1456</v>
      </c>
      <c r="D1331" s="446" t="s">
        <v>7824</v>
      </c>
      <c r="E1331" s="448" t="s">
        <v>7825</v>
      </c>
      <c r="F1331" s="448">
        <v>39815</v>
      </c>
      <c r="G1331" s="446" t="s">
        <v>7826</v>
      </c>
      <c r="H1331" s="446" t="s">
        <v>2007</v>
      </c>
      <c r="I1331" s="446" t="s">
        <v>6811</v>
      </c>
      <c r="J1331" s="446" t="s">
        <v>746</v>
      </c>
      <c r="K1331" s="446" t="s">
        <v>7827</v>
      </c>
      <c r="L1331" s="450"/>
      <c r="M1331" s="450"/>
      <c r="N1331" s="450"/>
      <c r="O1331" s="450"/>
      <c r="P1331" s="450"/>
      <c r="Q1331" s="450"/>
      <c r="R1331" s="450"/>
      <c r="S1331" s="451"/>
      <c r="T1331" s="450"/>
      <c r="U1331" s="451"/>
      <c r="V1331" s="450"/>
      <c r="W1331" s="450"/>
      <c r="X1331" s="450"/>
      <c r="Y1331" s="450"/>
      <c r="Z1331" s="450"/>
    </row>
    <row r="1332" spans="1:26" x14ac:dyDescent="0.25">
      <c r="A1332" s="446" t="s">
        <v>1828</v>
      </c>
      <c r="B1332" s="446"/>
      <c r="C1332" s="446" t="s">
        <v>1456</v>
      </c>
      <c r="D1332" s="446" t="s">
        <v>7828</v>
      </c>
      <c r="E1332" s="448" t="s">
        <v>7829</v>
      </c>
      <c r="F1332" s="448">
        <v>38701</v>
      </c>
      <c r="G1332" s="446" t="s">
        <v>7830</v>
      </c>
      <c r="H1332" s="446" t="s">
        <v>7831</v>
      </c>
      <c r="I1332" s="446" t="s">
        <v>321</v>
      </c>
      <c r="J1332" s="446" t="s">
        <v>746</v>
      </c>
      <c r="K1332" s="446" t="s">
        <v>7832</v>
      </c>
      <c r="L1332" s="450"/>
      <c r="M1332" s="450"/>
      <c r="N1332" s="450"/>
      <c r="O1332" s="450"/>
      <c r="P1332" s="450"/>
      <c r="Q1332" s="450"/>
      <c r="R1332" s="450"/>
      <c r="S1332" s="451"/>
      <c r="T1332" s="450"/>
      <c r="U1332" s="451"/>
      <c r="V1332" s="450"/>
      <c r="W1332" s="450"/>
      <c r="X1332" s="450"/>
      <c r="Y1332" s="450"/>
      <c r="Z1332" s="450"/>
    </row>
    <row r="1333" spans="1:26" x14ac:dyDescent="0.25">
      <c r="A1333" s="446" t="s">
        <v>1876</v>
      </c>
      <c r="B1333" s="446"/>
      <c r="C1333" s="446" t="s">
        <v>1456</v>
      </c>
      <c r="D1333" s="446" t="s">
        <v>7833</v>
      </c>
      <c r="E1333" s="448" t="s">
        <v>7829</v>
      </c>
      <c r="F1333" s="448">
        <v>38760</v>
      </c>
      <c r="G1333" s="446" t="s">
        <v>7830</v>
      </c>
      <c r="H1333" s="446" t="s">
        <v>7831</v>
      </c>
      <c r="I1333" s="446" t="s">
        <v>6877</v>
      </c>
      <c r="J1333" s="446" t="s">
        <v>746</v>
      </c>
      <c r="K1333" s="446" t="s">
        <v>7834</v>
      </c>
      <c r="L1333" s="450"/>
      <c r="M1333" s="450"/>
      <c r="N1333" s="450"/>
      <c r="O1333" s="450"/>
      <c r="P1333" s="450"/>
      <c r="Q1333" s="450"/>
      <c r="R1333" s="450"/>
      <c r="S1333" s="451"/>
      <c r="T1333" s="450"/>
      <c r="U1333" s="451"/>
      <c r="V1333" s="450"/>
      <c r="W1333" s="450"/>
      <c r="X1333" s="450"/>
      <c r="Y1333" s="450"/>
      <c r="Z1333" s="450"/>
    </row>
    <row r="1334" spans="1:26" x14ac:dyDescent="0.25">
      <c r="A1334" s="446" t="s">
        <v>7835</v>
      </c>
      <c r="B1334" s="446"/>
      <c r="C1334" s="446" t="s">
        <v>4618</v>
      </c>
      <c r="D1334" s="446" t="s">
        <v>7836</v>
      </c>
      <c r="E1334" s="448" t="s">
        <v>7837</v>
      </c>
      <c r="F1334" s="448">
        <v>39811</v>
      </c>
      <c r="G1334" s="446" t="s">
        <v>4125</v>
      </c>
      <c r="H1334" s="446" t="s">
        <v>7838</v>
      </c>
      <c r="I1334" s="446" t="s">
        <v>6811</v>
      </c>
      <c r="J1334" s="446" t="s">
        <v>746</v>
      </c>
      <c r="K1334" s="446" t="s">
        <v>7839</v>
      </c>
      <c r="L1334" s="450"/>
      <c r="M1334" s="450"/>
      <c r="N1334" s="450"/>
      <c r="O1334" s="450"/>
      <c r="P1334" s="450"/>
      <c r="Q1334" s="450"/>
      <c r="R1334" s="450"/>
      <c r="S1334" s="451"/>
      <c r="T1334" s="450"/>
      <c r="U1334" s="451"/>
      <c r="V1334" s="450"/>
      <c r="W1334" s="450"/>
      <c r="X1334" s="450"/>
      <c r="Y1334" s="450"/>
      <c r="Z1334" s="450"/>
    </row>
    <row r="1335" spans="1:26" x14ac:dyDescent="0.25">
      <c r="A1335" s="446" t="s">
        <v>2009</v>
      </c>
      <c r="B1335" s="446"/>
      <c r="C1335" s="446" t="s">
        <v>7840</v>
      </c>
      <c r="D1335" s="446" t="s">
        <v>7841</v>
      </c>
      <c r="E1335" s="448" t="s">
        <v>7842</v>
      </c>
      <c r="F1335" s="448">
        <v>39854</v>
      </c>
      <c r="G1335" s="446" t="s">
        <v>2012</v>
      </c>
      <c r="H1335" s="446" t="s">
        <v>102</v>
      </c>
      <c r="I1335" s="446" t="s">
        <v>238</v>
      </c>
      <c r="J1335" s="446" t="s">
        <v>4604</v>
      </c>
      <c r="K1335" s="446" t="s">
        <v>7843</v>
      </c>
      <c r="L1335" s="450"/>
      <c r="M1335" s="450"/>
      <c r="N1335" s="450"/>
      <c r="O1335" s="450"/>
      <c r="P1335" s="450"/>
      <c r="Q1335" s="450"/>
      <c r="R1335" s="450"/>
      <c r="S1335" s="451"/>
      <c r="T1335" s="450"/>
      <c r="U1335" s="451"/>
      <c r="V1335" s="450"/>
      <c r="W1335" s="450"/>
      <c r="X1335" s="450"/>
      <c r="Y1335" s="450"/>
      <c r="Z1335" s="450"/>
    </row>
    <row r="1336" spans="1:26" x14ac:dyDescent="0.25">
      <c r="A1336" s="446" t="s">
        <v>2014</v>
      </c>
      <c r="B1336" s="446"/>
      <c r="C1336" s="446" t="s">
        <v>619</v>
      </c>
      <c r="D1336" s="446" t="s">
        <v>7844</v>
      </c>
      <c r="E1336" s="448" t="s">
        <v>7845</v>
      </c>
      <c r="F1336" s="448">
        <v>39871</v>
      </c>
      <c r="G1336" s="446" t="s">
        <v>7846</v>
      </c>
      <c r="H1336" s="446" t="s">
        <v>2017</v>
      </c>
      <c r="I1336" s="446" t="s">
        <v>6844</v>
      </c>
      <c r="J1336" s="446" t="s">
        <v>404</v>
      </c>
      <c r="K1336" s="446" t="s">
        <v>7847</v>
      </c>
      <c r="L1336" s="450"/>
      <c r="M1336" s="450"/>
      <c r="N1336" s="450"/>
      <c r="O1336" s="450"/>
      <c r="P1336" s="450"/>
      <c r="Q1336" s="450"/>
      <c r="R1336" s="450"/>
      <c r="S1336" s="451"/>
      <c r="T1336" s="450"/>
      <c r="U1336" s="451"/>
      <c r="V1336" s="450"/>
      <c r="W1336" s="450"/>
      <c r="X1336" s="450"/>
      <c r="Y1336" s="450"/>
      <c r="Z1336" s="450"/>
    </row>
    <row r="1337" spans="1:26" x14ac:dyDescent="0.25">
      <c r="A1337" s="446" t="s">
        <v>7848</v>
      </c>
      <c r="B1337" s="446"/>
      <c r="C1337" s="446" t="s">
        <v>545</v>
      </c>
      <c r="D1337" s="446" t="s">
        <v>7849</v>
      </c>
      <c r="E1337" s="448" t="s">
        <v>7850</v>
      </c>
      <c r="F1337" s="448">
        <v>39939</v>
      </c>
      <c r="G1337" s="446" t="s">
        <v>7851</v>
      </c>
      <c r="H1337" s="446" t="s">
        <v>7852</v>
      </c>
      <c r="I1337" s="446" t="s">
        <v>7853</v>
      </c>
      <c r="J1337" s="446" t="s">
        <v>4604</v>
      </c>
      <c r="K1337" s="446" t="s">
        <v>7854</v>
      </c>
      <c r="L1337" s="450"/>
      <c r="M1337" s="450"/>
      <c r="N1337" s="450"/>
      <c r="O1337" s="450"/>
      <c r="P1337" s="450"/>
      <c r="Q1337" s="450"/>
      <c r="R1337" s="450"/>
      <c r="S1337" s="451"/>
      <c r="T1337" s="450"/>
      <c r="U1337" s="451"/>
      <c r="V1337" s="450"/>
      <c r="W1337" s="450"/>
      <c r="X1337" s="450"/>
      <c r="Y1337" s="450"/>
      <c r="Z1337" s="450"/>
    </row>
    <row r="1338" spans="1:26" x14ac:dyDescent="0.25">
      <c r="A1338" s="446" t="s">
        <v>7855</v>
      </c>
      <c r="B1338" s="446"/>
      <c r="C1338" s="446" t="s">
        <v>7856</v>
      </c>
      <c r="D1338" s="446" t="s">
        <v>7857</v>
      </c>
      <c r="E1338" s="448" t="s">
        <v>7858</v>
      </c>
      <c r="F1338" s="448">
        <v>39945</v>
      </c>
      <c r="G1338" s="446" t="s">
        <v>7859</v>
      </c>
      <c r="H1338" s="446" t="s">
        <v>7860</v>
      </c>
      <c r="I1338" s="446" t="s">
        <v>6877</v>
      </c>
      <c r="J1338" s="446" t="s">
        <v>4604</v>
      </c>
      <c r="K1338" s="446" t="s">
        <v>7861</v>
      </c>
      <c r="L1338" s="450"/>
      <c r="M1338" s="450"/>
      <c r="N1338" s="450"/>
      <c r="O1338" s="450"/>
      <c r="P1338" s="450"/>
      <c r="Q1338" s="450"/>
      <c r="R1338" s="450"/>
      <c r="S1338" s="451"/>
      <c r="T1338" s="450"/>
      <c r="U1338" s="451"/>
      <c r="V1338" s="450"/>
      <c r="W1338" s="450"/>
      <c r="X1338" s="450"/>
      <c r="Y1338" s="450"/>
      <c r="Z1338" s="450"/>
    </row>
    <row r="1339" spans="1:26" x14ac:dyDescent="0.25">
      <c r="A1339" s="446" t="s">
        <v>7862</v>
      </c>
      <c r="B1339" s="446"/>
      <c r="C1339" s="446" t="s">
        <v>533</v>
      </c>
      <c r="D1339" s="446" t="s">
        <v>7863</v>
      </c>
      <c r="E1339" s="448" t="s">
        <v>7864</v>
      </c>
      <c r="F1339" s="448">
        <v>39981</v>
      </c>
      <c r="G1339" s="446" t="s">
        <v>7865</v>
      </c>
      <c r="H1339" s="446" t="s">
        <v>7866</v>
      </c>
      <c r="I1339" s="446" t="s">
        <v>7867</v>
      </c>
      <c r="J1339" s="446" t="s">
        <v>4604</v>
      </c>
      <c r="K1339" s="446" t="s">
        <v>7868</v>
      </c>
      <c r="L1339" s="450"/>
      <c r="M1339" s="450"/>
      <c r="N1339" s="450"/>
      <c r="O1339" s="450"/>
      <c r="P1339" s="450"/>
      <c r="Q1339" s="450"/>
      <c r="R1339" s="450"/>
      <c r="S1339" s="451"/>
      <c r="T1339" s="450"/>
      <c r="U1339" s="451"/>
      <c r="V1339" s="450"/>
      <c r="W1339" s="450"/>
      <c r="X1339" s="450"/>
      <c r="Y1339" s="450"/>
      <c r="Z1339" s="450"/>
    </row>
    <row r="1340" spans="1:26" x14ac:dyDescent="0.25">
      <c r="A1340" s="446" t="s">
        <v>7869</v>
      </c>
      <c r="B1340" s="446"/>
      <c r="C1340" s="446" t="s">
        <v>545</v>
      </c>
      <c r="D1340" s="446" t="s">
        <v>7870</v>
      </c>
      <c r="E1340" s="448" t="s">
        <v>7871</v>
      </c>
      <c r="F1340" s="448">
        <v>40009</v>
      </c>
      <c r="G1340" s="446" t="s">
        <v>7872</v>
      </c>
      <c r="H1340" s="446" t="s">
        <v>7873</v>
      </c>
      <c r="I1340" s="446" t="s">
        <v>7853</v>
      </c>
      <c r="J1340" s="446" t="s">
        <v>4604</v>
      </c>
      <c r="K1340" s="446" t="s">
        <v>7874</v>
      </c>
      <c r="L1340" s="450"/>
      <c r="M1340" s="450"/>
      <c r="N1340" s="450"/>
      <c r="O1340" s="450"/>
      <c r="P1340" s="450"/>
      <c r="Q1340" s="450"/>
      <c r="R1340" s="450"/>
      <c r="S1340" s="451"/>
      <c r="T1340" s="450"/>
      <c r="U1340" s="451"/>
      <c r="V1340" s="450"/>
      <c r="W1340" s="450"/>
      <c r="X1340" s="450"/>
      <c r="Y1340" s="450"/>
      <c r="Z1340" s="450"/>
    </row>
    <row r="1341" spans="1:26" x14ac:dyDescent="0.25">
      <c r="A1341" s="446" t="s">
        <v>2019</v>
      </c>
      <c r="B1341" s="446"/>
      <c r="C1341" s="446" t="s">
        <v>7791</v>
      </c>
      <c r="D1341" s="446" t="s">
        <v>7875</v>
      </c>
      <c r="E1341" s="448" t="s">
        <v>7876</v>
      </c>
      <c r="F1341" s="448">
        <v>40059</v>
      </c>
      <c r="G1341" s="446" t="s">
        <v>2021</v>
      </c>
      <c r="H1341" s="446" t="s">
        <v>2022</v>
      </c>
      <c r="I1341" s="446" t="s">
        <v>4632</v>
      </c>
      <c r="J1341" s="446" t="s">
        <v>760</v>
      </c>
      <c r="K1341" s="446" t="s">
        <v>7877</v>
      </c>
      <c r="L1341" s="450"/>
      <c r="M1341" s="450"/>
      <c r="N1341" s="450"/>
      <c r="O1341" s="450"/>
      <c r="P1341" s="450"/>
      <c r="Q1341" s="450"/>
      <c r="R1341" s="450"/>
      <c r="S1341" s="451"/>
      <c r="T1341" s="450"/>
      <c r="U1341" s="451"/>
      <c r="V1341" s="450"/>
      <c r="W1341" s="450"/>
      <c r="X1341" s="450"/>
      <c r="Y1341" s="450"/>
      <c r="Z1341" s="450"/>
    </row>
    <row r="1342" spans="1:26" x14ac:dyDescent="0.25">
      <c r="A1342" s="446" t="s">
        <v>2028</v>
      </c>
      <c r="B1342" s="446"/>
      <c r="C1342" s="446" t="s">
        <v>2029</v>
      </c>
      <c r="D1342" s="446" t="s">
        <v>7878</v>
      </c>
      <c r="E1342" s="448" t="s">
        <v>7879</v>
      </c>
      <c r="F1342" s="448">
        <v>40133</v>
      </c>
      <c r="G1342" s="446" t="s">
        <v>114</v>
      </c>
      <c r="H1342" s="446" t="s">
        <v>2031</v>
      </c>
      <c r="I1342" s="446" t="s">
        <v>5207</v>
      </c>
      <c r="J1342" s="446" t="s">
        <v>746</v>
      </c>
      <c r="K1342" s="446" t="s">
        <v>7880</v>
      </c>
      <c r="L1342" s="450"/>
      <c r="M1342" s="450"/>
      <c r="N1342" s="450"/>
      <c r="O1342" s="450"/>
      <c r="P1342" s="450"/>
      <c r="Q1342" s="450"/>
      <c r="R1342" s="450"/>
      <c r="S1342" s="451"/>
      <c r="T1342" s="450"/>
      <c r="U1342" s="451"/>
      <c r="V1342" s="450"/>
      <c r="W1342" s="450"/>
      <c r="X1342" s="450"/>
      <c r="Y1342" s="450"/>
      <c r="Z1342" s="450"/>
    </row>
    <row r="1343" spans="1:26" x14ac:dyDescent="0.25">
      <c r="A1343" s="446" t="s">
        <v>2024</v>
      </c>
      <c r="B1343" s="446"/>
      <c r="C1343" s="446" t="s">
        <v>1160</v>
      </c>
      <c r="D1343" s="446" t="s">
        <v>7881</v>
      </c>
      <c r="E1343" s="448" t="s">
        <v>7882</v>
      </c>
      <c r="F1343" s="448">
        <v>40067</v>
      </c>
      <c r="G1343" s="446" t="s">
        <v>7883</v>
      </c>
      <c r="H1343" s="446" t="s">
        <v>7884</v>
      </c>
      <c r="I1343" s="446" t="s">
        <v>6844</v>
      </c>
      <c r="J1343" s="446" t="s">
        <v>404</v>
      </c>
      <c r="K1343" s="446" t="s">
        <v>7885</v>
      </c>
      <c r="L1343" s="450"/>
      <c r="M1343" s="450"/>
      <c r="N1343" s="450"/>
      <c r="O1343" s="450"/>
      <c r="P1343" s="450"/>
      <c r="Q1343" s="450"/>
      <c r="R1343" s="450"/>
      <c r="S1343" s="451"/>
      <c r="T1343" s="450"/>
      <c r="U1343" s="451"/>
      <c r="V1343" s="450"/>
      <c r="W1343" s="450"/>
      <c r="X1343" s="450"/>
      <c r="Y1343" s="450"/>
      <c r="Z1343" s="450"/>
    </row>
    <row r="1344" spans="1:26" x14ac:dyDescent="0.25">
      <c r="A1344" s="446" t="s">
        <v>2032</v>
      </c>
      <c r="B1344" s="446"/>
      <c r="C1344" s="446" t="s">
        <v>2033</v>
      </c>
      <c r="D1344" s="446" t="s">
        <v>7886</v>
      </c>
      <c r="E1344" s="448" t="s">
        <v>7887</v>
      </c>
      <c r="F1344" s="448">
        <v>40298</v>
      </c>
      <c r="G1344" s="446" t="s">
        <v>2035</v>
      </c>
      <c r="H1344" s="446" t="s">
        <v>102</v>
      </c>
      <c r="I1344" s="446" t="s">
        <v>4632</v>
      </c>
      <c r="J1344" s="446" t="s">
        <v>760</v>
      </c>
      <c r="K1344" s="446" t="s">
        <v>7888</v>
      </c>
      <c r="L1344" s="450"/>
      <c r="M1344" s="450"/>
      <c r="N1344" s="450"/>
      <c r="O1344" s="450"/>
      <c r="P1344" s="450"/>
      <c r="Q1344" s="450"/>
      <c r="R1344" s="450"/>
      <c r="S1344" s="451"/>
      <c r="T1344" s="450"/>
      <c r="U1344" s="451"/>
      <c r="V1344" s="450"/>
      <c r="W1344" s="450"/>
      <c r="X1344" s="450"/>
      <c r="Y1344" s="450"/>
      <c r="Z1344" s="450"/>
    </row>
    <row r="1345" spans="1:26" x14ac:dyDescent="0.25">
      <c r="A1345" s="446" t="s">
        <v>2041</v>
      </c>
      <c r="B1345" s="446"/>
      <c r="C1345" s="446" t="s">
        <v>619</v>
      </c>
      <c r="D1345" s="446" t="s">
        <v>7889</v>
      </c>
      <c r="E1345" s="448" t="s">
        <v>7890</v>
      </c>
      <c r="F1345" s="448">
        <v>40333</v>
      </c>
      <c r="G1345" s="446" t="s">
        <v>7891</v>
      </c>
      <c r="H1345" s="446" t="s">
        <v>7892</v>
      </c>
      <c r="I1345" s="446" t="s">
        <v>6844</v>
      </c>
      <c r="J1345" s="446" t="s">
        <v>404</v>
      </c>
      <c r="K1345" s="446" t="s">
        <v>7893</v>
      </c>
      <c r="L1345" s="450"/>
      <c r="M1345" s="450"/>
      <c r="N1345" s="450"/>
      <c r="O1345" s="450"/>
      <c r="P1345" s="450"/>
      <c r="Q1345" s="450"/>
      <c r="R1345" s="450"/>
      <c r="S1345" s="451"/>
      <c r="T1345" s="450"/>
      <c r="U1345" s="451"/>
      <c r="V1345" s="450"/>
      <c r="W1345" s="450"/>
      <c r="X1345" s="450"/>
      <c r="Y1345" s="450"/>
      <c r="Z1345" s="450"/>
    </row>
    <row r="1346" spans="1:26" x14ac:dyDescent="0.25">
      <c r="A1346" s="446" t="s">
        <v>2051</v>
      </c>
      <c r="B1346" s="446"/>
      <c r="C1346" s="446" t="s">
        <v>1456</v>
      </c>
      <c r="D1346" s="446" t="s">
        <v>7894</v>
      </c>
      <c r="E1346" s="448" t="s">
        <v>7895</v>
      </c>
      <c r="F1346" s="448">
        <v>40338</v>
      </c>
      <c r="G1346" s="446" t="s">
        <v>2053</v>
      </c>
      <c r="H1346" s="446" t="s">
        <v>2054</v>
      </c>
      <c r="I1346" s="446" t="s">
        <v>6093</v>
      </c>
      <c r="J1346" s="446" t="s">
        <v>746</v>
      </c>
      <c r="K1346" s="446" t="s">
        <v>7896</v>
      </c>
      <c r="L1346" s="450"/>
      <c r="M1346" s="450"/>
      <c r="N1346" s="450"/>
      <c r="O1346" s="450"/>
      <c r="P1346" s="450"/>
      <c r="Q1346" s="450"/>
      <c r="R1346" s="450"/>
      <c r="S1346" s="451"/>
      <c r="T1346" s="450"/>
      <c r="U1346" s="451"/>
      <c r="V1346" s="450"/>
      <c r="W1346" s="450"/>
      <c r="X1346" s="450"/>
      <c r="Y1346" s="450"/>
      <c r="Z1346" s="450"/>
    </row>
    <row r="1347" spans="1:26" x14ac:dyDescent="0.25">
      <c r="A1347" s="446" t="s">
        <v>2045</v>
      </c>
      <c r="B1347" s="446"/>
      <c r="C1347" s="446" t="s">
        <v>1456</v>
      </c>
      <c r="D1347" s="446" t="s">
        <v>7897</v>
      </c>
      <c r="E1347" s="448" t="s">
        <v>7895</v>
      </c>
      <c r="F1347" s="448">
        <v>40338</v>
      </c>
      <c r="G1347" s="446" t="s">
        <v>2047</v>
      </c>
      <c r="H1347" s="446" t="s">
        <v>7898</v>
      </c>
      <c r="I1347" s="446" t="s">
        <v>6093</v>
      </c>
      <c r="J1347" s="446" t="s">
        <v>746</v>
      </c>
      <c r="K1347" s="446" t="s">
        <v>7899</v>
      </c>
      <c r="L1347" s="450"/>
      <c r="M1347" s="450"/>
      <c r="N1347" s="450"/>
      <c r="O1347" s="450"/>
      <c r="P1347" s="450"/>
      <c r="Q1347" s="450"/>
      <c r="R1347" s="450"/>
      <c r="S1347" s="451"/>
      <c r="T1347" s="450"/>
      <c r="U1347" s="451"/>
      <c r="V1347" s="450"/>
      <c r="W1347" s="450"/>
      <c r="X1347" s="450"/>
      <c r="Y1347" s="450"/>
      <c r="Z1347" s="450"/>
    </row>
    <row r="1348" spans="1:26" x14ac:dyDescent="0.25">
      <c r="A1348" s="446" t="s">
        <v>2036</v>
      </c>
      <c r="B1348" s="446"/>
      <c r="C1348" s="446" t="s">
        <v>1902</v>
      </c>
      <c r="D1348" s="446" t="s">
        <v>7900</v>
      </c>
      <c r="E1348" s="448" t="s">
        <v>7901</v>
      </c>
      <c r="F1348" s="448">
        <v>40318</v>
      </c>
      <c r="G1348" s="446" t="s">
        <v>7902</v>
      </c>
      <c r="H1348" s="446" t="s">
        <v>7903</v>
      </c>
      <c r="I1348" s="446" t="s">
        <v>6844</v>
      </c>
      <c r="J1348" s="446" t="s">
        <v>760</v>
      </c>
      <c r="K1348" s="446" t="s">
        <v>7904</v>
      </c>
      <c r="L1348" s="450"/>
      <c r="M1348" s="450"/>
      <c r="N1348" s="450"/>
      <c r="O1348" s="450"/>
      <c r="P1348" s="450"/>
      <c r="Q1348" s="450"/>
      <c r="R1348" s="450"/>
      <c r="S1348" s="451"/>
      <c r="T1348" s="450"/>
      <c r="U1348" s="451"/>
      <c r="V1348" s="450"/>
      <c r="W1348" s="450"/>
      <c r="X1348" s="450"/>
      <c r="Y1348" s="450"/>
      <c r="Z1348" s="450"/>
    </row>
    <row r="1349" spans="1:26" x14ac:dyDescent="0.25">
      <c r="A1349" s="446" t="s">
        <v>2056</v>
      </c>
      <c r="B1349" s="446"/>
      <c r="C1349" s="446" t="s">
        <v>619</v>
      </c>
      <c r="D1349" s="446" t="s">
        <v>7905</v>
      </c>
      <c r="E1349" s="448" t="s">
        <v>7906</v>
      </c>
      <c r="F1349" s="448">
        <v>40357</v>
      </c>
      <c r="G1349" s="446" t="s">
        <v>2058</v>
      </c>
      <c r="H1349" s="446" t="s">
        <v>1729</v>
      </c>
      <c r="I1349" s="446" t="s">
        <v>215</v>
      </c>
      <c r="J1349" s="446" t="s">
        <v>404</v>
      </c>
      <c r="K1349" s="446" t="s">
        <v>7907</v>
      </c>
      <c r="L1349" s="450"/>
      <c r="M1349" s="450"/>
      <c r="N1349" s="450"/>
      <c r="O1349" s="450"/>
      <c r="P1349" s="450"/>
      <c r="Q1349" s="450"/>
      <c r="R1349" s="450"/>
      <c r="S1349" s="451"/>
      <c r="T1349" s="450"/>
      <c r="U1349" s="451"/>
      <c r="V1349" s="450"/>
      <c r="W1349" s="450"/>
      <c r="X1349" s="450"/>
      <c r="Y1349" s="450"/>
      <c r="Z1349" s="450"/>
    </row>
    <row r="1350" spans="1:26" x14ac:dyDescent="0.25">
      <c r="A1350" s="446" t="s">
        <v>7908</v>
      </c>
      <c r="B1350" s="446"/>
      <c r="C1350" s="446" t="s">
        <v>1456</v>
      </c>
      <c r="D1350" s="446" t="s">
        <v>7909</v>
      </c>
      <c r="E1350" s="448" t="s">
        <v>7910</v>
      </c>
      <c r="F1350" s="448">
        <v>40396</v>
      </c>
      <c r="G1350" s="446" t="s">
        <v>1957</v>
      </c>
      <c r="H1350" s="446" t="s">
        <v>7911</v>
      </c>
      <c r="I1350" s="446" t="s">
        <v>7789</v>
      </c>
      <c r="J1350" s="446" t="s">
        <v>746</v>
      </c>
      <c r="K1350" s="446" t="s">
        <v>7912</v>
      </c>
      <c r="L1350" s="450"/>
      <c r="M1350" s="450"/>
      <c r="N1350" s="450"/>
      <c r="O1350" s="450"/>
      <c r="P1350" s="450"/>
      <c r="Q1350" s="450"/>
      <c r="R1350" s="450"/>
      <c r="S1350" s="451"/>
      <c r="T1350" s="450"/>
      <c r="U1350" s="451"/>
      <c r="V1350" s="450"/>
      <c r="W1350" s="450"/>
      <c r="X1350" s="450"/>
      <c r="Y1350" s="450"/>
      <c r="Z1350" s="450"/>
    </row>
    <row r="1351" spans="1:26" x14ac:dyDescent="0.25">
      <c r="A1351" s="446" t="s">
        <v>2064</v>
      </c>
      <c r="B1351" s="446"/>
      <c r="C1351" s="446" t="s">
        <v>619</v>
      </c>
      <c r="D1351" s="446" t="s">
        <v>7913</v>
      </c>
      <c r="E1351" s="448" t="s">
        <v>7914</v>
      </c>
      <c r="F1351" s="448">
        <v>40416</v>
      </c>
      <c r="G1351" s="446" t="s">
        <v>7915</v>
      </c>
      <c r="H1351" s="446" t="s">
        <v>7916</v>
      </c>
      <c r="I1351" s="446" t="s">
        <v>6844</v>
      </c>
      <c r="J1351" s="446" t="s">
        <v>404</v>
      </c>
      <c r="K1351" s="446" t="s">
        <v>7917</v>
      </c>
      <c r="L1351" s="450"/>
      <c r="M1351" s="450"/>
      <c r="N1351" s="450"/>
      <c r="O1351" s="450"/>
      <c r="P1351" s="450"/>
      <c r="Q1351" s="450"/>
      <c r="R1351" s="450"/>
      <c r="S1351" s="451"/>
      <c r="T1351" s="450"/>
      <c r="U1351" s="451"/>
      <c r="V1351" s="450"/>
      <c r="W1351" s="450"/>
      <c r="X1351" s="450"/>
      <c r="Y1351" s="450"/>
      <c r="Z1351" s="450"/>
    </row>
    <row r="1352" spans="1:26" x14ac:dyDescent="0.25">
      <c r="A1352" s="446" t="s">
        <v>2068</v>
      </c>
      <c r="B1352" s="446"/>
      <c r="C1352" s="446" t="s">
        <v>619</v>
      </c>
      <c r="D1352" s="446" t="s">
        <v>7918</v>
      </c>
      <c r="E1352" s="448" t="s">
        <v>7919</v>
      </c>
      <c r="F1352" s="448">
        <v>40437</v>
      </c>
      <c r="G1352" s="446" t="s">
        <v>2070</v>
      </c>
      <c r="H1352" s="446" t="s">
        <v>7920</v>
      </c>
      <c r="I1352" s="446" t="s">
        <v>6093</v>
      </c>
      <c r="J1352" s="446" t="s">
        <v>404</v>
      </c>
      <c r="K1352" s="446" t="s">
        <v>7921</v>
      </c>
      <c r="L1352" s="450"/>
      <c r="M1352" s="450"/>
      <c r="N1352" s="450"/>
      <c r="O1352" s="450"/>
      <c r="P1352" s="450"/>
      <c r="Q1352" s="450"/>
      <c r="R1352" s="450"/>
      <c r="S1352" s="451"/>
      <c r="T1352" s="450"/>
      <c r="U1352" s="451"/>
      <c r="V1352" s="450"/>
      <c r="W1352" s="450"/>
      <c r="X1352" s="450"/>
      <c r="Y1352" s="450"/>
      <c r="Z1352" s="450"/>
    </row>
    <row r="1353" spans="1:26" x14ac:dyDescent="0.25">
      <c r="A1353" s="446" t="s">
        <v>2059</v>
      </c>
      <c r="B1353" s="446"/>
      <c r="C1353" s="446" t="s">
        <v>2060</v>
      </c>
      <c r="D1353" s="446" t="s">
        <v>7922</v>
      </c>
      <c r="E1353" s="448" t="s">
        <v>7923</v>
      </c>
      <c r="F1353" s="448">
        <v>40360</v>
      </c>
      <c r="G1353" s="446" t="s">
        <v>1957</v>
      </c>
      <c r="H1353" s="446" t="s">
        <v>2062</v>
      </c>
      <c r="I1353" s="446" t="s">
        <v>2063</v>
      </c>
      <c r="J1353" s="446" t="s">
        <v>760</v>
      </c>
      <c r="K1353" s="446" t="s">
        <v>7924</v>
      </c>
      <c r="L1353" s="450"/>
      <c r="M1353" s="450"/>
      <c r="N1353" s="450"/>
      <c r="O1353" s="450"/>
      <c r="P1353" s="450"/>
      <c r="Q1353" s="450"/>
      <c r="R1353" s="450"/>
      <c r="S1353" s="451"/>
      <c r="T1353" s="450"/>
      <c r="U1353" s="451"/>
      <c r="V1353" s="450"/>
      <c r="W1353" s="450"/>
      <c r="X1353" s="450"/>
      <c r="Y1353" s="450"/>
      <c r="Z1353" s="450"/>
    </row>
    <row r="1354" spans="1:26" x14ac:dyDescent="0.25">
      <c r="A1354" s="446" t="s">
        <v>2072</v>
      </c>
      <c r="B1354" s="446"/>
      <c r="C1354" s="446" t="s">
        <v>7856</v>
      </c>
      <c r="D1354" s="446" t="s">
        <v>7925</v>
      </c>
      <c r="E1354" s="448" t="s">
        <v>7926</v>
      </c>
      <c r="F1354" s="448">
        <v>40513</v>
      </c>
      <c r="G1354" s="446" t="s">
        <v>2075</v>
      </c>
      <c r="H1354" s="446" t="s">
        <v>2076</v>
      </c>
      <c r="I1354" s="446" t="s">
        <v>4632</v>
      </c>
      <c r="J1354" s="446" t="s">
        <v>4604</v>
      </c>
      <c r="K1354" s="446" t="s">
        <v>7927</v>
      </c>
      <c r="L1354" s="450"/>
      <c r="M1354" s="450"/>
      <c r="N1354" s="450"/>
      <c r="O1354" s="450"/>
      <c r="P1354" s="450"/>
      <c r="Q1354" s="450"/>
      <c r="R1354" s="450"/>
      <c r="S1354" s="451"/>
      <c r="T1354" s="450"/>
      <c r="U1354" s="451"/>
      <c r="V1354" s="450"/>
      <c r="W1354" s="450"/>
      <c r="X1354" s="450"/>
      <c r="Y1354" s="450"/>
      <c r="Z1354" s="450"/>
    </row>
    <row r="1355" spans="1:26" x14ac:dyDescent="0.25">
      <c r="A1355" s="446" t="s">
        <v>2082</v>
      </c>
      <c r="B1355" s="446"/>
      <c r="C1355" s="446" t="s">
        <v>7928</v>
      </c>
      <c r="D1355" s="446" t="s">
        <v>7929</v>
      </c>
      <c r="E1355" s="448" t="s">
        <v>7930</v>
      </c>
      <c r="F1355" s="448">
        <v>40577</v>
      </c>
      <c r="G1355" s="446" t="s">
        <v>7931</v>
      </c>
      <c r="H1355" s="446" t="s">
        <v>7932</v>
      </c>
      <c r="I1355" s="446" t="s">
        <v>7335</v>
      </c>
      <c r="J1355" s="446" t="s">
        <v>404</v>
      </c>
      <c r="K1355" s="446" t="s">
        <v>7933</v>
      </c>
      <c r="L1355" s="450"/>
      <c r="M1355" s="450"/>
      <c r="N1355" s="450"/>
      <c r="O1355" s="450"/>
      <c r="P1355" s="450"/>
      <c r="Q1355" s="450"/>
      <c r="R1355" s="450"/>
      <c r="S1355" s="451"/>
      <c r="T1355" s="450"/>
      <c r="U1355" s="451"/>
      <c r="V1355" s="450"/>
      <c r="W1355" s="450"/>
      <c r="X1355" s="450"/>
      <c r="Y1355" s="450"/>
      <c r="Z1355" s="450"/>
    </row>
    <row r="1356" spans="1:26" x14ac:dyDescent="0.25">
      <c r="A1356" s="446" t="s">
        <v>2077</v>
      </c>
      <c r="B1356" s="446"/>
      <c r="C1356" s="446" t="s">
        <v>7928</v>
      </c>
      <c r="D1356" s="446" t="s">
        <v>7934</v>
      </c>
      <c r="E1356" s="448" t="s">
        <v>7930</v>
      </c>
      <c r="F1356" s="448">
        <v>40577</v>
      </c>
      <c r="G1356" s="446" t="s">
        <v>7935</v>
      </c>
      <c r="H1356" s="446" t="s">
        <v>7936</v>
      </c>
      <c r="I1356" s="446" t="s">
        <v>7335</v>
      </c>
      <c r="J1356" s="446" t="s">
        <v>404</v>
      </c>
      <c r="K1356" s="446" t="s">
        <v>7937</v>
      </c>
      <c r="L1356" s="450"/>
      <c r="M1356" s="450"/>
      <c r="N1356" s="450"/>
      <c r="O1356" s="450"/>
      <c r="P1356" s="450"/>
      <c r="Q1356" s="450"/>
      <c r="R1356" s="450"/>
      <c r="S1356" s="451"/>
      <c r="T1356" s="450"/>
      <c r="U1356" s="451"/>
      <c r="V1356" s="450"/>
      <c r="W1356" s="450"/>
      <c r="X1356" s="450"/>
      <c r="Y1356" s="450"/>
      <c r="Z1356" s="450"/>
    </row>
    <row r="1357" spans="1:26" x14ac:dyDescent="0.25">
      <c r="A1357" s="446" t="s">
        <v>2085</v>
      </c>
      <c r="B1357" s="446"/>
      <c r="C1357" s="446" t="s">
        <v>7928</v>
      </c>
      <c r="D1357" s="446" t="s">
        <v>7938</v>
      </c>
      <c r="E1357" s="448" t="s">
        <v>7930</v>
      </c>
      <c r="F1357" s="448">
        <v>40583</v>
      </c>
      <c r="G1357" s="446" t="s">
        <v>7939</v>
      </c>
      <c r="H1357" s="446" t="s">
        <v>7940</v>
      </c>
      <c r="I1357" s="446" t="s">
        <v>7335</v>
      </c>
      <c r="J1357" s="446" t="s">
        <v>404</v>
      </c>
      <c r="K1357" s="446" t="s">
        <v>7941</v>
      </c>
      <c r="L1357" s="450"/>
      <c r="M1357" s="450"/>
      <c r="N1357" s="450"/>
      <c r="O1357" s="450"/>
      <c r="P1357" s="450"/>
      <c r="Q1357" s="450"/>
      <c r="R1357" s="450"/>
      <c r="S1357" s="451"/>
      <c r="T1357" s="450"/>
      <c r="U1357" s="451"/>
      <c r="V1357" s="450"/>
      <c r="W1357" s="450"/>
      <c r="X1357" s="450"/>
      <c r="Y1357" s="450"/>
      <c r="Z1357" s="450"/>
    </row>
    <row r="1358" spans="1:26" x14ac:dyDescent="0.25">
      <c r="A1358" s="446" t="s">
        <v>2089</v>
      </c>
      <c r="B1358" s="446"/>
      <c r="C1358" s="446" t="s">
        <v>619</v>
      </c>
      <c r="D1358" s="446" t="s">
        <v>7942</v>
      </c>
      <c r="E1358" s="448" t="s">
        <v>7943</v>
      </c>
      <c r="F1358" s="448">
        <v>40661</v>
      </c>
      <c r="G1358" s="446" t="s">
        <v>7944</v>
      </c>
      <c r="H1358" s="446" t="s">
        <v>7945</v>
      </c>
      <c r="I1358" s="446" t="s">
        <v>6844</v>
      </c>
      <c r="J1358" s="446" t="s">
        <v>404</v>
      </c>
      <c r="K1358" s="446" t="s">
        <v>7946</v>
      </c>
      <c r="L1358" s="450"/>
      <c r="M1358" s="450"/>
      <c r="N1358" s="450"/>
      <c r="O1358" s="450"/>
      <c r="P1358" s="450"/>
      <c r="Q1358" s="450"/>
      <c r="R1358" s="450"/>
      <c r="S1358" s="451"/>
      <c r="T1358" s="450"/>
      <c r="U1358" s="451"/>
      <c r="V1358" s="450"/>
      <c r="W1358" s="450"/>
      <c r="X1358" s="450"/>
      <c r="Y1358" s="450"/>
      <c r="Z1358" s="450"/>
    </row>
    <row r="1359" spans="1:26" x14ac:dyDescent="0.25">
      <c r="A1359" s="446" t="s">
        <v>2093</v>
      </c>
      <c r="B1359" s="446"/>
      <c r="C1359" s="446" t="s">
        <v>619</v>
      </c>
      <c r="D1359" s="446" t="s">
        <v>7947</v>
      </c>
      <c r="E1359" s="448" t="s">
        <v>7948</v>
      </c>
      <c r="F1359" s="448">
        <v>40778</v>
      </c>
      <c r="G1359" s="446" t="s">
        <v>7949</v>
      </c>
      <c r="H1359" s="446" t="s">
        <v>7950</v>
      </c>
      <c r="I1359" s="446" t="s">
        <v>231</v>
      </c>
      <c r="J1359" s="446" t="s">
        <v>404</v>
      </c>
      <c r="K1359" s="446" t="s">
        <v>7951</v>
      </c>
      <c r="L1359" s="450"/>
      <c r="M1359" s="450"/>
      <c r="N1359" s="450"/>
      <c r="O1359" s="450"/>
      <c r="P1359" s="450"/>
      <c r="Q1359" s="450"/>
      <c r="R1359" s="450"/>
      <c r="S1359" s="451"/>
      <c r="T1359" s="450"/>
      <c r="U1359" s="451"/>
      <c r="V1359" s="450"/>
      <c r="W1359" s="450"/>
      <c r="X1359" s="450"/>
      <c r="Y1359" s="450"/>
      <c r="Z1359" s="450"/>
    </row>
    <row r="1360" spans="1:26" x14ac:dyDescent="0.25">
      <c r="A1360" s="446" t="s">
        <v>2099</v>
      </c>
      <c r="B1360" s="446"/>
      <c r="C1360" s="446" t="s">
        <v>533</v>
      </c>
      <c r="D1360" s="446" t="s">
        <v>7952</v>
      </c>
      <c r="E1360" s="448" t="s">
        <v>7953</v>
      </c>
      <c r="F1360" s="448">
        <v>40788</v>
      </c>
      <c r="G1360" s="446" t="s">
        <v>2401</v>
      </c>
      <c r="H1360" s="446" t="s">
        <v>7954</v>
      </c>
      <c r="I1360" s="446" t="s">
        <v>5207</v>
      </c>
      <c r="J1360" s="446" t="s">
        <v>4604</v>
      </c>
      <c r="K1360" s="446" t="s">
        <v>7955</v>
      </c>
      <c r="L1360" s="450"/>
      <c r="M1360" s="450"/>
      <c r="N1360" s="450"/>
      <c r="O1360" s="450"/>
      <c r="P1360" s="450"/>
      <c r="Q1360" s="450"/>
      <c r="R1360" s="450"/>
      <c r="S1360" s="451"/>
      <c r="T1360" s="450"/>
      <c r="U1360" s="451"/>
      <c r="V1360" s="450"/>
      <c r="W1360" s="450"/>
      <c r="X1360" s="450"/>
      <c r="Y1360" s="450"/>
      <c r="Z1360" s="450"/>
    </row>
    <row r="1361" spans="1:26" x14ac:dyDescent="0.25">
      <c r="A1361" s="446" t="s">
        <v>2107</v>
      </c>
      <c r="B1361" s="446"/>
      <c r="C1361" s="446" t="s">
        <v>408</v>
      </c>
      <c r="D1361" s="446" t="s">
        <v>7956</v>
      </c>
      <c r="E1361" s="448" t="s">
        <v>7957</v>
      </c>
      <c r="F1361" s="448">
        <v>40839</v>
      </c>
      <c r="G1361" s="446" t="s">
        <v>7958</v>
      </c>
      <c r="H1361" s="446" t="s">
        <v>7959</v>
      </c>
      <c r="I1361" s="446" t="s">
        <v>7084</v>
      </c>
      <c r="J1361" s="446" t="s">
        <v>4604</v>
      </c>
      <c r="K1361" s="446" t="s">
        <v>7960</v>
      </c>
      <c r="L1361" s="450"/>
      <c r="M1361" s="450"/>
      <c r="N1361" s="450"/>
      <c r="O1361" s="450"/>
      <c r="P1361" s="450"/>
      <c r="Q1361" s="450"/>
      <c r="R1361" s="450"/>
      <c r="S1361" s="451"/>
      <c r="T1361" s="450"/>
      <c r="U1361" s="451"/>
      <c r="V1361" s="450"/>
      <c r="W1361" s="450"/>
      <c r="X1361" s="450"/>
      <c r="Y1361" s="450"/>
      <c r="Z1361" s="450"/>
    </row>
    <row r="1362" spans="1:26" x14ac:dyDescent="0.25">
      <c r="A1362" s="446" t="s">
        <v>2112</v>
      </c>
      <c r="B1362" s="446"/>
      <c r="C1362" s="446" t="s">
        <v>619</v>
      </c>
      <c r="D1362" s="446" t="s">
        <v>7961</v>
      </c>
      <c r="E1362" s="448" t="s">
        <v>7957</v>
      </c>
      <c r="F1362" s="448">
        <v>40839</v>
      </c>
      <c r="G1362" s="446" t="s">
        <v>7958</v>
      </c>
      <c r="H1362" s="446" t="s">
        <v>7959</v>
      </c>
      <c r="I1362" s="446" t="s">
        <v>6844</v>
      </c>
      <c r="J1362" s="446" t="s">
        <v>404</v>
      </c>
      <c r="K1362" s="446" t="s">
        <v>7962</v>
      </c>
      <c r="L1362" s="450"/>
      <c r="M1362" s="450"/>
      <c r="N1362" s="450"/>
      <c r="O1362" s="450"/>
      <c r="P1362" s="450"/>
      <c r="Q1362" s="450"/>
      <c r="R1362" s="450"/>
      <c r="S1362" s="451"/>
      <c r="T1362" s="450"/>
      <c r="U1362" s="451"/>
      <c r="V1362" s="450"/>
      <c r="W1362" s="450"/>
      <c r="X1362" s="450"/>
      <c r="Y1362" s="450"/>
      <c r="Z1362" s="450"/>
    </row>
    <row r="1363" spans="1:26" x14ac:dyDescent="0.25">
      <c r="A1363" s="446" t="s">
        <v>2102</v>
      </c>
      <c r="B1363" s="446"/>
      <c r="C1363" s="446" t="s">
        <v>461</v>
      </c>
      <c r="D1363" s="446" t="s">
        <v>7963</v>
      </c>
      <c r="E1363" s="448" t="s">
        <v>7957</v>
      </c>
      <c r="F1363" s="448">
        <v>40839</v>
      </c>
      <c r="G1363" s="446" t="s">
        <v>2105</v>
      </c>
      <c r="H1363" s="446" t="s">
        <v>102</v>
      </c>
      <c r="I1363" s="446" t="s">
        <v>6844</v>
      </c>
      <c r="J1363" s="446" t="s">
        <v>760</v>
      </c>
      <c r="K1363" s="446" t="s">
        <v>7964</v>
      </c>
      <c r="L1363" s="450"/>
      <c r="M1363" s="450"/>
      <c r="N1363" s="450"/>
      <c r="O1363" s="450"/>
      <c r="P1363" s="450"/>
      <c r="Q1363" s="450"/>
      <c r="R1363" s="450"/>
      <c r="S1363" s="451"/>
      <c r="T1363" s="450"/>
      <c r="U1363" s="451"/>
      <c r="V1363" s="450"/>
      <c r="W1363" s="450"/>
      <c r="X1363" s="450"/>
      <c r="Y1363" s="450"/>
      <c r="Z1363" s="450"/>
    </row>
    <row r="1364" spans="1:26" x14ac:dyDescent="0.25">
      <c r="A1364" s="446" t="s">
        <v>2115</v>
      </c>
      <c r="B1364" s="446"/>
      <c r="C1364" s="446" t="s">
        <v>619</v>
      </c>
      <c r="D1364" s="446" t="s">
        <v>7965</v>
      </c>
      <c r="E1364" s="448" t="s">
        <v>7966</v>
      </c>
      <c r="F1364" s="448">
        <v>40855</v>
      </c>
      <c r="G1364" s="446" t="s">
        <v>2117</v>
      </c>
      <c r="H1364" s="446" t="s">
        <v>2118</v>
      </c>
      <c r="I1364" s="446" t="s">
        <v>7967</v>
      </c>
      <c r="J1364" s="446" t="s">
        <v>404</v>
      </c>
      <c r="K1364" s="446" t="s">
        <v>7968</v>
      </c>
      <c r="L1364" s="450"/>
      <c r="M1364" s="450"/>
      <c r="N1364" s="450"/>
      <c r="O1364" s="450"/>
      <c r="P1364" s="450"/>
      <c r="Q1364" s="450"/>
      <c r="R1364" s="450"/>
      <c r="S1364" s="451"/>
      <c r="T1364" s="450"/>
      <c r="U1364" s="451"/>
      <c r="V1364" s="450"/>
      <c r="W1364" s="450"/>
      <c r="X1364" s="450"/>
      <c r="Y1364" s="450"/>
      <c r="Z1364" s="450"/>
    </row>
    <row r="1365" spans="1:26" x14ac:dyDescent="0.25">
      <c r="A1365" s="446" t="s">
        <v>2122</v>
      </c>
      <c r="B1365" s="446"/>
      <c r="C1365" s="446" t="s">
        <v>619</v>
      </c>
      <c r="D1365" s="446" t="s">
        <v>7969</v>
      </c>
      <c r="E1365" s="448" t="s">
        <v>7970</v>
      </c>
      <c r="F1365" s="448">
        <v>40876</v>
      </c>
      <c r="G1365" s="446" t="s">
        <v>357</v>
      </c>
      <c r="H1365" s="446" t="s">
        <v>164</v>
      </c>
      <c r="I1365" s="446" t="s">
        <v>7971</v>
      </c>
      <c r="J1365" s="446" t="s">
        <v>404</v>
      </c>
      <c r="K1365" s="446" t="s">
        <v>7972</v>
      </c>
      <c r="L1365" s="450"/>
      <c r="M1365" s="450"/>
      <c r="N1365" s="450"/>
      <c r="O1365" s="450"/>
      <c r="P1365" s="450"/>
      <c r="Q1365" s="450"/>
      <c r="R1365" s="450"/>
      <c r="S1365" s="451"/>
      <c r="T1365" s="450"/>
      <c r="U1365" s="451"/>
      <c r="V1365" s="450"/>
      <c r="W1365" s="450"/>
      <c r="X1365" s="450"/>
      <c r="Y1365" s="450"/>
      <c r="Z1365" s="450"/>
    </row>
    <row r="1366" spans="1:26" x14ac:dyDescent="0.25">
      <c r="A1366" s="446" t="s">
        <v>2130</v>
      </c>
      <c r="B1366" s="446"/>
      <c r="C1366" s="446" t="s">
        <v>619</v>
      </c>
      <c r="D1366" s="446" t="s">
        <v>7973</v>
      </c>
      <c r="E1366" s="448" t="s">
        <v>7974</v>
      </c>
      <c r="F1366" s="448">
        <v>40892</v>
      </c>
      <c r="G1366" s="446" t="s">
        <v>2132</v>
      </c>
      <c r="H1366" s="446" t="s">
        <v>7975</v>
      </c>
      <c r="I1366" s="446" t="s">
        <v>231</v>
      </c>
      <c r="J1366" s="446" t="s">
        <v>404</v>
      </c>
      <c r="K1366" s="446" t="s">
        <v>7976</v>
      </c>
      <c r="L1366" s="450"/>
      <c r="M1366" s="450"/>
      <c r="N1366" s="450"/>
      <c r="O1366" s="450"/>
      <c r="P1366" s="450"/>
      <c r="Q1366" s="450"/>
      <c r="R1366" s="450"/>
      <c r="S1366" s="451"/>
      <c r="T1366" s="450"/>
      <c r="U1366" s="451"/>
      <c r="V1366" s="450"/>
      <c r="W1366" s="450"/>
      <c r="X1366" s="450"/>
      <c r="Y1366" s="450"/>
      <c r="Z1366" s="450"/>
    </row>
    <row r="1367" spans="1:26" x14ac:dyDescent="0.25">
      <c r="A1367" s="446" t="s">
        <v>2133</v>
      </c>
      <c r="B1367" s="446"/>
      <c r="C1367" s="446" t="s">
        <v>461</v>
      </c>
      <c r="D1367" s="446" t="s">
        <v>7977</v>
      </c>
      <c r="E1367" s="448" t="s">
        <v>7978</v>
      </c>
      <c r="F1367" s="448">
        <v>40905</v>
      </c>
      <c r="G1367" s="446" t="s">
        <v>2136</v>
      </c>
      <c r="H1367" s="446" t="s">
        <v>102</v>
      </c>
      <c r="I1367" s="446" t="s">
        <v>231</v>
      </c>
      <c r="J1367" s="446" t="s">
        <v>760</v>
      </c>
      <c r="K1367" s="446" t="s">
        <v>7979</v>
      </c>
      <c r="L1367" s="450"/>
      <c r="M1367" s="450"/>
      <c r="N1367" s="450"/>
      <c r="O1367" s="450"/>
      <c r="P1367" s="450"/>
      <c r="Q1367" s="450"/>
      <c r="R1367" s="450"/>
      <c r="S1367" s="451"/>
      <c r="T1367" s="450"/>
      <c r="U1367" s="451"/>
      <c r="V1367" s="450"/>
      <c r="W1367" s="450"/>
      <c r="X1367" s="450"/>
      <c r="Y1367" s="450"/>
      <c r="Z1367" s="450"/>
    </row>
    <row r="1368" spans="1:26" x14ac:dyDescent="0.25">
      <c r="A1368" s="446" t="s">
        <v>2143</v>
      </c>
      <c r="B1368" s="446"/>
      <c r="C1368" s="446" t="s">
        <v>2144</v>
      </c>
      <c r="D1368" s="446" t="s">
        <v>7980</v>
      </c>
      <c r="E1368" s="448" t="s">
        <v>7981</v>
      </c>
      <c r="F1368" s="448">
        <v>40973</v>
      </c>
      <c r="G1368" s="446" t="s">
        <v>2146</v>
      </c>
      <c r="H1368" s="446" t="s">
        <v>2147</v>
      </c>
      <c r="I1368" s="446" t="s">
        <v>7982</v>
      </c>
      <c r="J1368" s="446" t="s">
        <v>746</v>
      </c>
      <c r="K1368" s="446" t="s">
        <v>7983</v>
      </c>
      <c r="L1368" s="450"/>
      <c r="M1368" s="450"/>
      <c r="N1368" s="450"/>
      <c r="O1368" s="450"/>
      <c r="P1368" s="450"/>
      <c r="Q1368" s="450"/>
      <c r="R1368" s="450"/>
      <c r="S1368" s="451"/>
      <c r="T1368" s="450"/>
      <c r="U1368" s="451"/>
      <c r="V1368" s="450"/>
      <c r="W1368" s="450"/>
      <c r="X1368" s="450"/>
      <c r="Y1368" s="450"/>
      <c r="Z1368" s="450"/>
    </row>
    <row r="1369" spans="1:26" x14ac:dyDescent="0.25">
      <c r="A1369" s="446" t="s">
        <v>2150</v>
      </c>
      <c r="B1369" s="446"/>
      <c r="C1369" s="446" t="s">
        <v>585</v>
      </c>
      <c r="D1369" s="446" t="s">
        <v>7984</v>
      </c>
      <c r="E1369" s="448" t="s">
        <v>7985</v>
      </c>
      <c r="F1369" s="448">
        <v>40988</v>
      </c>
      <c r="G1369" s="446" t="s">
        <v>7986</v>
      </c>
      <c r="H1369" s="446" t="s">
        <v>102</v>
      </c>
      <c r="I1369" s="446" t="s">
        <v>6823</v>
      </c>
      <c r="J1369" s="446" t="s">
        <v>4604</v>
      </c>
      <c r="K1369" s="446" t="s">
        <v>7987</v>
      </c>
      <c r="L1369" s="450"/>
      <c r="M1369" s="450"/>
      <c r="N1369" s="450"/>
      <c r="O1369" s="450"/>
      <c r="P1369" s="450"/>
      <c r="Q1369" s="450"/>
      <c r="R1369" s="450"/>
      <c r="S1369" s="451"/>
      <c r="T1369" s="450"/>
      <c r="U1369" s="451"/>
      <c r="V1369" s="450"/>
      <c r="W1369" s="450"/>
      <c r="X1369" s="450"/>
      <c r="Y1369" s="450"/>
      <c r="Z1369" s="450"/>
    </row>
    <row r="1370" spans="1:26" x14ac:dyDescent="0.25">
      <c r="A1370" s="446" t="s">
        <v>2160</v>
      </c>
      <c r="B1370" s="446"/>
      <c r="C1370" s="446" t="s">
        <v>1456</v>
      </c>
      <c r="D1370" s="446" t="s">
        <v>7988</v>
      </c>
      <c r="E1370" s="448" t="s">
        <v>7989</v>
      </c>
      <c r="F1370" s="448">
        <v>41000</v>
      </c>
      <c r="G1370" s="446" t="s">
        <v>2147</v>
      </c>
      <c r="H1370" s="446" t="s">
        <v>2158</v>
      </c>
      <c r="I1370" s="446" t="s">
        <v>5207</v>
      </c>
      <c r="J1370" s="446" t="s">
        <v>746</v>
      </c>
      <c r="K1370" s="446" t="s">
        <v>7990</v>
      </c>
      <c r="L1370" s="450"/>
      <c r="M1370" s="450"/>
      <c r="N1370" s="450"/>
      <c r="O1370" s="450"/>
      <c r="P1370" s="450"/>
      <c r="Q1370" s="450"/>
      <c r="R1370" s="450"/>
      <c r="S1370" s="451"/>
      <c r="T1370" s="450"/>
      <c r="U1370" s="451"/>
      <c r="V1370" s="450"/>
      <c r="W1370" s="450"/>
      <c r="X1370" s="450"/>
      <c r="Y1370" s="450"/>
      <c r="Z1370" s="450"/>
    </row>
    <row r="1371" spans="1:26" x14ac:dyDescent="0.25">
      <c r="A1371" s="446" t="s">
        <v>2162</v>
      </c>
      <c r="B1371" s="446"/>
      <c r="C1371" s="446" t="s">
        <v>619</v>
      </c>
      <c r="D1371" s="446" t="s">
        <v>7991</v>
      </c>
      <c r="E1371" s="448" t="s">
        <v>7992</v>
      </c>
      <c r="F1371" s="448">
        <v>41011</v>
      </c>
      <c r="G1371" s="446" t="s">
        <v>7993</v>
      </c>
      <c r="H1371" s="446" t="s">
        <v>2165</v>
      </c>
      <c r="I1371" s="446" t="s">
        <v>6844</v>
      </c>
      <c r="J1371" s="446" t="s">
        <v>404</v>
      </c>
      <c r="K1371" s="446" t="s">
        <v>7994</v>
      </c>
      <c r="L1371" s="450"/>
      <c r="M1371" s="450"/>
      <c r="N1371" s="450"/>
      <c r="O1371" s="450"/>
      <c r="P1371" s="450"/>
      <c r="Q1371" s="450"/>
      <c r="R1371" s="450"/>
      <c r="S1371" s="451"/>
      <c r="T1371" s="450"/>
      <c r="U1371" s="451"/>
      <c r="V1371" s="450"/>
      <c r="W1371" s="450"/>
      <c r="X1371" s="450"/>
      <c r="Y1371" s="450"/>
      <c r="Z1371" s="450"/>
    </row>
    <row r="1372" spans="1:26" x14ac:dyDescent="0.25">
      <c r="A1372" s="446" t="s">
        <v>2168</v>
      </c>
      <c r="B1372" s="446"/>
      <c r="C1372" s="446" t="s">
        <v>619</v>
      </c>
      <c r="D1372" s="446" t="s">
        <v>7995</v>
      </c>
      <c r="E1372" s="448" t="s">
        <v>7996</v>
      </c>
      <c r="F1372" s="448">
        <v>41059</v>
      </c>
      <c r="G1372" s="446" t="s">
        <v>7997</v>
      </c>
      <c r="H1372" s="446" t="s">
        <v>7998</v>
      </c>
      <c r="I1372" s="446" t="s">
        <v>7971</v>
      </c>
      <c r="J1372" s="446" t="s">
        <v>404</v>
      </c>
      <c r="K1372" s="446" t="s">
        <v>7999</v>
      </c>
      <c r="L1372" s="450"/>
      <c r="M1372" s="450"/>
      <c r="N1372" s="450"/>
      <c r="O1372" s="450"/>
      <c r="P1372" s="450"/>
      <c r="Q1372" s="450"/>
      <c r="R1372" s="450"/>
      <c r="S1372" s="451"/>
      <c r="T1372" s="450"/>
      <c r="U1372" s="451"/>
      <c r="V1372" s="450"/>
      <c r="W1372" s="450"/>
      <c r="X1372" s="450"/>
      <c r="Y1372" s="450"/>
      <c r="Z1372" s="450"/>
    </row>
    <row r="1373" spans="1:26" x14ac:dyDescent="0.25">
      <c r="A1373" s="446" t="s">
        <v>2179</v>
      </c>
      <c r="B1373" s="446"/>
      <c r="C1373" s="446" t="s">
        <v>7791</v>
      </c>
      <c r="D1373" s="446" t="s">
        <v>8000</v>
      </c>
      <c r="E1373" s="448" t="s">
        <v>8001</v>
      </c>
      <c r="F1373" s="448">
        <v>41092</v>
      </c>
      <c r="G1373" s="446" t="s">
        <v>8002</v>
      </c>
      <c r="H1373" s="446" t="s">
        <v>2182</v>
      </c>
      <c r="I1373" s="446" t="s">
        <v>5207</v>
      </c>
      <c r="J1373" s="446" t="s">
        <v>760</v>
      </c>
      <c r="K1373" s="446" t="s">
        <v>8003</v>
      </c>
      <c r="L1373" s="450"/>
      <c r="M1373" s="450"/>
      <c r="N1373" s="450"/>
      <c r="O1373" s="450"/>
      <c r="P1373" s="450"/>
      <c r="Q1373" s="450"/>
      <c r="R1373" s="450"/>
      <c r="S1373" s="451"/>
      <c r="T1373" s="450"/>
      <c r="U1373" s="451"/>
      <c r="V1373" s="450"/>
      <c r="W1373" s="450"/>
      <c r="X1373" s="450"/>
      <c r="Y1373" s="450"/>
      <c r="Z1373" s="450"/>
    </row>
    <row r="1374" spans="1:26" x14ac:dyDescent="0.25">
      <c r="A1374" s="446" t="s">
        <v>2137</v>
      </c>
      <c r="B1374" s="446"/>
      <c r="C1374" s="446" t="s">
        <v>1381</v>
      </c>
      <c r="D1374" s="446" t="s">
        <v>8004</v>
      </c>
      <c r="E1374" s="448" t="s">
        <v>8005</v>
      </c>
      <c r="F1374" s="448">
        <v>40961</v>
      </c>
      <c r="G1374" s="446" t="s">
        <v>8006</v>
      </c>
      <c r="H1374" s="446" t="s">
        <v>2141</v>
      </c>
      <c r="I1374" s="446" t="s">
        <v>6823</v>
      </c>
      <c r="J1374" s="446" t="s">
        <v>760</v>
      </c>
      <c r="K1374" s="446" t="s">
        <v>8007</v>
      </c>
      <c r="L1374" s="450"/>
      <c r="M1374" s="450"/>
      <c r="N1374" s="450"/>
      <c r="O1374" s="450"/>
      <c r="P1374" s="450"/>
      <c r="Q1374" s="450"/>
      <c r="R1374" s="450"/>
      <c r="S1374" s="451"/>
      <c r="T1374" s="450"/>
      <c r="U1374" s="451"/>
      <c r="V1374" s="450"/>
      <c r="W1374" s="450"/>
      <c r="X1374" s="450"/>
      <c r="Y1374" s="450"/>
      <c r="Z1374" s="450"/>
    </row>
    <row r="1375" spans="1:26" x14ac:dyDescent="0.25">
      <c r="A1375" s="446" t="s">
        <v>2155</v>
      </c>
      <c r="B1375" s="446"/>
      <c r="C1375" s="446" t="s">
        <v>2156</v>
      </c>
      <c r="D1375" s="446" t="s">
        <v>8008</v>
      </c>
      <c r="E1375" s="448" t="s">
        <v>8009</v>
      </c>
      <c r="F1375" s="448">
        <v>41000</v>
      </c>
      <c r="G1375" s="446" t="s">
        <v>2147</v>
      </c>
      <c r="H1375" s="446" t="s">
        <v>2158</v>
      </c>
      <c r="I1375" s="446" t="s">
        <v>5207</v>
      </c>
      <c r="J1375" s="446" t="s">
        <v>746</v>
      </c>
      <c r="K1375" s="446" t="s">
        <v>8010</v>
      </c>
      <c r="L1375" s="450"/>
      <c r="M1375" s="450"/>
      <c r="N1375" s="450"/>
      <c r="O1375" s="450"/>
      <c r="P1375" s="450"/>
      <c r="Q1375" s="450"/>
      <c r="R1375" s="450"/>
      <c r="S1375" s="451"/>
      <c r="T1375" s="450"/>
      <c r="U1375" s="451"/>
      <c r="V1375" s="450"/>
      <c r="W1375" s="450"/>
      <c r="X1375" s="450"/>
      <c r="Y1375" s="450"/>
      <c r="Z1375" s="450"/>
    </row>
    <row r="1376" spans="1:26" x14ac:dyDescent="0.25">
      <c r="A1376" s="446" t="s">
        <v>2173</v>
      </c>
      <c r="B1376" s="446"/>
      <c r="C1376" s="446" t="s">
        <v>1456</v>
      </c>
      <c r="D1376" s="446" t="s">
        <v>8011</v>
      </c>
      <c r="E1376" s="448" t="s">
        <v>8012</v>
      </c>
      <c r="F1376" s="448">
        <v>41074</v>
      </c>
      <c r="G1376" s="446" t="s">
        <v>2175</v>
      </c>
      <c r="H1376" s="446" t="s">
        <v>2176</v>
      </c>
      <c r="I1376" s="446" t="s">
        <v>6877</v>
      </c>
      <c r="J1376" s="446" t="s">
        <v>746</v>
      </c>
      <c r="K1376" s="446" t="s">
        <v>8013</v>
      </c>
      <c r="L1376" s="450"/>
      <c r="M1376" s="450"/>
      <c r="N1376" s="450"/>
      <c r="O1376" s="450"/>
      <c r="P1376" s="450"/>
      <c r="Q1376" s="450"/>
      <c r="R1376" s="450"/>
      <c r="S1376" s="451"/>
      <c r="T1376" s="450"/>
      <c r="U1376" s="451"/>
      <c r="V1376" s="450"/>
      <c r="W1376" s="450"/>
      <c r="X1376" s="450"/>
      <c r="Y1376" s="450"/>
      <c r="Z1376" s="450"/>
    </row>
    <row r="1377" spans="1:26" x14ac:dyDescent="0.25">
      <c r="A1377" s="446" t="s">
        <v>2183</v>
      </c>
      <c r="B1377" s="446"/>
      <c r="C1377" s="446" t="s">
        <v>1456</v>
      </c>
      <c r="D1377" s="446" t="s">
        <v>8014</v>
      </c>
      <c r="E1377" s="448" t="s">
        <v>8015</v>
      </c>
      <c r="F1377" s="448">
        <v>41215</v>
      </c>
      <c r="G1377" s="446" t="s">
        <v>1549</v>
      </c>
      <c r="H1377" s="446" t="s">
        <v>2185</v>
      </c>
      <c r="I1377" s="446" t="s">
        <v>6877</v>
      </c>
      <c r="J1377" s="446" t="s">
        <v>746</v>
      </c>
      <c r="K1377" s="446" t="s">
        <v>8016</v>
      </c>
      <c r="L1377" s="450"/>
      <c r="M1377" s="450"/>
      <c r="N1377" s="450"/>
      <c r="O1377" s="450"/>
      <c r="P1377" s="450"/>
      <c r="Q1377" s="450"/>
      <c r="R1377" s="450"/>
      <c r="S1377" s="451"/>
      <c r="T1377" s="450"/>
      <c r="U1377" s="451"/>
      <c r="V1377" s="450"/>
      <c r="W1377" s="450"/>
      <c r="X1377" s="450"/>
      <c r="Y1377" s="450"/>
      <c r="Z1377" s="450"/>
    </row>
    <row r="1378" spans="1:26" x14ac:dyDescent="0.25">
      <c r="A1378" s="446" t="s">
        <v>2195</v>
      </c>
      <c r="B1378" s="446"/>
      <c r="C1378" s="446" t="s">
        <v>585</v>
      </c>
      <c r="D1378" s="446" t="s">
        <v>8017</v>
      </c>
      <c r="E1378" s="448" t="s">
        <v>8018</v>
      </c>
      <c r="F1378" s="448">
        <v>41290</v>
      </c>
      <c r="G1378" s="446" t="s">
        <v>8019</v>
      </c>
      <c r="H1378" s="446" t="s">
        <v>102</v>
      </c>
      <c r="I1378" s="446" t="s">
        <v>8020</v>
      </c>
      <c r="J1378" s="446" t="s">
        <v>4604</v>
      </c>
      <c r="K1378" s="446" t="s">
        <v>8021</v>
      </c>
      <c r="L1378" s="450"/>
      <c r="M1378" s="450"/>
      <c r="N1378" s="450"/>
      <c r="O1378" s="450"/>
      <c r="P1378" s="450"/>
      <c r="Q1378" s="450"/>
      <c r="R1378" s="450"/>
      <c r="S1378" s="451"/>
      <c r="T1378" s="450"/>
      <c r="U1378" s="451"/>
      <c r="V1378" s="450"/>
      <c r="W1378" s="450"/>
      <c r="X1378" s="450"/>
      <c r="Y1378" s="450"/>
      <c r="Z1378" s="450"/>
    </row>
    <row r="1379" spans="1:26" x14ac:dyDescent="0.25">
      <c r="A1379" s="446" t="s">
        <v>2201</v>
      </c>
      <c r="B1379" s="446"/>
      <c r="C1379" s="446" t="s">
        <v>1902</v>
      </c>
      <c r="D1379" s="446" t="s">
        <v>8022</v>
      </c>
      <c r="E1379" s="448" t="s">
        <v>8023</v>
      </c>
      <c r="F1379" s="448">
        <v>41340</v>
      </c>
      <c r="G1379" s="446" t="s">
        <v>1698</v>
      </c>
      <c r="H1379" s="446" t="s">
        <v>119</v>
      </c>
      <c r="I1379" s="446" t="s">
        <v>7814</v>
      </c>
      <c r="J1379" s="446" t="s">
        <v>760</v>
      </c>
      <c r="K1379" s="446" t="s">
        <v>8024</v>
      </c>
      <c r="L1379" s="450"/>
      <c r="M1379" s="450"/>
      <c r="N1379" s="450"/>
      <c r="O1379" s="450"/>
      <c r="P1379" s="450"/>
      <c r="Q1379" s="450"/>
      <c r="R1379" s="450"/>
      <c r="S1379" s="451"/>
      <c r="T1379" s="450"/>
      <c r="U1379" s="451"/>
      <c r="V1379" s="450"/>
      <c r="W1379" s="450"/>
      <c r="X1379" s="450"/>
      <c r="Y1379" s="450"/>
      <c r="Z1379" s="450"/>
    </row>
    <row r="1380" spans="1:26" x14ac:dyDescent="0.25">
      <c r="A1380" s="446" t="s">
        <v>2206</v>
      </c>
      <c r="B1380" s="446"/>
      <c r="C1380" s="446" t="s">
        <v>1160</v>
      </c>
      <c r="D1380" s="446" t="s">
        <v>8025</v>
      </c>
      <c r="E1380" s="448" t="s">
        <v>8026</v>
      </c>
      <c r="F1380" s="448">
        <v>41368</v>
      </c>
      <c r="G1380" s="446" t="s">
        <v>119</v>
      </c>
      <c r="H1380" s="446" t="s">
        <v>2118</v>
      </c>
      <c r="I1380" s="446" t="s">
        <v>7814</v>
      </c>
      <c r="J1380" s="446" t="s">
        <v>404</v>
      </c>
      <c r="K1380" s="446" t="s">
        <v>8027</v>
      </c>
      <c r="L1380" s="450"/>
      <c r="M1380" s="450"/>
      <c r="N1380" s="450"/>
      <c r="O1380" s="450"/>
      <c r="P1380" s="450"/>
      <c r="Q1380" s="450"/>
      <c r="R1380" s="450"/>
      <c r="S1380" s="451"/>
      <c r="T1380" s="450"/>
      <c r="U1380" s="451"/>
      <c r="V1380" s="450"/>
      <c r="W1380" s="450"/>
      <c r="X1380" s="450"/>
      <c r="Y1380" s="450"/>
      <c r="Z1380" s="450"/>
    </row>
    <row r="1381" spans="1:26" x14ac:dyDescent="0.25">
      <c r="A1381" s="446" t="s">
        <v>2210</v>
      </c>
      <c r="B1381" s="446"/>
      <c r="C1381" s="446" t="s">
        <v>2189</v>
      </c>
      <c r="D1381" s="446" t="s">
        <v>8028</v>
      </c>
      <c r="E1381" s="448" t="s">
        <v>8029</v>
      </c>
      <c r="F1381" s="448">
        <v>41404</v>
      </c>
      <c r="G1381" s="446" t="s">
        <v>3143</v>
      </c>
      <c r="H1381" s="446" t="s">
        <v>8030</v>
      </c>
      <c r="I1381" s="446" t="s">
        <v>5207</v>
      </c>
      <c r="J1381" s="446" t="s">
        <v>746</v>
      </c>
      <c r="K1381" s="446" t="s">
        <v>8031</v>
      </c>
      <c r="L1381" s="450"/>
      <c r="M1381" s="450"/>
      <c r="N1381" s="450"/>
      <c r="O1381" s="450"/>
      <c r="P1381" s="450"/>
      <c r="Q1381" s="450"/>
      <c r="R1381" s="450"/>
      <c r="S1381" s="451"/>
      <c r="T1381" s="450"/>
      <c r="U1381" s="451"/>
      <c r="V1381" s="450"/>
      <c r="W1381" s="450"/>
      <c r="X1381" s="450"/>
      <c r="Y1381" s="450"/>
      <c r="Z1381" s="450"/>
    </row>
    <row r="1382" spans="1:26" x14ac:dyDescent="0.25">
      <c r="A1382" s="446" t="s">
        <v>2219</v>
      </c>
      <c r="B1382" s="446"/>
      <c r="C1382" s="446" t="s">
        <v>1456</v>
      </c>
      <c r="D1382" s="446" t="s">
        <v>8032</v>
      </c>
      <c r="E1382" s="448" t="s">
        <v>8033</v>
      </c>
      <c r="F1382" s="448">
        <v>41474</v>
      </c>
      <c r="G1382" s="446" t="s">
        <v>1910</v>
      </c>
      <c r="H1382" s="446" t="s">
        <v>2221</v>
      </c>
      <c r="I1382" s="446" t="s">
        <v>5207</v>
      </c>
      <c r="J1382" s="446" t="s">
        <v>746</v>
      </c>
      <c r="K1382" s="446" t="s">
        <v>8034</v>
      </c>
      <c r="L1382" s="450"/>
      <c r="M1382" s="450"/>
      <c r="N1382" s="450"/>
      <c r="O1382" s="450"/>
      <c r="P1382" s="450"/>
      <c r="Q1382" s="450"/>
      <c r="R1382" s="450"/>
      <c r="S1382" s="451"/>
      <c r="T1382" s="450"/>
      <c r="U1382" s="451"/>
      <c r="V1382" s="450"/>
      <c r="W1382" s="450"/>
      <c r="X1382" s="450"/>
      <c r="Y1382" s="450"/>
      <c r="Z1382" s="450"/>
    </row>
    <row r="1383" spans="1:26" x14ac:dyDescent="0.25">
      <c r="A1383" s="446" t="s">
        <v>2215</v>
      </c>
      <c r="B1383" s="446"/>
      <c r="C1383" s="446" t="s">
        <v>619</v>
      </c>
      <c r="D1383" s="446" t="s">
        <v>8035</v>
      </c>
      <c r="E1383" s="448" t="s">
        <v>8036</v>
      </c>
      <c r="F1383" s="448">
        <v>41482</v>
      </c>
      <c r="G1383" s="446" t="s">
        <v>119</v>
      </c>
      <c r="H1383" s="446" t="s">
        <v>2118</v>
      </c>
      <c r="I1383" s="446" t="s">
        <v>8037</v>
      </c>
      <c r="J1383" s="446" t="s">
        <v>404</v>
      </c>
      <c r="K1383" s="446" t="s">
        <v>8038</v>
      </c>
      <c r="L1383" s="450"/>
      <c r="M1383" s="450"/>
      <c r="N1383" s="450"/>
      <c r="O1383" s="450"/>
      <c r="P1383" s="450"/>
      <c r="Q1383" s="450"/>
      <c r="R1383" s="450"/>
      <c r="S1383" s="451"/>
      <c r="T1383" s="450"/>
      <c r="U1383" s="451"/>
      <c r="V1383" s="450"/>
      <c r="W1383" s="450"/>
      <c r="X1383" s="450"/>
      <c r="Y1383" s="450"/>
      <c r="Z1383" s="450"/>
    </row>
    <row r="1384" spans="1:26" x14ac:dyDescent="0.25">
      <c r="A1384" s="446" t="s">
        <v>2128</v>
      </c>
      <c r="B1384" s="446"/>
      <c r="C1384" s="446" t="s">
        <v>619</v>
      </c>
      <c r="D1384" s="446" t="s">
        <v>8039</v>
      </c>
      <c r="E1384" s="448" t="s">
        <v>8040</v>
      </c>
      <c r="F1384" s="448">
        <v>40876</v>
      </c>
      <c r="G1384" s="446" t="s">
        <v>357</v>
      </c>
      <c r="H1384" s="446" t="s">
        <v>164</v>
      </c>
      <c r="I1384" s="446" t="s">
        <v>6844</v>
      </c>
      <c r="J1384" s="446" t="s">
        <v>404</v>
      </c>
      <c r="K1384" s="446" t="s">
        <v>8041</v>
      </c>
      <c r="L1384" s="450"/>
      <c r="M1384" s="450"/>
      <c r="N1384" s="450"/>
      <c r="O1384" s="450"/>
      <c r="P1384" s="450"/>
      <c r="Q1384" s="450"/>
      <c r="R1384" s="450"/>
      <c r="S1384" s="451"/>
      <c r="T1384" s="450"/>
      <c r="U1384" s="451"/>
      <c r="V1384" s="450"/>
      <c r="W1384" s="450"/>
      <c r="X1384" s="450"/>
      <c r="Y1384" s="450"/>
      <c r="Z1384" s="450"/>
    </row>
    <row r="1385" spans="1:26" x14ac:dyDescent="0.25">
      <c r="A1385" s="446" t="s">
        <v>2230</v>
      </c>
      <c r="B1385" s="446"/>
      <c r="C1385" s="446" t="s">
        <v>1160</v>
      </c>
      <c r="D1385" s="446" t="s">
        <v>8042</v>
      </c>
      <c r="E1385" s="448" t="s">
        <v>8043</v>
      </c>
      <c r="F1385" s="448">
        <v>41505</v>
      </c>
      <c r="G1385" s="446" t="s">
        <v>299</v>
      </c>
      <c r="H1385" s="446" t="s">
        <v>2893</v>
      </c>
      <c r="I1385" s="446" t="s">
        <v>6823</v>
      </c>
      <c r="J1385" s="446" t="s">
        <v>404</v>
      </c>
      <c r="K1385" s="446" t="s">
        <v>8044</v>
      </c>
      <c r="L1385" s="450"/>
      <c r="M1385" s="450"/>
      <c r="N1385" s="450"/>
      <c r="O1385" s="450"/>
      <c r="P1385" s="450"/>
      <c r="Q1385" s="450"/>
      <c r="R1385" s="450"/>
      <c r="S1385" s="451"/>
      <c r="T1385" s="450"/>
      <c r="U1385" s="451"/>
      <c r="V1385" s="450"/>
      <c r="W1385" s="450"/>
      <c r="X1385" s="450"/>
      <c r="Y1385" s="450"/>
      <c r="Z1385" s="450"/>
    </row>
    <row r="1386" spans="1:26" x14ac:dyDescent="0.25">
      <c r="A1386" s="446" t="s">
        <v>2246</v>
      </c>
      <c r="B1386" s="446"/>
      <c r="C1386" s="446" t="s">
        <v>1456</v>
      </c>
      <c r="D1386" s="446" t="s">
        <v>8045</v>
      </c>
      <c r="E1386" s="448" t="s">
        <v>8046</v>
      </c>
      <c r="F1386" s="448">
        <v>41543</v>
      </c>
      <c r="G1386" s="446" t="s">
        <v>262</v>
      </c>
      <c r="H1386" s="446" t="s">
        <v>2248</v>
      </c>
      <c r="I1386" s="446" t="s">
        <v>5207</v>
      </c>
      <c r="J1386" s="446" t="s">
        <v>746</v>
      </c>
      <c r="K1386" s="446" t="s">
        <v>8047</v>
      </c>
      <c r="L1386" s="450"/>
      <c r="M1386" s="450"/>
      <c r="N1386" s="450"/>
      <c r="O1386" s="450"/>
      <c r="P1386" s="450"/>
      <c r="Q1386" s="450"/>
      <c r="R1386" s="450"/>
      <c r="S1386" s="451"/>
      <c r="T1386" s="450"/>
      <c r="U1386" s="451"/>
      <c r="V1386" s="450"/>
      <c r="W1386" s="450"/>
      <c r="X1386" s="450"/>
      <c r="Y1386" s="450"/>
      <c r="Z1386" s="450"/>
    </row>
    <row r="1387" spans="1:26" x14ac:dyDescent="0.25">
      <c r="A1387" s="446" t="s">
        <v>8048</v>
      </c>
      <c r="B1387" s="446"/>
      <c r="C1387" s="446" t="s">
        <v>714</v>
      </c>
      <c r="D1387" s="446" t="s">
        <v>8049</v>
      </c>
      <c r="E1387" s="448" t="s">
        <v>8050</v>
      </c>
      <c r="F1387" s="448">
        <v>41582</v>
      </c>
      <c r="G1387" s="446" t="s">
        <v>8051</v>
      </c>
      <c r="H1387" s="446" t="s">
        <v>8052</v>
      </c>
      <c r="I1387" s="446" t="s">
        <v>7853</v>
      </c>
      <c r="J1387" s="446" t="s">
        <v>4604</v>
      </c>
      <c r="K1387" s="446" t="s">
        <v>8053</v>
      </c>
      <c r="L1387" s="450"/>
      <c r="M1387" s="450"/>
      <c r="N1387" s="450"/>
      <c r="O1387" s="450"/>
      <c r="P1387" s="450"/>
      <c r="Q1387" s="450"/>
      <c r="R1387" s="450"/>
      <c r="S1387" s="451"/>
      <c r="T1387" s="450"/>
      <c r="U1387" s="451"/>
      <c r="V1387" s="450"/>
      <c r="W1387" s="450"/>
      <c r="X1387" s="450"/>
      <c r="Y1387" s="450"/>
      <c r="Z1387" s="450"/>
    </row>
    <row r="1388" spans="1:26" x14ac:dyDescent="0.25">
      <c r="A1388" s="446" t="s">
        <v>2234</v>
      </c>
      <c r="B1388" s="446"/>
      <c r="C1388" s="446" t="s">
        <v>619</v>
      </c>
      <c r="D1388" s="446" t="s">
        <v>8054</v>
      </c>
      <c r="E1388" s="448" t="s">
        <v>8055</v>
      </c>
      <c r="F1388" s="448">
        <v>41517</v>
      </c>
      <c r="G1388" s="446" t="s">
        <v>8056</v>
      </c>
      <c r="H1388" s="446" t="s">
        <v>2238</v>
      </c>
      <c r="I1388" s="446" t="s">
        <v>238</v>
      </c>
      <c r="J1388" s="446" t="s">
        <v>404</v>
      </c>
      <c r="K1388" s="446" t="s">
        <v>8057</v>
      </c>
      <c r="L1388" s="450"/>
      <c r="M1388" s="450"/>
      <c r="N1388" s="450"/>
      <c r="O1388" s="450"/>
      <c r="P1388" s="450"/>
      <c r="Q1388" s="450"/>
      <c r="R1388" s="450"/>
      <c r="S1388" s="451"/>
      <c r="T1388" s="450"/>
      <c r="U1388" s="451"/>
      <c r="V1388" s="450"/>
      <c r="W1388" s="450"/>
      <c r="X1388" s="450"/>
      <c r="Y1388" s="450"/>
      <c r="Z1388" s="450"/>
    </row>
    <row r="1389" spans="1:26" x14ac:dyDescent="0.25">
      <c r="A1389" s="446" t="s">
        <v>2250</v>
      </c>
      <c r="B1389" s="446"/>
      <c r="C1389" s="446" t="s">
        <v>619</v>
      </c>
      <c r="D1389" s="446" t="s">
        <v>8058</v>
      </c>
      <c r="E1389" s="448" t="s">
        <v>8055</v>
      </c>
      <c r="F1389" s="448">
        <v>41575</v>
      </c>
      <c r="G1389" s="446" t="s">
        <v>6493</v>
      </c>
      <c r="H1389" s="446" t="s">
        <v>2238</v>
      </c>
      <c r="I1389" s="446" t="s">
        <v>238</v>
      </c>
      <c r="J1389" s="446" t="s">
        <v>404</v>
      </c>
      <c r="K1389" s="446" t="s">
        <v>8059</v>
      </c>
      <c r="L1389" s="450"/>
      <c r="M1389" s="450"/>
      <c r="N1389" s="450"/>
      <c r="O1389" s="450"/>
      <c r="P1389" s="450"/>
      <c r="Q1389" s="450"/>
      <c r="R1389" s="450"/>
      <c r="S1389" s="451"/>
      <c r="T1389" s="450"/>
      <c r="U1389" s="451"/>
      <c r="V1389" s="450"/>
      <c r="W1389" s="450"/>
      <c r="X1389" s="450"/>
      <c r="Y1389" s="450"/>
      <c r="Z1389" s="450"/>
    </row>
    <row r="1390" spans="1:26" x14ac:dyDescent="0.25">
      <c r="A1390" s="446" t="s">
        <v>2241</v>
      </c>
      <c r="B1390" s="446"/>
      <c r="C1390" s="446" t="s">
        <v>8060</v>
      </c>
      <c r="D1390" s="446" t="s">
        <v>8061</v>
      </c>
      <c r="E1390" s="448" t="s">
        <v>8062</v>
      </c>
      <c r="F1390" s="448">
        <v>41526</v>
      </c>
      <c r="G1390" s="446" t="s">
        <v>2244</v>
      </c>
      <c r="H1390" s="446" t="s">
        <v>2245</v>
      </c>
      <c r="I1390" s="446" t="s">
        <v>8063</v>
      </c>
      <c r="J1390" s="446" t="s">
        <v>760</v>
      </c>
      <c r="K1390" s="446" t="s">
        <v>8064</v>
      </c>
      <c r="L1390" s="450"/>
      <c r="M1390" s="450"/>
      <c r="N1390" s="450"/>
      <c r="O1390" s="450"/>
      <c r="P1390" s="450"/>
      <c r="Q1390" s="450"/>
      <c r="R1390" s="450"/>
      <c r="S1390" s="451"/>
      <c r="T1390" s="450"/>
      <c r="U1390" s="451"/>
      <c r="V1390" s="450"/>
      <c r="W1390" s="450"/>
      <c r="X1390" s="450"/>
      <c r="Y1390" s="450"/>
      <c r="Z1390" s="450"/>
    </row>
    <row r="1391" spans="1:26" x14ac:dyDescent="0.25">
      <c r="A1391" s="446" t="s">
        <v>2223</v>
      </c>
      <c r="B1391" s="446"/>
      <c r="C1391" s="446" t="s">
        <v>619</v>
      </c>
      <c r="D1391" s="446" t="s">
        <v>8065</v>
      </c>
      <c r="E1391" s="448" t="s">
        <v>8062</v>
      </c>
      <c r="F1391" s="448">
        <v>41486</v>
      </c>
      <c r="G1391" s="446" t="s">
        <v>2244</v>
      </c>
      <c r="H1391" s="446" t="s">
        <v>2245</v>
      </c>
      <c r="I1391" s="446" t="s">
        <v>8063</v>
      </c>
      <c r="J1391" s="446" t="s">
        <v>404</v>
      </c>
      <c r="K1391" s="446" t="s">
        <v>8066</v>
      </c>
      <c r="L1391" s="450"/>
      <c r="M1391" s="450"/>
      <c r="N1391" s="450"/>
      <c r="O1391" s="450"/>
      <c r="P1391" s="450"/>
      <c r="Q1391" s="450"/>
      <c r="R1391" s="450"/>
      <c r="S1391" s="451"/>
      <c r="T1391" s="450"/>
      <c r="U1391" s="451"/>
      <c r="V1391" s="450"/>
      <c r="W1391" s="450"/>
      <c r="X1391" s="450"/>
      <c r="Y1391" s="450"/>
      <c r="Z1391" s="450"/>
    </row>
    <row r="1392" spans="1:26" x14ac:dyDescent="0.25">
      <c r="A1392" s="446" t="s">
        <v>2253</v>
      </c>
      <c r="B1392" s="446"/>
      <c r="C1392" s="446" t="s">
        <v>7014</v>
      </c>
      <c r="D1392" s="446" t="s">
        <v>8067</v>
      </c>
      <c r="E1392" s="448" t="s">
        <v>8068</v>
      </c>
      <c r="F1392" s="448">
        <v>41624</v>
      </c>
      <c r="G1392" s="446" t="s">
        <v>8069</v>
      </c>
      <c r="H1392" s="446" t="s">
        <v>102</v>
      </c>
      <c r="I1392" s="446" t="s">
        <v>6844</v>
      </c>
      <c r="J1392" s="446" t="s">
        <v>4604</v>
      </c>
      <c r="K1392" s="446" t="s">
        <v>8070</v>
      </c>
      <c r="L1392" s="450"/>
      <c r="M1392" s="450"/>
      <c r="N1392" s="450"/>
      <c r="O1392" s="450"/>
      <c r="P1392" s="450"/>
      <c r="Q1392" s="450"/>
      <c r="R1392" s="450"/>
      <c r="S1392" s="451"/>
      <c r="T1392" s="450"/>
      <c r="U1392" s="451"/>
      <c r="V1392" s="450"/>
      <c r="W1392" s="450"/>
      <c r="X1392" s="450"/>
      <c r="Y1392" s="450"/>
      <c r="Z1392" s="450"/>
    </row>
    <row r="1393" spans="1:26" x14ac:dyDescent="0.25">
      <c r="A1393" s="446" t="s">
        <v>2257</v>
      </c>
      <c r="B1393" s="446"/>
      <c r="C1393" s="446" t="s">
        <v>7014</v>
      </c>
      <c r="D1393" s="446" t="s">
        <v>8071</v>
      </c>
      <c r="E1393" s="448" t="s">
        <v>8068</v>
      </c>
      <c r="F1393" s="448">
        <v>41624</v>
      </c>
      <c r="G1393" s="446" t="s">
        <v>8072</v>
      </c>
      <c r="H1393" s="446" t="s">
        <v>102</v>
      </c>
      <c r="I1393" s="446" t="s">
        <v>6844</v>
      </c>
      <c r="J1393" s="446" t="s">
        <v>4604</v>
      </c>
      <c r="K1393" s="446" t="s">
        <v>8073</v>
      </c>
      <c r="L1393" s="450"/>
      <c r="M1393" s="450"/>
      <c r="N1393" s="450"/>
      <c r="O1393" s="450"/>
      <c r="P1393" s="450"/>
      <c r="Q1393" s="450"/>
      <c r="R1393" s="450"/>
      <c r="S1393" s="451"/>
      <c r="T1393" s="450"/>
      <c r="U1393" s="451"/>
      <c r="V1393" s="450"/>
      <c r="W1393" s="450"/>
      <c r="X1393" s="450"/>
      <c r="Y1393" s="450"/>
      <c r="Z1393" s="450"/>
    </row>
    <row r="1394" spans="1:26" x14ac:dyDescent="0.25">
      <c r="A1394" s="446" t="s">
        <v>2260</v>
      </c>
      <c r="B1394" s="446"/>
      <c r="C1394" s="446" t="s">
        <v>461</v>
      </c>
      <c r="D1394" s="446" t="s">
        <v>8074</v>
      </c>
      <c r="E1394" s="448" t="s">
        <v>8075</v>
      </c>
      <c r="F1394" s="448">
        <v>41730</v>
      </c>
      <c r="G1394" s="446" t="s">
        <v>8076</v>
      </c>
      <c r="H1394" s="446" t="s">
        <v>102</v>
      </c>
      <c r="I1394" s="446" t="s">
        <v>5207</v>
      </c>
      <c r="J1394" s="446" t="s">
        <v>760</v>
      </c>
      <c r="K1394" s="446" t="s">
        <v>8077</v>
      </c>
      <c r="L1394" s="450"/>
      <c r="M1394" s="450"/>
      <c r="N1394" s="450"/>
      <c r="O1394" s="450"/>
      <c r="P1394" s="450"/>
      <c r="Q1394" s="450"/>
      <c r="R1394" s="450"/>
      <c r="S1394" s="451"/>
      <c r="T1394" s="450"/>
      <c r="U1394" s="451"/>
      <c r="V1394" s="450"/>
      <c r="W1394" s="450"/>
      <c r="X1394" s="450"/>
      <c r="Y1394" s="450"/>
      <c r="Z1394" s="450"/>
    </row>
    <row r="1395" spans="1:26" x14ac:dyDescent="0.25">
      <c r="A1395" s="446" t="s">
        <v>2265</v>
      </c>
      <c r="B1395" s="446"/>
      <c r="C1395" s="446" t="s">
        <v>619</v>
      </c>
      <c r="D1395" s="446" t="s">
        <v>8078</v>
      </c>
      <c r="E1395" s="448" t="s">
        <v>8079</v>
      </c>
      <c r="F1395" s="448">
        <v>41734</v>
      </c>
      <c r="G1395" s="446" t="s">
        <v>2017</v>
      </c>
      <c r="H1395" s="446" t="s">
        <v>2267</v>
      </c>
      <c r="I1395" s="446" t="s">
        <v>6844</v>
      </c>
      <c r="J1395" s="446" t="s">
        <v>404</v>
      </c>
      <c r="K1395" s="446" t="s">
        <v>8080</v>
      </c>
      <c r="L1395" s="450"/>
      <c r="M1395" s="450"/>
      <c r="N1395" s="450"/>
      <c r="O1395" s="450"/>
      <c r="P1395" s="450"/>
      <c r="Q1395" s="450"/>
      <c r="R1395" s="450"/>
      <c r="S1395" s="451"/>
      <c r="T1395" s="450"/>
      <c r="U1395" s="451"/>
      <c r="V1395" s="450"/>
      <c r="W1395" s="450"/>
      <c r="X1395" s="450"/>
      <c r="Y1395" s="450"/>
      <c r="Z1395" s="450"/>
    </row>
    <row r="1396" spans="1:26" x14ac:dyDescent="0.25">
      <c r="A1396" s="446" t="s">
        <v>2269</v>
      </c>
      <c r="B1396" s="446"/>
      <c r="C1396" s="446" t="s">
        <v>619</v>
      </c>
      <c r="D1396" s="446" t="s">
        <v>8081</v>
      </c>
      <c r="E1396" s="448" t="s">
        <v>8082</v>
      </c>
      <c r="F1396" s="448">
        <v>41746</v>
      </c>
      <c r="G1396" s="446" t="s">
        <v>8083</v>
      </c>
      <c r="H1396" s="446" t="s">
        <v>8084</v>
      </c>
      <c r="I1396" s="446" t="s">
        <v>6811</v>
      </c>
      <c r="J1396" s="446" t="s">
        <v>404</v>
      </c>
      <c r="K1396" s="446" t="s">
        <v>8085</v>
      </c>
      <c r="L1396" s="450"/>
      <c r="M1396" s="450"/>
      <c r="N1396" s="450"/>
      <c r="O1396" s="450"/>
      <c r="P1396" s="450"/>
      <c r="Q1396" s="450"/>
      <c r="R1396" s="450"/>
      <c r="S1396" s="451"/>
      <c r="T1396" s="450"/>
      <c r="U1396" s="451"/>
      <c r="V1396" s="450"/>
      <c r="W1396" s="450"/>
      <c r="X1396" s="450"/>
      <c r="Y1396" s="450"/>
      <c r="Z1396" s="450"/>
    </row>
    <row r="1397" spans="1:26" x14ac:dyDescent="0.25">
      <c r="A1397" s="446" t="s">
        <v>2289</v>
      </c>
      <c r="B1397" s="446"/>
      <c r="C1397" s="446" t="s">
        <v>585</v>
      </c>
      <c r="D1397" s="446" t="s">
        <v>8086</v>
      </c>
      <c r="E1397" s="448" t="s">
        <v>8087</v>
      </c>
      <c r="F1397" s="448">
        <v>41821</v>
      </c>
      <c r="G1397" s="446" t="s">
        <v>8088</v>
      </c>
      <c r="H1397" s="446" t="s">
        <v>102</v>
      </c>
      <c r="I1397" s="446" t="s">
        <v>6844</v>
      </c>
      <c r="J1397" s="446" t="s">
        <v>4604</v>
      </c>
      <c r="K1397" s="446" t="s">
        <v>8089</v>
      </c>
      <c r="L1397" s="450"/>
      <c r="M1397" s="450"/>
      <c r="N1397" s="450"/>
      <c r="O1397" s="450"/>
      <c r="P1397" s="450"/>
      <c r="Q1397" s="450"/>
      <c r="R1397" s="450"/>
      <c r="S1397" s="451"/>
      <c r="T1397" s="450"/>
      <c r="U1397" s="451"/>
      <c r="V1397" s="450"/>
      <c r="W1397" s="450"/>
      <c r="X1397" s="450"/>
      <c r="Y1397" s="450"/>
      <c r="Z1397" s="450"/>
    </row>
    <row r="1398" spans="1:26" x14ac:dyDescent="0.25">
      <c r="A1398" s="446" t="s">
        <v>2274</v>
      </c>
      <c r="B1398" s="446"/>
      <c r="C1398" s="446" t="s">
        <v>2275</v>
      </c>
      <c r="D1398" s="446" t="s">
        <v>8090</v>
      </c>
      <c r="E1398" s="448" t="s">
        <v>8091</v>
      </c>
      <c r="F1398" s="448">
        <v>41782</v>
      </c>
      <c r="G1398" s="446" t="s">
        <v>2278</v>
      </c>
      <c r="H1398" s="446" t="s">
        <v>8092</v>
      </c>
      <c r="I1398" s="446" t="s">
        <v>6877</v>
      </c>
      <c r="J1398" s="446" t="s">
        <v>4604</v>
      </c>
      <c r="K1398" s="446" t="s">
        <v>8093</v>
      </c>
      <c r="L1398" s="450"/>
      <c r="M1398" s="450"/>
      <c r="N1398" s="450"/>
      <c r="O1398" s="450"/>
      <c r="P1398" s="450"/>
      <c r="Q1398" s="450"/>
      <c r="R1398" s="450"/>
      <c r="S1398" s="451"/>
      <c r="T1398" s="450"/>
      <c r="U1398" s="451"/>
      <c r="V1398" s="450"/>
      <c r="W1398" s="450"/>
      <c r="X1398" s="450"/>
      <c r="Y1398" s="450"/>
      <c r="Z1398" s="450"/>
    </row>
    <row r="1399" spans="1:26" x14ac:dyDescent="0.25">
      <c r="A1399" s="446" t="s">
        <v>2295</v>
      </c>
      <c r="B1399" s="446"/>
      <c r="C1399" s="446" t="s">
        <v>619</v>
      </c>
      <c r="D1399" s="446" t="s">
        <v>8094</v>
      </c>
      <c r="E1399" s="448" t="s">
        <v>8095</v>
      </c>
      <c r="F1399" s="448">
        <v>41851</v>
      </c>
      <c r="G1399" s="446" t="s">
        <v>8096</v>
      </c>
      <c r="H1399" s="446" t="s">
        <v>8097</v>
      </c>
      <c r="I1399" s="446" t="s">
        <v>6912</v>
      </c>
      <c r="J1399" s="446" t="s">
        <v>404</v>
      </c>
      <c r="K1399" s="446" t="s">
        <v>8098</v>
      </c>
      <c r="L1399" s="450"/>
      <c r="M1399" s="450"/>
      <c r="N1399" s="450"/>
      <c r="O1399" s="450"/>
      <c r="P1399" s="450"/>
      <c r="Q1399" s="450"/>
      <c r="R1399" s="450"/>
      <c r="S1399" s="451"/>
      <c r="T1399" s="450"/>
      <c r="U1399" s="451"/>
      <c r="V1399" s="450"/>
      <c r="W1399" s="450"/>
      <c r="X1399" s="450"/>
      <c r="Y1399" s="450"/>
      <c r="Z1399" s="450"/>
    </row>
    <row r="1400" spans="1:26" x14ac:dyDescent="0.25">
      <c r="A1400" s="446" t="s">
        <v>2284</v>
      </c>
      <c r="B1400" s="446"/>
      <c r="C1400" s="446" t="s">
        <v>1456</v>
      </c>
      <c r="D1400" s="446" t="s">
        <v>8099</v>
      </c>
      <c r="E1400" s="448" t="s">
        <v>8100</v>
      </c>
      <c r="F1400" s="448">
        <v>41821</v>
      </c>
      <c r="G1400" s="446" t="s">
        <v>2286</v>
      </c>
      <c r="H1400" s="446" t="s">
        <v>2287</v>
      </c>
      <c r="I1400" s="446" t="s">
        <v>5207</v>
      </c>
      <c r="J1400" s="446" t="s">
        <v>746</v>
      </c>
      <c r="K1400" s="446" t="s">
        <v>8101</v>
      </c>
      <c r="L1400" s="450"/>
      <c r="M1400" s="450"/>
      <c r="N1400" s="450"/>
      <c r="O1400" s="450"/>
      <c r="P1400" s="450"/>
      <c r="Q1400" s="450"/>
      <c r="R1400" s="450"/>
      <c r="S1400" s="451"/>
      <c r="T1400" s="450"/>
      <c r="U1400" s="451"/>
      <c r="V1400" s="450"/>
      <c r="W1400" s="450"/>
      <c r="X1400" s="450"/>
      <c r="Y1400" s="450"/>
      <c r="Z1400" s="450"/>
    </row>
    <row r="1401" spans="1:26" x14ac:dyDescent="0.25">
      <c r="A1401" s="446" t="s">
        <v>2300</v>
      </c>
      <c r="B1401" s="446"/>
      <c r="C1401" s="446" t="s">
        <v>619</v>
      </c>
      <c r="D1401" s="446" t="s">
        <v>8102</v>
      </c>
      <c r="E1401" s="448" t="s">
        <v>8103</v>
      </c>
      <c r="F1401" s="448">
        <v>41926</v>
      </c>
      <c r="G1401" s="446" t="s">
        <v>8104</v>
      </c>
      <c r="H1401" s="446" t="s">
        <v>2303</v>
      </c>
      <c r="I1401" s="446" t="s">
        <v>8105</v>
      </c>
      <c r="J1401" s="446" t="s">
        <v>404</v>
      </c>
      <c r="K1401" s="446" t="s">
        <v>8106</v>
      </c>
      <c r="L1401" s="450"/>
      <c r="M1401" s="450"/>
      <c r="N1401" s="450"/>
      <c r="O1401" s="450"/>
      <c r="P1401" s="450"/>
      <c r="Q1401" s="450"/>
      <c r="R1401" s="450"/>
      <c r="S1401" s="451"/>
      <c r="T1401" s="450"/>
      <c r="U1401" s="451"/>
      <c r="V1401" s="450"/>
      <c r="W1401" s="450"/>
      <c r="X1401" s="450"/>
      <c r="Y1401" s="450"/>
      <c r="Z1401" s="450"/>
    </row>
    <row r="1402" spans="1:26" x14ac:dyDescent="0.25">
      <c r="A1402" s="446" t="s">
        <v>2305</v>
      </c>
      <c r="B1402" s="446"/>
      <c r="C1402" s="446" t="s">
        <v>461</v>
      </c>
      <c r="D1402" s="446" t="s">
        <v>8107</v>
      </c>
      <c r="E1402" s="448" t="s">
        <v>8108</v>
      </c>
      <c r="F1402" s="448">
        <v>41926</v>
      </c>
      <c r="G1402" s="446" t="s">
        <v>8109</v>
      </c>
      <c r="H1402" s="446" t="s">
        <v>102</v>
      </c>
      <c r="I1402" s="446" t="s">
        <v>5207</v>
      </c>
      <c r="J1402" s="446" t="s">
        <v>760</v>
      </c>
      <c r="K1402" s="446" t="s">
        <v>8110</v>
      </c>
      <c r="L1402" s="450"/>
      <c r="M1402" s="450"/>
      <c r="N1402" s="450"/>
      <c r="O1402" s="450"/>
      <c r="P1402" s="450"/>
      <c r="Q1402" s="450"/>
      <c r="R1402" s="450"/>
      <c r="S1402" s="451"/>
      <c r="T1402" s="450"/>
      <c r="U1402" s="451"/>
      <c r="V1402" s="450"/>
      <c r="W1402" s="450"/>
      <c r="X1402" s="450"/>
      <c r="Y1402" s="450"/>
      <c r="Z1402" s="450"/>
    </row>
    <row r="1403" spans="1:26" x14ac:dyDescent="0.25">
      <c r="A1403" s="446" t="s">
        <v>2312</v>
      </c>
      <c r="B1403" s="446"/>
      <c r="C1403" s="446" t="s">
        <v>1456</v>
      </c>
      <c r="D1403" s="446" t="s">
        <v>8111</v>
      </c>
      <c r="E1403" s="448" t="s">
        <v>8112</v>
      </c>
      <c r="F1403" s="448">
        <v>41988</v>
      </c>
      <c r="G1403" s="446" t="s">
        <v>8113</v>
      </c>
      <c r="H1403" s="446" t="s">
        <v>8114</v>
      </c>
      <c r="I1403" s="446" t="s">
        <v>5207</v>
      </c>
      <c r="J1403" s="446" t="s">
        <v>746</v>
      </c>
      <c r="K1403" s="446" t="s">
        <v>8115</v>
      </c>
      <c r="L1403" s="450"/>
      <c r="M1403" s="450"/>
      <c r="N1403" s="450"/>
      <c r="O1403" s="450"/>
      <c r="P1403" s="450"/>
      <c r="Q1403" s="450"/>
      <c r="R1403" s="450"/>
      <c r="S1403" s="451"/>
      <c r="T1403" s="450"/>
      <c r="U1403" s="451"/>
      <c r="V1403" s="450"/>
      <c r="W1403" s="450"/>
      <c r="X1403" s="450"/>
      <c r="Y1403" s="450"/>
      <c r="Z1403" s="450"/>
    </row>
    <row r="1404" spans="1:26" x14ac:dyDescent="0.25">
      <c r="A1404" s="446" t="s">
        <v>2317</v>
      </c>
      <c r="B1404" s="446"/>
      <c r="C1404" s="446" t="s">
        <v>619</v>
      </c>
      <c r="D1404" s="446" t="s">
        <v>8116</v>
      </c>
      <c r="E1404" s="448" t="s">
        <v>8117</v>
      </c>
      <c r="F1404" s="448">
        <v>42061</v>
      </c>
      <c r="G1404" s="446" t="s">
        <v>8118</v>
      </c>
      <c r="H1404" s="446" t="s">
        <v>8119</v>
      </c>
      <c r="I1404" s="446" t="s">
        <v>6844</v>
      </c>
      <c r="J1404" s="446" t="s">
        <v>404</v>
      </c>
      <c r="K1404" s="446" t="s">
        <v>8120</v>
      </c>
      <c r="L1404" s="450"/>
      <c r="M1404" s="450"/>
      <c r="N1404" s="450"/>
      <c r="O1404" s="450"/>
      <c r="P1404" s="450"/>
      <c r="Q1404" s="450"/>
      <c r="R1404" s="450"/>
      <c r="S1404" s="451"/>
      <c r="T1404" s="450"/>
      <c r="U1404" s="451"/>
      <c r="V1404" s="450"/>
      <c r="W1404" s="450"/>
      <c r="X1404" s="450"/>
      <c r="Y1404" s="450"/>
      <c r="Z1404" s="450"/>
    </row>
    <row r="1405" spans="1:26" x14ac:dyDescent="0.25">
      <c r="A1405" s="446" t="s">
        <v>2321</v>
      </c>
      <c r="B1405" s="446"/>
      <c r="C1405" s="446" t="s">
        <v>2029</v>
      </c>
      <c r="D1405" s="446" t="s">
        <v>8121</v>
      </c>
      <c r="E1405" s="448" t="s">
        <v>8122</v>
      </c>
      <c r="F1405" s="448">
        <v>42111</v>
      </c>
      <c r="G1405" s="446" t="s">
        <v>306</v>
      </c>
      <c r="H1405" s="446" t="s">
        <v>102</v>
      </c>
      <c r="I1405" s="446" t="s">
        <v>215</v>
      </c>
      <c r="J1405" s="446" t="s">
        <v>746</v>
      </c>
      <c r="K1405" s="446" t="s">
        <v>8123</v>
      </c>
      <c r="L1405" s="450"/>
      <c r="M1405" s="450"/>
      <c r="N1405" s="450"/>
      <c r="O1405" s="450"/>
      <c r="P1405" s="450"/>
      <c r="Q1405" s="450"/>
      <c r="R1405" s="450"/>
      <c r="S1405" s="451"/>
      <c r="T1405" s="450"/>
      <c r="U1405" s="451"/>
      <c r="V1405" s="450"/>
      <c r="W1405" s="450"/>
      <c r="X1405" s="450"/>
      <c r="Y1405" s="450"/>
      <c r="Z1405" s="450"/>
    </row>
    <row r="1406" spans="1:26" x14ac:dyDescent="0.25">
      <c r="A1406" s="446" t="s">
        <v>2326</v>
      </c>
      <c r="B1406" s="446"/>
      <c r="C1406" s="446" t="s">
        <v>1456</v>
      </c>
      <c r="D1406" s="446" t="s">
        <v>8124</v>
      </c>
      <c r="E1406" s="448" t="s">
        <v>8125</v>
      </c>
      <c r="F1406" s="448">
        <v>42129</v>
      </c>
      <c r="G1406" s="446" t="s">
        <v>2328</v>
      </c>
      <c r="H1406" s="446" t="s">
        <v>8126</v>
      </c>
      <c r="I1406" s="446" t="s">
        <v>5207</v>
      </c>
      <c r="J1406" s="446" t="s">
        <v>746</v>
      </c>
      <c r="K1406" s="446" t="s">
        <v>8127</v>
      </c>
      <c r="L1406" s="450"/>
      <c r="M1406" s="450"/>
      <c r="N1406" s="450"/>
      <c r="O1406" s="450"/>
      <c r="P1406" s="450"/>
      <c r="Q1406" s="450"/>
      <c r="R1406" s="450"/>
      <c r="S1406" s="451"/>
      <c r="T1406" s="450"/>
      <c r="U1406" s="451"/>
      <c r="V1406" s="450"/>
      <c r="W1406" s="450"/>
      <c r="X1406" s="450"/>
      <c r="Y1406" s="450"/>
      <c r="Z1406" s="450"/>
    </row>
    <row r="1407" spans="1:26" x14ac:dyDescent="0.25">
      <c r="A1407" s="446" t="s">
        <v>8128</v>
      </c>
      <c r="B1407" s="446"/>
      <c r="C1407" s="446" t="s">
        <v>1456</v>
      </c>
      <c r="D1407" s="446" t="s">
        <v>8129</v>
      </c>
      <c r="E1407" s="448" t="s">
        <v>8130</v>
      </c>
      <c r="F1407" s="448">
        <v>42142</v>
      </c>
      <c r="G1407" s="446" t="s">
        <v>4125</v>
      </c>
      <c r="H1407" s="446" t="s">
        <v>8131</v>
      </c>
      <c r="I1407" s="446" t="s">
        <v>5207</v>
      </c>
      <c r="J1407" s="446" t="s">
        <v>746</v>
      </c>
      <c r="K1407" s="446" t="s">
        <v>8132</v>
      </c>
      <c r="L1407" s="450"/>
      <c r="M1407" s="450"/>
      <c r="N1407" s="450"/>
      <c r="O1407" s="450"/>
      <c r="P1407" s="450"/>
      <c r="Q1407" s="450"/>
      <c r="R1407" s="450"/>
      <c r="S1407" s="451"/>
      <c r="T1407" s="450"/>
      <c r="U1407" s="451"/>
      <c r="V1407" s="450"/>
      <c r="W1407" s="450"/>
      <c r="X1407" s="450"/>
      <c r="Y1407" s="450"/>
      <c r="Z1407" s="450"/>
    </row>
    <row r="1408" spans="1:26" x14ac:dyDescent="0.25">
      <c r="A1408" s="446" t="s">
        <v>2332</v>
      </c>
      <c r="B1408" s="446"/>
      <c r="C1408" s="446" t="s">
        <v>2189</v>
      </c>
      <c r="D1408" s="446" t="s">
        <v>8133</v>
      </c>
      <c r="E1408" s="448" t="s">
        <v>8134</v>
      </c>
      <c r="F1408" s="448">
        <v>42199</v>
      </c>
      <c r="G1408" s="446" t="s">
        <v>8135</v>
      </c>
      <c r="H1408" s="446" t="s">
        <v>8136</v>
      </c>
      <c r="I1408" s="446" t="s">
        <v>5207</v>
      </c>
      <c r="J1408" s="446" t="s">
        <v>746</v>
      </c>
      <c r="K1408" s="446" t="s">
        <v>8137</v>
      </c>
      <c r="L1408" s="450"/>
      <c r="M1408" s="450"/>
      <c r="N1408" s="450"/>
      <c r="O1408" s="450"/>
      <c r="P1408" s="450"/>
      <c r="Q1408" s="450"/>
      <c r="R1408" s="450"/>
      <c r="S1408" s="451"/>
      <c r="T1408" s="450"/>
      <c r="U1408" s="451"/>
      <c r="V1408" s="450"/>
      <c r="W1408" s="450"/>
      <c r="X1408" s="450"/>
      <c r="Y1408" s="450"/>
      <c r="Z1408" s="450"/>
    </row>
    <row r="1409" spans="1:26" x14ac:dyDescent="0.25">
      <c r="A1409" s="446" t="s">
        <v>2338</v>
      </c>
      <c r="B1409" s="446"/>
      <c r="C1409" s="446" t="s">
        <v>2189</v>
      </c>
      <c r="D1409" s="446" t="s">
        <v>8138</v>
      </c>
      <c r="E1409" s="448" t="s">
        <v>8134</v>
      </c>
      <c r="F1409" s="448">
        <v>42199</v>
      </c>
      <c r="G1409" s="446" t="s">
        <v>8139</v>
      </c>
      <c r="H1409" s="446" t="s">
        <v>8140</v>
      </c>
      <c r="I1409" s="446" t="s">
        <v>5207</v>
      </c>
      <c r="J1409" s="446" t="s">
        <v>746</v>
      </c>
      <c r="K1409" s="446" t="s">
        <v>8141</v>
      </c>
      <c r="L1409" s="450"/>
      <c r="M1409" s="450"/>
      <c r="N1409" s="450"/>
      <c r="O1409" s="450"/>
      <c r="P1409" s="450"/>
      <c r="Q1409" s="450"/>
      <c r="R1409" s="450"/>
      <c r="S1409" s="451"/>
      <c r="T1409" s="450"/>
      <c r="U1409" s="451"/>
      <c r="V1409" s="450"/>
      <c r="W1409" s="450"/>
      <c r="X1409" s="450"/>
      <c r="Y1409" s="450"/>
      <c r="Z1409" s="450"/>
    </row>
    <row r="1410" spans="1:26" x14ac:dyDescent="0.25">
      <c r="A1410" s="446" t="s">
        <v>2280</v>
      </c>
      <c r="B1410" s="446"/>
      <c r="C1410" s="446" t="s">
        <v>1456</v>
      </c>
      <c r="D1410" s="446" t="s">
        <v>8142</v>
      </c>
      <c r="E1410" s="448" t="s">
        <v>8143</v>
      </c>
      <c r="F1410" s="448">
        <v>41821</v>
      </c>
      <c r="G1410" s="446" t="s">
        <v>2282</v>
      </c>
      <c r="H1410" s="446" t="s">
        <v>2283</v>
      </c>
      <c r="I1410" s="446" t="s">
        <v>5207</v>
      </c>
      <c r="J1410" s="446" t="s">
        <v>746</v>
      </c>
      <c r="K1410" s="446" t="s">
        <v>8144</v>
      </c>
      <c r="L1410" s="450"/>
      <c r="M1410" s="450"/>
      <c r="N1410" s="450"/>
      <c r="O1410" s="450"/>
      <c r="P1410" s="450"/>
      <c r="Q1410" s="450"/>
      <c r="R1410" s="450"/>
      <c r="S1410" s="451"/>
      <c r="T1410" s="450"/>
      <c r="U1410" s="451"/>
      <c r="V1410" s="450"/>
      <c r="W1410" s="450"/>
      <c r="X1410" s="450"/>
      <c r="Y1410" s="450"/>
      <c r="Z1410" s="450"/>
    </row>
    <row r="1411" spans="1:26" x14ac:dyDescent="0.25">
      <c r="A1411" s="446" t="s">
        <v>2309</v>
      </c>
      <c r="B1411" s="446"/>
      <c r="C1411" s="446" t="s">
        <v>1456</v>
      </c>
      <c r="D1411" s="446" t="s">
        <v>8145</v>
      </c>
      <c r="E1411" s="448" t="s">
        <v>8143</v>
      </c>
      <c r="F1411" s="448">
        <v>41944</v>
      </c>
      <c r="G1411" s="446" t="s">
        <v>8146</v>
      </c>
      <c r="H1411" s="446" t="s">
        <v>2283</v>
      </c>
      <c r="I1411" s="446" t="s">
        <v>5207</v>
      </c>
      <c r="J1411" s="446" t="s">
        <v>746</v>
      </c>
      <c r="K1411" s="446" t="s">
        <v>8147</v>
      </c>
      <c r="L1411" s="450"/>
      <c r="M1411" s="450"/>
      <c r="N1411" s="450"/>
      <c r="O1411" s="450"/>
      <c r="P1411" s="450"/>
      <c r="Q1411" s="450"/>
      <c r="R1411" s="450"/>
      <c r="S1411" s="451"/>
      <c r="T1411" s="450"/>
      <c r="U1411" s="451"/>
      <c r="V1411" s="450"/>
      <c r="W1411" s="450"/>
      <c r="X1411" s="450"/>
      <c r="Y1411" s="450"/>
      <c r="Z1411" s="450"/>
    </row>
    <row r="1412" spans="1:26" x14ac:dyDescent="0.25">
      <c r="A1412" s="446" t="s">
        <v>2354</v>
      </c>
      <c r="B1412" s="446"/>
      <c r="C1412" s="446" t="s">
        <v>619</v>
      </c>
      <c r="D1412" s="446" t="s">
        <v>8148</v>
      </c>
      <c r="E1412" s="448" t="s">
        <v>8149</v>
      </c>
      <c r="F1412" s="448">
        <v>42242</v>
      </c>
      <c r="G1412" s="446" t="s">
        <v>2356</v>
      </c>
      <c r="H1412" s="446" t="s">
        <v>8150</v>
      </c>
      <c r="I1412" s="446" t="s">
        <v>8151</v>
      </c>
      <c r="J1412" s="446" t="s">
        <v>404</v>
      </c>
      <c r="K1412" s="446" t="s">
        <v>8152</v>
      </c>
      <c r="L1412" s="450"/>
      <c r="M1412" s="450"/>
      <c r="N1412" s="450"/>
      <c r="O1412" s="450"/>
      <c r="P1412" s="450"/>
      <c r="Q1412" s="450"/>
      <c r="R1412" s="450"/>
      <c r="S1412" s="451"/>
      <c r="T1412" s="450"/>
      <c r="U1412" s="451"/>
      <c r="V1412" s="450"/>
      <c r="W1412" s="450"/>
      <c r="X1412" s="450"/>
      <c r="Y1412" s="450"/>
      <c r="Z1412" s="450"/>
    </row>
    <row r="1413" spans="1:26" x14ac:dyDescent="0.25">
      <c r="A1413" s="446" t="s">
        <v>2349</v>
      </c>
      <c r="B1413" s="446"/>
      <c r="C1413" s="446" t="s">
        <v>1902</v>
      </c>
      <c r="D1413" s="446" t="s">
        <v>8153</v>
      </c>
      <c r="E1413" s="448" t="s">
        <v>8154</v>
      </c>
      <c r="F1413" s="448">
        <v>42199</v>
      </c>
      <c r="G1413" s="446" t="s">
        <v>8155</v>
      </c>
      <c r="H1413" s="446" t="s">
        <v>8156</v>
      </c>
      <c r="I1413" s="446" t="s">
        <v>5207</v>
      </c>
      <c r="J1413" s="446" t="s">
        <v>760</v>
      </c>
      <c r="K1413" s="446" t="s">
        <v>8157</v>
      </c>
      <c r="L1413" s="450"/>
      <c r="M1413" s="450"/>
      <c r="N1413" s="450"/>
      <c r="O1413" s="450"/>
      <c r="P1413" s="450"/>
      <c r="Q1413" s="450"/>
      <c r="R1413" s="450"/>
      <c r="S1413" s="451"/>
      <c r="T1413" s="450"/>
      <c r="U1413" s="451"/>
      <c r="V1413" s="450"/>
      <c r="W1413" s="450"/>
      <c r="X1413" s="450"/>
      <c r="Y1413" s="450"/>
      <c r="Z1413" s="450"/>
    </row>
    <row r="1414" spans="1:26" x14ac:dyDescent="0.25">
      <c r="A1414" s="446" t="s">
        <v>2343</v>
      </c>
      <c r="B1414" s="446"/>
      <c r="C1414" s="446" t="s">
        <v>1902</v>
      </c>
      <c r="D1414" s="446" t="s">
        <v>8158</v>
      </c>
      <c r="E1414" s="448" t="s">
        <v>8154</v>
      </c>
      <c r="F1414" s="448">
        <v>42199</v>
      </c>
      <c r="G1414" s="446" t="s">
        <v>8155</v>
      </c>
      <c r="H1414" s="446" t="s">
        <v>8159</v>
      </c>
      <c r="I1414" s="446" t="s">
        <v>5207</v>
      </c>
      <c r="J1414" s="446" t="s">
        <v>760</v>
      </c>
      <c r="K1414" s="446" t="s">
        <v>8160</v>
      </c>
      <c r="L1414" s="450"/>
      <c r="M1414" s="450"/>
      <c r="N1414" s="450"/>
      <c r="O1414" s="450"/>
      <c r="P1414" s="450"/>
      <c r="Q1414" s="450"/>
      <c r="R1414" s="450"/>
      <c r="S1414" s="451"/>
      <c r="T1414" s="450"/>
      <c r="U1414" s="451"/>
      <c r="V1414" s="450"/>
      <c r="W1414" s="450"/>
      <c r="X1414" s="450"/>
      <c r="Y1414" s="450"/>
      <c r="Z1414" s="450"/>
    </row>
    <row r="1415" spans="1:26" x14ac:dyDescent="0.25">
      <c r="A1415" s="446" t="s">
        <v>2365</v>
      </c>
      <c r="B1415" s="446"/>
      <c r="C1415" s="446" t="s">
        <v>619</v>
      </c>
      <c r="D1415" s="446" t="s">
        <v>8161</v>
      </c>
      <c r="E1415" s="448" t="s">
        <v>8162</v>
      </c>
      <c r="F1415" s="448">
        <v>42305</v>
      </c>
      <c r="G1415" s="446" t="s">
        <v>2165</v>
      </c>
      <c r="H1415" s="446" t="s">
        <v>8163</v>
      </c>
      <c r="I1415" s="446" t="s">
        <v>6844</v>
      </c>
      <c r="J1415" s="446" t="s">
        <v>404</v>
      </c>
      <c r="K1415" s="446" t="s">
        <v>8164</v>
      </c>
      <c r="L1415" s="450"/>
      <c r="M1415" s="450"/>
      <c r="N1415" s="450"/>
      <c r="O1415" s="450"/>
      <c r="P1415" s="450"/>
      <c r="Q1415" s="450"/>
      <c r="R1415" s="450"/>
      <c r="S1415" s="451"/>
      <c r="T1415" s="450"/>
      <c r="U1415" s="451"/>
      <c r="V1415" s="450"/>
      <c r="W1415" s="450"/>
      <c r="X1415" s="450"/>
      <c r="Y1415" s="450"/>
      <c r="Z1415" s="450"/>
    </row>
    <row r="1416" spans="1:26" x14ac:dyDescent="0.25">
      <c r="A1416" s="446" t="s">
        <v>2361</v>
      </c>
      <c r="B1416" s="446"/>
      <c r="C1416" s="446" t="s">
        <v>2189</v>
      </c>
      <c r="D1416" s="446" t="s">
        <v>8165</v>
      </c>
      <c r="E1416" s="448" t="s">
        <v>8166</v>
      </c>
      <c r="F1416" s="448">
        <v>42255</v>
      </c>
      <c r="G1416" s="446" t="s">
        <v>2363</v>
      </c>
      <c r="H1416" s="446" t="s">
        <v>8167</v>
      </c>
      <c r="I1416" s="446" t="s">
        <v>8151</v>
      </c>
      <c r="J1416" s="446" t="s">
        <v>746</v>
      </c>
      <c r="K1416" s="446" t="s">
        <v>8168</v>
      </c>
      <c r="L1416" s="450"/>
      <c r="M1416" s="450"/>
      <c r="N1416" s="450"/>
      <c r="O1416" s="450"/>
      <c r="P1416" s="450"/>
      <c r="Q1416" s="450"/>
      <c r="R1416" s="450"/>
      <c r="S1416" s="451"/>
      <c r="T1416" s="450"/>
      <c r="U1416" s="451"/>
      <c r="V1416" s="450"/>
      <c r="W1416" s="450"/>
      <c r="X1416" s="450"/>
      <c r="Y1416" s="450"/>
      <c r="Z1416" s="450"/>
    </row>
    <row r="1417" spans="1:26" x14ac:dyDescent="0.25">
      <c r="A1417" s="446" t="s">
        <v>8169</v>
      </c>
      <c r="B1417" s="446"/>
      <c r="C1417" s="446" t="s">
        <v>533</v>
      </c>
      <c r="D1417" s="446" t="s">
        <v>8170</v>
      </c>
      <c r="E1417" s="448" t="s">
        <v>8171</v>
      </c>
      <c r="F1417" s="448">
        <v>42547</v>
      </c>
      <c r="G1417" s="446" t="s">
        <v>8172</v>
      </c>
      <c r="H1417" s="446" t="s">
        <v>8173</v>
      </c>
      <c r="I1417" s="446" t="s">
        <v>7867</v>
      </c>
      <c r="J1417" s="446" t="s">
        <v>4604</v>
      </c>
      <c r="K1417" s="446" t="s">
        <v>8174</v>
      </c>
      <c r="L1417" s="450"/>
      <c r="M1417" s="450"/>
      <c r="N1417" s="450"/>
      <c r="O1417" s="450"/>
      <c r="P1417" s="450"/>
      <c r="Q1417" s="450"/>
      <c r="R1417" s="450"/>
      <c r="S1417" s="451"/>
      <c r="T1417" s="450"/>
      <c r="U1417" s="451"/>
      <c r="V1417" s="450"/>
      <c r="W1417" s="450"/>
      <c r="X1417" s="450"/>
      <c r="Y1417" s="450"/>
      <c r="Z1417" s="450"/>
    </row>
    <row r="1418" spans="1:26" x14ac:dyDescent="0.25">
      <c r="A1418" s="446" t="s">
        <v>2372</v>
      </c>
      <c r="B1418" s="446"/>
      <c r="C1418" s="446" t="s">
        <v>1160</v>
      </c>
      <c r="D1418" s="446" t="s">
        <v>4511</v>
      </c>
      <c r="E1418" s="448" t="s">
        <v>8175</v>
      </c>
      <c r="F1418" s="448">
        <v>42370</v>
      </c>
      <c r="G1418" s="446" t="s">
        <v>3143</v>
      </c>
      <c r="H1418" s="446" t="s">
        <v>4131</v>
      </c>
      <c r="I1418" s="446" t="s">
        <v>6324</v>
      </c>
      <c r="J1418" s="446" t="s">
        <v>404</v>
      </c>
      <c r="K1418" s="446" t="s">
        <v>8176</v>
      </c>
      <c r="L1418" s="450"/>
      <c r="M1418" s="450"/>
      <c r="N1418" s="450"/>
      <c r="O1418" s="450"/>
      <c r="P1418" s="450"/>
      <c r="Q1418" s="450"/>
      <c r="R1418" s="450"/>
      <c r="S1418" s="451"/>
      <c r="T1418" s="450"/>
      <c r="U1418" s="451"/>
      <c r="V1418" s="450"/>
      <c r="W1418" s="450"/>
      <c r="X1418" s="450"/>
      <c r="Y1418" s="450"/>
      <c r="Z1418" s="450"/>
    </row>
    <row r="1419" spans="1:26" x14ac:dyDescent="0.25">
      <c r="A1419" s="446" t="s">
        <v>2369</v>
      </c>
      <c r="B1419" s="446"/>
      <c r="C1419" s="446" t="s">
        <v>1456</v>
      </c>
      <c r="D1419" s="446" t="s">
        <v>3038</v>
      </c>
      <c r="E1419" s="448" t="s">
        <v>8175</v>
      </c>
      <c r="F1419" s="448">
        <v>42370</v>
      </c>
      <c r="G1419" s="446" t="s">
        <v>3143</v>
      </c>
      <c r="H1419" s="446" t="s">
        <v>2371</v>
      </c>
      <c r="I1419" s="446" t="s">
        <v>5207</v>
      </c>
      <c r="J1419" s="446" t="s">
        <v>746</v>
      </c>
      <c r="K1419" s="446" t="s">
        <v>8177</v>
      </c>
      <c r="L1419" s="450"/>
      <c r="M1419" s="450"/>
      <c r="N1419" s="450"/>
      <c r="O1419" s="450"/>
      <c r="P1419" s="450"/>
      <c r="Q1419" s="450"/>
      <c r="R1419" s="450"/>
      <c r="S1419" s="451"/>
      <c r="T1419" s="450"/>
      <c r="U1419" s="451"/>
      <c r="V1419" s="450"/>
      <c r="W1419" s="450"/>
      <c r="X1419" s="450"/>
      <c r="Y1419" s="450"/>
      <c r="Z1419" s="450"/>
    </row>
    <row r="1420" spans="1:26" x14ac:dyDescent="0.25">
      <c r="A1420" s="446" t="s">
        <v>1351</v>
      </c>
      <c r="B1420" s="446"/>
      <c r="C1420" s="446" t="s">
        <v>604</v>
      </c>
      <c r="D1420" s="446" t="s">
        <v>8178</v>
      </c>
      <c r="E1420" s="448" t="s">
        <v>8179</v>
      </c>
      <c r="F1420" s="448">
        <v>36389</v>
      </c>
      <c r="G1420" s="446" t="s">
        <v>1353</v>
      </c>
      <c r="H1420" s="446" t="s">
        <v>102</v>
      </c>
      <c r="I1420" s="446" t="s">
        <v>8180</v>
      </c>
      <c r="J1420" s="446" t="s">
        <v>760</v>
      </c>
      <c r="K1420" s="446" t="s">
        <v>8181</v>
      </c>
      <c r="L1420" s="450"/>
      <c r="M1420" s="450"/>
      <c r="N1420" s="450"/>
      <c r="O1420" s="450"/>
      <c r="P1420" s="450"/>
      <c r="Q1420" s="450"/>
      <c r="R1420" s="450"/>
      <c r="S1420" s="451"/>
      <c r="T1420" s="450"/>
      <c r="U1420" s="451"/>
      <c r="V1420" s="450"/>
      <c r="W1420" s="450"/>
      <c r="X1420" s="450"/>
      <c r="Y1420" s="450"/>
      <c r="Z1420" s="450"/>
    </row>
    <row r="1421" spans="1:26" x14ac:dyDescent="0.25">
      <c r="A1421" s="446" t="s">
        <v>2377</v>
      </c>
      <c r="B1421" s="446">
        <v>44</v>
      </c>
      <c r="C1421" s="446" t="s">
        <v>1456</v>
      </c>
      <c r="D1421" s="446" t="s">
        <v>3039</v>
      </c>
      <c r="E1421" s="448" t="s">
        <v>8182</v>
      </c>
      <c r="F1421" s="448">
        <v>42673</v>
      </c>
      <c r="G1421" s="446" t="s">
        <v>2075</v>
      </c>
      <c r="H1421" s="446" t="s">
        <v>2076</v>
      </c>
      <c r="I1421" s="446" t="s">
        <v>5207</v>
      </c>
      <c r="J1421" s="446" t="s">
        <v>746</v>
      </c>
      <c r="K1421" s="446" t="s">
        <v>8183</v>
      </c>
      <c r="L1421" s="450"/>
      <c r="M1421" s="450"/>
      <c r="N1421" s="450"/>
      <c r="O1421" s="450"/>
      <c r="P1421" s="450"/>
      <c r="Q1421" s="450"/>
      <c r="R1421" s="450"/>
      <c r="S1421" s="451"/>
      <c r="T1421" s="450"/>
      <c r="U1421" s="451"/>
      <c r="V1421" s="450"/>
      <c r="W1421" s="450"/>
      <c r="X1421" s="450"/>
      <c r="Y1421" s="450"/>
      <c r="Z1421" s="450"/>
    </row>
    <row r="1422" spans="1:26" x14ac:dyDescent="0.25">
      <c r="A1422" s="446" t="s">
        <v>2395</v>
      </c>
      <c r="B1422" s="446"/>
      <c r="C1422" s="446" t="s">
        <v>619</v>
      </c>
      <c r="D1422" s="446" t="s">
        <v>8184</v>
      </c>
      <c r="E1422" s="448" t="s">
        <v>8185</v>
      </c>
      <c r="F1422" s="448">
        <v>42985</v>
      </c>
      <c r="G1422" s="446" t="s">
        <v>2397</v>
      </c>
      <c r="H1422" s="446" t="s">
        <v>2398</v>
      </c>
      <c r="I1422" s="446" t="s">
        <v>5207</v>
      </c>
      <c r="J1422" s="446" t="s">
        <v>404</v>
      </c>
      <c r="K1422" s="446" t="s">
        <v>8186</v>
      </c>
      <c r="L1422" s="450"/>
      <c r="M1422" s="450"/>
      <c r="N1422" s="450"/>
      <c r="O1422" s="450"/>
      <c r="P1422" s="450"/>
      <c r="Q1422" s="450"/>
      <c r="R1422" s="450"/>
      <c r="S1422" s="451"/>
      <c r="T1422" s="450"/>
      <c r="U1422" s="451"/>
      <c r="V1422" s="450"/>
      <c r="W1422" s="450"/>
      <c r="X1422" s="450"/>
      <c r="Y1422" s="450"/>
      <c r="Z1422" s="450"/>
    </row>
    <row r="1423" spans="1:26" x14ac:dyDescent="0.25">
      <c r="A1423" s="446" t="s">
        <v>8187</v>
      </c>
      <c r="B1423" s="446"/>
      <c r="C1423" s="446" t="s">
        <v>1181</v>
      </c>
      <c r="D1423" s="446" t="s">
        <v>4529</v>
      </c>
      <c r="E1423" s="448" t="s">
        <v>8188</v>
      </c>
      <c r="F1423" s="448">
        <v>43070</v>
      </c>
      <c r="G1423" s="446" t="s">
        <v>2371</v>
      </c>
      <c r="H1423" s="446" t="s">
        <v>4530</v>
      </c>
      <c r="I1423" s="446" t="s">
        <v>5207</v>
      </c>
      <c r="J1423" s="446" t="s">
        <v>4604</v>
      </c>
      <c r="K1423" s="446" t="s">
        <v>8189</v>
      </c>
      <c r="L1423" s="450"/>
      <c r="M1423" s="450"/>
      <c r="N1423" s="450"/>
      <c r="O1423" s="450"/>
      <c r="P1423" s="450"/>
      <c r="Q1423" s="450"/>
      <c r="R1423" s="450"/>
      <c r="S1423" s="451"/>
      <c r="T1423" s="450"/>
      <c r="U1423" s="451"/>
      <c r="V1423" s="450"/>
      <c r="W1423" s="450"/>
      <c r="X1423" s="450"/>
      <c r="Y1423" s="450"/>
      <c r="Z1423" s="450"/>
    </row>
    <row r="1424" spans="1:26" x14ac:dyDescent="0.25">
      <c r="A1424" s="446" t="s">
        <v>2403</v>
      </c>
      <c r="B1424" s="446"/>
      <c r="C1424" s="446" t="s">
        <v>461</v>
      </c>
      <c r="D1424" s="446" t="s">
        <v>8190</v>
      </c>
      <c r="E1424" s="448" t="s">
        <v>8191</v>
      </c>
      <c r="F1424" s="448">
        <v>43249</v>
      </c>
      <c r="G1424" s="446" t="s">
        <v>2406</v>
      </c>
      <c r="H1424" s="446" t="s">
        <v>102</v>
      </c>
      <c r="I1424" s="446" t="s">
        <v>5207</v>
      </c>
      <c r="J1424" s="446" t="s">
        <v>760</v>
      </c>
      <c r="K1424" s="446" t="s">
        <v>8192</v>
      </c>
      <c r="L1424" s="450"/>
      <c r="M1424" s="450"/>
      <c r="N1424" s="450"/>
      <c r="O1424" s="450"/>
      <c r="P1424" s="450"/>
      <c r="Q1424" s="450"/>
      <c r="R1424" s="450"/>
      <c r="S1424" s="451"/>
      <c r="T1424" s="450"/>
      <c r="U1424" s="451"/>
      <c r="V1424" s="450"/>
      <c r="W1424" s="450"/>
      <c r="X1424" s="450"/>
      <c r="Y1424" s="450"/>
      <c r="Z1424" s="450"/>
    </row>
    <row r="1425" spans="1:26" x14ac:dyDescent="0.25">
      <c r="A1425" s="446" t="s">
        <v>2413</v>
      </c>
      <c r="B1425" s="446">
        <v>48</v>
      </c>
      <c r="C1425" s="446" t="s">
        <v>2189</v>
      </c>
      <c r="D1425" s="446" t="s">
        <v>4533</v>
      </c>
      <c r="E1425" s="448" t="s">
        <v>8193</v>
      </c>
      <c r="F1425" s="448">
        <v>43314</v>
      </c>
      <c r="G1425" s="446" t="s">
        <v>8194</v>
      </c>
      <c r="H1425" s="446" t="s">
        <v>102</v>
      </c>
      <c r="I1425" s="446" t="s">
        <v>5207</v>
      </c>
      <c r="J1425" s="446" t="s">
        <v>746</v>
      </c>
      <c r="K1425" s="446" t="s">
        <v>8195</v>
      </c>
      <c r="L1425" s="450"/>
      <c r="M1425" s="450"/>
      <c r="N1425" s="450"/>
      <c r="O1425" s="450"/>
      <c r="P1425" s="450"/>
      <c r="Q1425" s="450"/>
      <c r="R1425" s="450"/>
      <c r="S1425" s="451"/>
      <c r="T1425" s="450"/>
      <c r="U1425" s="451"/>
      <c r="V1425" s="450"/>
      <c r="W1425" s="450"/>
      <c r="X1425" s="450"/>
      <c r="Y1425" s="450"/>
      <c r="Z1425" s="450"/>
    </row>
    <row r="1426" spans="1:26" x14ac:dyDescent="0.25">
      <c r="A1426" s="446" t="s">
        <v>8196</v>
      </c>
      <c r="B1426" s="446"/>
      <c r="C1426" s="446" t="s">
        <v>1456</v>
      </c>
      <c r="D1426" s="446" t="s">
        <v>8197</v>
      </c>
      <c r="E1426" s="448" t="s">
        <v>8198</v>
      </c>
      <c r="F1426" s="448">
        <v>43291</v>
      </c>
      <c r="G1426" s="446" t="s">
        <v>8199</v>
      </c>
      <c r="H1426" s="446" t="s">
        <v>8200</v>
      </c>
      <c r="I1426" s="446" t="s">
        <v>7789</v>
      </c>
      <c r="J1426" s="446" t="s">
        <v>746</v>
      </c>
      <c r="K1426" s="446" t="s">
        <v>8201</v>
      </c>
      <c r="L1426" s="450"/>
      <c r="M1426" s="450"/>
      <c r="N1426" s="450"/>
      <c r="O1426" s="450"/>
      <c r="P1426" s="450"/>
      <c r="Q1426" s="450"/>
      <c r="R1426" s="450"/>
      <c r="S1426" s="451"/>
      <c r="T1426" s="450"/>
      <c r="U1426" s="451"/>
      <c r="V1426" s="450"/>
      <c r="W1426" s="450"/>
      <c r="X1426" s="450"/>
      <c r="Y1426" s="450"/>
      <c r="Z1426" s="450"/>
    </row>
    <row r="1427" spans="1:26" x14ac:dyDescent="0.25">
      <c r="A1427" s="446" t="s">
        <v>2408</v>
      </c>
      <c r="B1427" s="446"/>
      <c r="C1427" s="446" t="s">
        <v>619</v>
      </c>
      <c r="D1427" s="446" t="s">
        <v>8202</v>
      </c>
      <c r="E1427" s="448" t="s">
        <v>8203</v>
      </c>
      <c r="F1427" s="448">
        <v>43281</v>
      </c>
      <c r="G1427" s="446" t="s">
        <v>8204</v>
      </c>
      <c r="H1427" s="446" t="s">
        <v>3022</v>
      </c>
      <c r="I1427" s="446" t="s">
        <v>5207</v>
      </c>
      <c r="J1427" s="446" t="s">
        <v>404</v>
      </c>
      <c r="K1427" s="446" t="s">
        <v>8205</v>
      </c>
      <c r="L1427" s="450"/>
      <c r="M1427" s="450"/>
      <c r="N1427" s="450"/>
      <c r="O1427" s="450"/>
      <c r="P1427" s="450"/>
      <c r="Q1427" s="450"/>
      <c r="R1427" s="450"/>
      <c r="S1427" s="451"/>
      <c r="T1427" s="450"/>
      <c r="U1427" s="451"/>
      <c r="V1427" s="450"/>
      <c r="W1427" s="450"/>
      <c r="X1427" s="450"/>
      <c r="Y1427" s="450"/>
      <c r="Z1427" s="450"/>
    </row>
    <row r="1428" spans="1:26" x14ac:dyDescent="0.25">
      <c r="A1428" s="446" t="s">
        <v>2424</v>
      </c>
      <c r="B1428" s="446"/>
      <c r="C1428" s="446" t="s">
        <v>619</v>
      </c>
      <c r="D1428" s="446" t="s">
        <v>8206</v>
      </c>
      <c r="E1428" s="448" t="s">
        <v>8207</v>
      </c>
      <c r="F1428" s="448">
        <v>43423</v>
      </c>
      <c r="G1428" s="446" t="s">
        <v>863</v>
      </c>
      <c r="H1428" s="446" t="s">
        <v>838</v>
      </c>
      <c r="I1428" s="446" t="s">
        <v>6844</v>
      </c>
      <c r="J1428" s="446" t="s">
        <v>404</v>
      </c>
      <c r="K1428" s="446" t="s">
        <v>8208</v>
      </c>
      <c r="L1428" s="450"/>
      <c r="M1428" s="450"/>
      <c r="N1428" s="450"/>
      <c r="O1428" s="450"/>
      <c r="P1428" s="450"/>
      <c r="Q1428" s="450"/>
      <c r="R1428" s="450"/>
      <c r="S1428" s="451"/>
      <c r="T1428" s="450"/>
      <c r="U1428" s="451"/>
      <c r="V1428" s="450"/>
      <c r="W1428" s="450"/>
      <c r="X1428" s="450"/>
      <c r="Y1428" s="450"/>
      <c r="Z1428" s="450"/>
    </row>
    <row r="1429" spans="1:26" x14ac:dyDescent="0.25">
      <c r="A1429" s="446" t="s">
        <v>2432</v>
      </c>
      <c r="B1429" s="446"/>
      <c r="C1429" s="446" t="s">
        <v>1456</v>
      </c>
      <c r="D1429" s="446" t="s">
        <v>3042</v>
      </c>
      <c r="E1429" s="448" t="s">
        <v>8209</v>
      </c>
      <c r="F1429" s="448">
        <v>43564</v>
      </c>
      <c r="G1429" s="446" t="s">
        <v>3022</v>
      </c>
      <c r="H1429" s="446" t="s">
        <v>2435</v>
      </c>
      <c r="I1429" s="446" t="s">
        <v>5207</v>
      </c>
      <c r="J1429" s="446" t="s">
        <v>746</v>
      </c>
      <c r="K1429" s="446" t="s">
        <v>8210</v>
      </c>
      <c r="L1429" s="450"/>
      <c r="M1429" s="450"/>
      <c r="N1429" s="450"/>
      <c r="O1429" s="450"/>
      <c r="P1429" s="450"/>
      <c r="Q1429" s="450"/>
      <c r="R1429" s="450"/>
      <c r="S1429" s="451"/>
      <c r="T1429" s="450"/>
      <c r="U1429" s="451"/>
      <c r="V1429" s="450"/>
      <c r="W1429" s="450"/>
      <c r="X1429" s="450"/>
      <c r="Y1429" s="450"/>
      <c r="Z1429" s="450"/>
    </row>
    <row r="1430" spans="1:26" x14ac:dyDescent="0.25">
      <c r="A1430" s="446" t="s">
        <v>2450</v>
      </c>
      <c r="B1430" s="446"/>
      <c r="C1430" s="446" t="s">
        <v>461</v>
      </c>
      <c r="D1430" s="446" t="s">
        <v>8211</v>
      </c>
      <c r="E1430" s="448" t="s">
        <v>8212</v>
      </c>
      <c r="F1430" s="448">
        <v>44050</v>
      </c>
      <c r="G1430" s="446" t="s">
        <v>8213</v>
      </c>
      <c r="H1430" s="446" t="s">
        <v>102</v>
      </c>
      <c r="I1430" s="446" t="s">
        <v>5207</v>
      </c>
      <c r="J1430" s="446" t="s">
        <v>760</v>
      </c>
      <c r="K1430" s="446" t="s">
        <v>8214</v>
      </c>
      <c r="L1430" s="450"/>
      <c r="M1430" s="450"/>
      <c r="N1430" s="450"/>
      <c r="O1430" s="450"/>
      <c r="P1430" s="450"/>
      <c r="Q1430" s="450"/>
      <c r="R1430" s="450"/>
      <c r="S1430" s="451"/>
      <c r="T1430" s="450"/>
      <c r="U1430" s="451"/>
      <c r="V1430" s="450"/>
      <c r="W1430" s="450"/>
      <c r="X1430" s="450"/>
      <c r="Y1430" s="450"/>
      <c r="Z1430" s="450"/>
    </row>
    <row r="1431" spans="1:26" x14ac:dyDescent="0.25">
      <c r="A1431" s="446" t="s">
        <v>8215</v>
      </c>
      <c r="B1431" s="446"/>
      <c r="C1431" s="446" t="s">
        <v>8216</v>
      </c>
      <c r="D1431" s="446" t="s">
        <v>8217</v>
      </c>
      <c r="E1431" s="448" t="s">
        <v>8212</v>
      </c>
      <c r="F1431" s="448">
        <v>44060</v>
      </c>
      <c r="G1431" s="446" t="s">
        <v>4125</v>
      </c>
      <c r="H1431" s="446" t="s">
        <v>8218</v>
      </c>
      <c r="I1431" s="446" t="s">
        <v>5207</v>
      </c>
      <c r="J1431" s="446" t="s">
        <v>760</v>
      </c>
      <c r="K1431" s="446" t="s">
        <v>8219</v>
      </c>
      <c r="L1431" s="450"/>
      <c r="M1431" s="450"/>
      <c r="N1431" s="450"/>
      <c r="O1431" s="450"/>
      <c r="P1431" s="450"/>
      <c r="Q1431" s="450"/>
      <c r="R1431" s="450"/>
      <c r="S1431" s="451"/>
      <c r="T1431" s="450"/>
      <c r="U1431" s="451"/>
      <c r="V1431" s="450"/>
      <c r="W1431" s="450"/>
      <c r="X1431" s="450"/>
      <c r="Y1431" s="450"/>
      <c r="Z1431" s="450"/>
    </row>
    <row r="1432" spans="1:26" x14ac:dyDescent="0.25">
      <c r="A1432" s="446" t="s">
        <v>2441</v>
      </c>
      <c r="B1432" s="446">
        <v>50</v>
      </c>
      <c r="C1432" s="446" t="s">
        <v>1456</v>
      </c>
      <c r="D1432" s="446" t="s">
        <v>3043</v>
      </c>
      <c r="E1432" s="448" t="s">
        <v>8212</v>
      </c>
      <c r="F1432" s="448">
        <v>43831</v>
      </c>
      <c r="G1432" s="446" t="s">
        <v>8220</v>
      </c>
      <c r="H1432" s="446" t="s">
        <v>2443</v>
      </c>
      <c r="I1432" s="446" t="s">
        <v>5207</v>
      </c>
      <c r="J1432" s="446" t="s">
        <v>746</v>
      </c>
      <c r="K1432" s="446" t="s">
        <v>8221</v>
      </c>
      <c r="L1432" s="450"/>
      <c r="M1432" s="450"/>
      <c r="N1432" s="450"/>
      <c r="O1432" s="450"/>
      <c r="P1432" s="450"/>
      <c r="Q1432" s="450"/>
      <c r="R1432" s="450"/>
      <c r="S1432" s="451"/>
      <c r="T1432" s="450"/>
      <c r="U1432" s="451"/>
      <c r="V1432" s="450"/>
      <c r="W1432" s="450"/>
      <c r="X1432" s="450"/>
      <c r="Y1432" s="450"/>
      <c r="Z1432" s="450"/>
    </row>
    <row r="1433" spans="1:26" x14ac:dyDescent="0.25">
      <c r="A1433" s="446" t="s">
        <v>2454</v>
      </c>
      <c r="B1433" s="446"/>
      <c r="C1433" s="446" t="s">
        <v>1160</v>
      </c>
      <c r="D1433" s="446" t="s">
        <v>8222</v>
      </c>
      <c r="E1433" s="448" t="s">
        <v>8223</v>
      </c>
      <c r="F1433" s="448">
        <v>44071</v>
      </c>
      <c r="G1433" s="446" t="s">
        <v>2456</v>
      </c>
      <c r="H1433" s="446" t="s">
        <v>8224</v>
      </c>
      <c r="I1433" s="446" t="s">
        <v>8225</v>
      </c>
      <c r="J1433" s="446" t="s">
        <v>404</v>
      </c>
      <c r="K1433" s="446" t="s">
        <v>8226</v>
      </c>
      <c r="L1433" s="450"/>
      <c r="M1433" s="450"/>
      <c r="N1433" s="450"/>
      <c r="O1433" s="450"/>
      <c r="P1433" s="450"/>
      <c r="Q1433" s="450"/>
      <c r="R1433" s="450"/>
      <c r="S1433" s="451"/>
      <c r="T1433" s="450"/>
      <c r="U1433" s="451"/>
      <c r="V1433" s="450"/>
      <c r="W1433" s="450"/>
      <c r="X1433" s="450"/>
      <c r="Y1433" s="450"/>
      <c r="Z1433" s="450"/>
    </row>
    <row r="1434" spans="1:26" x14ac:dyDescent="0.25">
      <c r="A1434" s="446" t="s">
        <v>2459</v>
      </c>
      <c r="B1434" s="446">
        <v>51</v>
      </c>
      <c r="C1434" s="446" t="s">
        <v>1456</v>
      </c>
      <c r="D1434" s="446" t="s">
        <v>3044</v>
      </c>
      <c r="E1434" s="448" t="s">
        <v>8227</v>
      </c>
      <c r="F1434" s="448">
        <v>44105</v>
      </c>
      <c r="G1434" s="446" t="s">
        <v>8228</v>
      </c>
      <c r="H1434" s="446" t="s">
        <v>2448</v>
      </c>
      <c r="I1434" s="446" t="s">
        <v>5207</v>
      </c>
      <c r="J1434" s="446" t="s">
        <v>746</v>
      </c>
      <c r="K1434" s="446" t="s">
        <v>8229</v>
      </c>
      <c r="L1434" s="450"/>
      <c r="M1434" s="450"/>
      <c r="N1434" s="450"/>
      <c r="O1434" s="450"/>
      <c r="P1434" s="450"/>
      <c r="Q1434" s="450"/>
      <c r="R1434" s="450"/>
      <c r="S1434" s="451"/>
      <c r="T1434" s="450"/>
      <c r="U1434" s="451"/>
      <c r="V1434" s="450"/>
      <c r="W1434" s="450"/>
      <c r="X1434" s="450"/>
      <c r="Y1434" s="450"/>
      <c r="Z1434" s="450"/>
    </row>
    <row r="1435" spans="1:26" x14ac:dyDescent="0.25">
      <c r="A1435" s="446" t="s">
        <v>2463</v>
      </c>
      <c r="B1435" s="446"/>
      <c r="C1435" s="446" t="s">
        <v>1160</v>
      </c>
      <c r="D1435" s="446" t="s">
        <v>8230</v>
      </c>
      <c r="E1435" s="448" t="s">
        <v>8231</v>
      </c>
      <c r="F1435" s="448">
        <v>44126</v>
      </c>
      <c r="G1435" s="446" t="s">
        <v>8232</v>
      </c>
      <c r="H1435" s="446" t="s">
        <v>2749</v>
      </c>
      <c r="I1435" s="446" t="s">
        <v>6844</v>
      </c>
      <c r="J1435" s="446" t="s">
        <v>404</v>
      </c>
      <c r="K1435" s="446" t="s">
        <v>8233</v>
      </c>
      <c r="L1435" s="450"/>
      <c r="M1435" s="450"/>
      <c r="N1435" s="450"/>
      <c r="O1435" s="450"/>
      <c r="P1435" s="450"/>
      <c r="Q1435" s="450"/>
      <c r="R1435" s="450"/>
      <c r="S1435" s="451"/>
      <c r="T1435" s="450"/>
      <c r="U1435" s="451"/>
      <c r="V1435" s="450"/>
      <c r="W1435" s="450"/>
      <c r="X1435" s="450"/>
      <c r="Y1435" s="450"/>
      <c r="Z1435" s="450"/>
    </row>
    <row r="1436" spans="1:26" x14ac:dyDescent="0.25">
      <c r="A1436" s="446" t="s">
        <v>2468</v>
      </c>
      <c r="B1436" s="446"/>
      <c r="C1436" s="446" t="s">
        <v>619</v>
      </c>
      <c r="D1436" s="446" t="s">
        <v>4546</v>
      </c>
      <c r="E1436" s="448" t="s">
        <v>8234</v>
      </c>
      <c r="F1436" s="448">
        <v>44136</v>
      </c>
      <c r="G1436" s="446" t="s">
        <v>2471</v>
      </c>
      <c r="H1436" s="446" t="s">
        <v>2472</v>
      </c>
      <c r="I1436" s="446" t="s">
        <v>5207</v>
      </c>
      <c r="J1436" s="446" t="s">
        <v>404</v>
      </c>
      <c r="K1436" s="446" t="s">
        <v>8235</v>
      </c>
      <c r="L1436" s="450"/>
      <c r="M1436" s="450"/>
      <c r="N1436" s="450"/>
      <c r="O1436" s="450"/>
      <c r="P1436" s="450"/>
      <c r="Q1436" s="450"/>
      <c r="R1436" s="450"/>
      <c r="S1436" s="451"/>
      <c r="T1436" s="450"/>
      <c r="U1436" s="451"/>
      <c r="V1436" s="450"/>
      <c r="W1436" s="450"/>
      <c r="X1436" s="450"/>
      <c r="Y1436" s="450"/>
      <c r="Z1436" s="450"/>
    </row>
    <row r="1437" spans="1:26" x14ac:dyDescent="0.25">
      <c r="A1437" s="446" t="s">
        <v>2480</v>
      </c>
      <c r="B1437" s="446"/>
      <c r="C1437" s="446" t="s">
        <v>8236</v>
      </c>
      <c r="D1437" s="446" t="s">
        <v>4548</v>
      </c>
      <c r="E1437" s="448" t="s">
        <v>8237</v>
      </c>
      <c r="F1437" s="448">
        <v>44182</v>
      </c>
      <c r="G1437" s="446" t="s">
        <v>2283</v>
      </c>
      <c r="H1437" s="446" t="s">
        <v>2483</v>
      </c>
      <c r="I1437" s="446" t="s">
        <v>5207</v>
      </c>
      <c r="J1437" s="446" t="s">
        <v>4604</v>
      </c>
      <c r="K1437" s="446" t="s">
        <v>8238</v>
      </c>
      <c r="L1437" s="450"/>
      <c r="M1437" s="450"/>
      <c r="N1437" s="450"/>
      <c r="O1437" s="450"/>
      <c r="P1437" s="450"/>
      <c r="Q1437" s="450"/>
      <c r="R1437" s="450"/>
      <c r="S1437" s="451"/>
      <c r="T1437" s="450"/>
      <c r="U1437" s="451"/>
      <c r="V1437" s="450"/>
      <c r="W1437" s="450"/>
      <c r="X1437" s="450"/>
      <c r="Y1437" s="450"/>
      <c r="Z1437" s="450"/>
    </row>
    <row r="1438" spans="1:26" x14ac:dyDescent="0.25">
      <c r="A1438" s="446" t="s">
        <v>2491</v>
      </c>
      <c r="B1438" s="446"/>
      <c r="C1438" s="446" t="s">
        <v>619</v>
      </c>
      <c r="D1438" s="446" t="s">
        <v>8239</v>
      </c>
      <c r="E1438" s="448" t="s">
        <v>8240</v>
      </c>
      <c r="F1438" s="448">
        <v>44348</v>
      </c>
      <c r="G1438" s="446" t="s">
        <v>2493</v>
      </c>
      <c r="H1438" s="446" t="s">
        <v>2494</v>
      </c>
      <c r="I1438" s="446" t="s">
        <v>6811</v>
      </c>
      <c r="J1438" s="446" t="s">
        <v>404</v>
      </c>
      <c r="K1438" s="446" t="s">
        <v>8241</v>
      </c>
      <c r="L1438" s="450"/>
      <c r="M1438" s="450"/>
      <c r="N1438" s="450"/>
      <c r="O1438" s="450"/>
      <c r="P1438" s="450"/>
      <c r="Q1438" s="450"/>
      <c r="R1438" s="450"/>
      <c r="S1438" s="451"/>
      <c r="T1438" s="450"/>
      <c r="U1438" s="451"/>
      <c r="V1438" s="450"/>
      <c r="W1438" s="450"/>
      <c r="X1438" s="450"/>
      <c r="Y1438" s="450"/>
      <c r="Z1438" s="450"/>
    </row>
    <row r="1439" spans="1:26" x14ac:dyDescent="0.25">
      <c r="A1439" s="446" t="s">
        <v>8242</v>
      </c>
      <c r="B1439" s="446"/>
      <c r="C1439" s="446" t="s">
        <v>4618</v>
      </c>
      <c r="D1439" s="446" t="s">
        <v>8243</v>
      </c>
      <c r="E1439" s="448" t="s">
        <v>8244</v>
      </c>
      <c r="F1439" s="448">
        <v>44398</v>
      </c>
      <c r="G1439" s="446" t="s">
        <v>8245</v>
      </c>
      <c r="H1439" s="446" t="s">
        <v>8246</v>
      </c>
      <c r="I1439" s="446" t="s">
        <v>7227</v>
      </c>
      <c r="J1439" s="446" t="s">
        <v>746</v>
      </c>
      <c r="K1439" s="446" t="s">
        <v>8247</v>
      </c>
      <c r="L1439" s="450"/>
      <c r="M1439" s="450"/>
      <c r="N1439" s="450"/>
      <c r="O1439" s="450"/>
      <c r="P1439" s="450"/>
      <c r="Q1439" s="450"/>
      <c r="R1439" s="450"/>
      <c r="S1439" s="451"/>
      <c r="T1439" s="450"/>
      <c r="U1439" s="451"/>
      <c r="V1439" s="450"/>
      <c r="W1439" s="450"/>
      <c r="X1439" s="450"/>
      <c r="Y1439" s="450"/>
      <c r="Z1439" s="450"/>
    </row>
    <row r="1440" spans="1:26" x14ac:dyDescent="0.25">
      <c r="A1440" s="446" t="s">
        <v>2444</v>
      </c>
      <c r="B1440" s="446"/>
      <c r="C1440" s="446" t="s">
        <v>1902</v>
      </c>
      <c r="D1440" s="446" t="s">
        <v>8248</v>
      </c>
      <c r="E1440" s="448" t="s">
        <v>8249</v>
      </c>
      <c r="F1440" s="448">
        <v>44044</v>
      </c>
      <c r="G1440" s="446" t="s">
        <v>8250</v>
      </c>
      <c r="H1440" s="446" t="s">
        <v>2448</v>
      </c>
      <c r="I1440" s="446" t="s">
        <v>5207</v>
      </c>
      <c r="J1440" s="446" t="s">
        <v>760</v>
      </c>
      <c r="K1440" s="446" t="s">
        <v>8251</v>
      </c>
      <c r="L1440" s="450"/>
      <c r="M1440" s="450"/>
      <c r="N1440" s="450"/>
      <c r="O1440" s="450"/>
      <c r="P1440" s="450"/>
      <c r="Q1440" s="450"/>
      <c r="R1440" s="450"/>
      <c r="S1440" s="451"/>
      <c r="T1440" s="450"/>
      <c r="U1440" s="451"/>
      <c r="V1440" s="450"/>
      <c r="W1440" s="450"/>
      <c r="X1440" s="450"/>
      <c r="Y1440" s="450"/>
      <c r="Z1440" s="450"/>
    </row>
    <row r="1441" spans="1:26" x14ac:dyDescent="0.25">
      <c r="A1441" s="446" t="s">
        <v>2496</v>
      </c>
      <c r="B1441" s="446"/>
      <c r="C1441" s="446" t="s">
        <v>461</v>
      </c>
      <c r="D1441" s="446" t="s">
        <v>4550</v>
      </c>
      <c r="E1441" s="448" t="s">
        <v>8252</v>
      </c>
      <c r="F1441" s="448">
        <v>44407</v>
      </c>
      <c r="G1441" s="446" t="s">
        <v>2499</v>
      </c>
      <c r="H1441" s="446" t="s">
        <v>102</v>
      </c>
      <c r="I1441" s="446" t="s">
        <v>5207</v>
      </c>
      <c r="J1441" s="446" t="s">
        <v>760</v>
      </c>
      <c r="K1441" s="446" t="s">
        <v>8253</v>
      </c>
      <c r="L1441" s="450"/>
      <c r="M1441" s="450"/>
      <c r="N1441" s="450"/>
      <c r="O1441" s="450"/>
      <c r="P1441" s="450"/>
      <c r="Q1441" s="450"/>
      <c r="R1441" s="450"/>
      <c r="S1441" s="451"/>
      <c r="T1441" s="450"/>
      <c r="U1441" s="451"/>
      <c r="V1441" s="450"/>
      <c r="W1441" s="450"/>
      <c r="X1441" s="450"/>
      <c r="Y1441" s="450"/>
      <c r="Z1441" s="450"/>
    </row>
    <row r="1442" spans="1:26" x14ac:dyDescent="0.25">
      <c r="A1442" s="446" t="s">
        <v>2500</v>
      </c>
      <c r="B1442" s="446">
        <v>53</v>
      </c>
      <c r="C1442" s="446" t="s">
        <v>98</v>
      </c>
      <c r="D1442" s="446" t="s">
        <v>8254</v>
      </c>
      <c r="E1442" s="448" t="s">
        <v>8252</v>
      </c>
      <c r="F1442" s="448">
        <v>44407</v>
      </c>
      <c r="G1442" s="446" t="s">
        <v>105</v>
      </c>
      <c r="H1442" s="446" t="s">
        <v>8255</v>
      </c>
      <c r="I1442" s="446" t="s">
        <v>5207</v>
      </c>
      <c r="J1442" s="446" t="s">
        <v>746</v>
      </c>
      <c r="K1442" s="446" t="s">
        <v>8256</v>
      </c>
      <c r="L1442" s="450"/>
      <c r="M1442" s="450"/>
      <c r="N1442" s="450"/>
      <c r="O1442" s="450"/>
      <c r="P1442" s="450"/>
      <c r="Q1442" s="450"/>
      <c r="R1442" s="450"/>
      <c r="S1442" s="451"/>
      <c r="T1442" s="450"/>
      <c r="U1442" s="451"/>
      <c r="V1442" s="450"/>
      <c r="W1442" s="450"/>
      <c r="X1442" s="450"/>
      <c r="Y1442" s="450"/>
      <c r="Z1442" s="450"/>
    </row>
    <row r="1443" spans="1:26" x14ac:dyDescent="0.25">
      <c r="A1443" s="446" t="s">
        <v>2485</v>
      </c>
      <c r="B1443" s="446">
        <v>54</v>
      </c>
      <c r="C1443" s="446" t="s">
        <v>1456</v>
      </c>
      <c r="D1443" s="446" t="s">
        <v>3046</v>
      </c>
      <c r="E1443" s="448" t="s">
        <v>8257</v>
      </c>
      <c r="F1443" s="448">
        <v>44348</v>
      </c>
      <c r="G1443" s="446" t="s">
        <v>2556</v>
      </c>
      <c r="H1443" s="446" t="s">
        <v>2448</v>
      </c>
      <c r="I1443" s="446" t="s">
        <v>8258</v>
      </c>
      <c r="J1443" s="446" t="s">
        <v>746</v>
      </c>
      <c r="K1443" s="446" t="s">
        <v>8259</v>
      </c>
      <c r="L1443" s="450"/>
      <c r="M1443" s="450"/>
      <c r="N1443" s="450"/>
      <c r="O1443" s="450"/>
      <c r="P1443" s="450"/>
      <c r="Q1443" s="450"/>
      <c r="R1443" s="450"/>
      <c r="S1443" s="451"/>
      <c r="T1443" s="450"/>
      <c r="U1443" s="451"/>
      <c r="V1443" s="450"/>
      <c r="W1443" s="450"/>
      <c r="X1443" s="450"/>
      <c r="Y1443" s="450"/>
      <c r="Z1443" s="450"/>
    </row>
    <row r="1444" spans="1:26" x14ac:dyDescent="0.25">
      <c r="A1444" s="446" t="s">
        <v>8260</v>
      </c>
      <c r="B1444" s="446">
        <v>55</v>
      </c>
      <c r="C1444" s="446" t="s">
        <v>1456</v>
      </c>
      <c r="D1444" s="446" t="s">
        <v>3047</v>
      </c>
      <c r="E1444" s="448" t="s">
        <v>8261</v>
      </c>
      <c r="F1444" s="448">
        <v>44440</v>
      </c>
      <c r="G1444" s="446" t="s">
        <v>3026</v>
      </c>
      <c r="H1444" s="446" t="s">
        <v>8262</v>
      </c>
      <c r="I1444" s="446" t="s">
        <v>5207</v>
      </c>
      <c r="J1444" s="446" t="s">
        <v>746</v>
      </c>
      <c r="K1444" s="446" t="s">
        <v>8263</v>
      </c>
      <c r="L1444" s="450"/>
      <c r="M1444" s="450"/>
      <c r="N1444" s="450"/>
      <c r="O1444" s="450"/>
      <c r="P1444" s="450"/>
      <c r="Q1444" s="450"/>
      <c r="R1444" s="450"/>
      <c r="S1444" s="451"/>
      <c r="T1444" s="450"/>
      <c r="U1444" s="451"/>
      <c r="V1444" s="450"/>
      <c r="W1444" s="450"/>
      <c r="X1444" s="450"/>
      <c r="Y1444" s="450"/>
      <c r="Z1444" s="450"/>
    </row>
    <row r="1445" spans="1:26" x14ac:dyDescent="0.25">
      <c r="A1445" s="446" t="s">
        <v>8264</v>
      </c>
      <c r="B1445" s="446"/>
      <c r="C1445" s="446" t="s">
        <v>1456</v>
      </c>
      <c r="D1445" s="446" t="s">
        <v>8265</v>
      </c>
      <c r="E1445" s="448" t="s">
        <v>8266</v>
      </c>
      <c r="F1445" s="448">
        <v>44530</v>
      </c>
      <c r="G1445" s="446" t="s">
        <v>3026</v>
      </c>
      <c r="H1445" s="446" t="s">
        <v>8267</v>
      </c>
      <c r="I1445" s="446" t="s">
        <v>5207</v>
      </c>
      <c r="J1445" s="446" t="s">
        <v>746</v>
      </c>
      <c r="K1445" s="446" t="s">
        <v>8268</v>
      </c>
      <c r="L1445" s="450"/>
      <c r="M1445" s="450"/>
      <c r="N1445" s="450"/>
      <c r="O1445" s="450"/>
      <c r="P1445" s="450"/>
      <c r="Q1445" s="450"/>
      <c r="R1445" s="450"/>
      <c r="S1445" s="451"/>
      <c r="T1445" s="450"/>
      <c r="U1445" s="451"/>
      <c r="V1445" s="450"/>
      <c r="W1445" s="450"/>
      <c r="X1445" s="450"/>
      <c r="Y1445" s="450"/>
      <c r="Z1445" s="450"/>
    </row>
    <row r="1446" spans="1:26" x14ac:dyDescent="0.25">
      <c r="A1446" s="446" t="s">
        <v>2516</v>
      </c>
      <c r="B1446" s="446"/>
      <c r="C1446" s="446" t="s">
        <v>619</v>
      </c>
      <c r="D1446" s="446" t="s">
        <v>8269</v>
      </c>
      <c r="E1446" s="448" t="s">
        <v>8270</v>
      </c>
      <c r="F1446" s="448">
        <v>44571</v>
      </c>
      <c r="G1446" s="446" t="s">
        <v>2494</v>
      </c>
      <c r="H1446" s="446" t="s">
        <v>8271</v>
      </c>
      <c r="I1446" s="446" t="s">
        <v>5207</v>
      </c>
      <c r="J1446" s="446" t="s">
        <v>404</v>
      </c>
      <c r="K1446" s="446" t="s">
        <v>8272</v>
      </c>
      <c r="L1446" s="450"/>
      <c r="M1446" s="450"/>
      <c r="N1446" s="450"/>
      <c r="O1446" s="450"/>
      <c r="P1446" s="450"/>
      <c r="Q1446" s="450"/>
      <c r="R1446" s="450"/>
      <c r="S1446" s="451"/>
      <c r="T1446" s="450"/>
      <c r="U1446" s="451"/>
      <c r="V1446" s="450"/>
      <c r="W1446" s="450"/>
      <c r="X1446" s="450"/>
      <c r="Y1446" s="450"/>
      <c r="Z1446" s="450"/>
    </row>
    <row r="1447" spans="1:26" x14ac:dyDescent="0.25">
      <c r="A1447" s="446" t="s">
        <v>2511</v>
      </c>
      <c r="B1447" s="446"/>
      <c r="C1447" s="446" t="s">
        <v>1456</v>
      </c>
      <c r="D1447" s="446" t="s">
        <v>8273</v>
      </c>
      <c r="E1447" s="448" t="s">
        <v>8274</v>
      </c>
      <c r="F1447" s="448">
        <v>44562</v>
      </c>
      <c r="G1447" s="446" t="s">
        <v>8275</v>
      </c>
      <c r="H1447" s="446" t="s">
        <v>2514</v>
      </c>
      <c r="I1447" s="446" t="s">
        <v>5207</v>
      </c>
      <c r="J1447" s="446" t="s">
        <v>746</v>
      </c>
      <c r="K1447" s="446" t="s">
        <v>8276</v>
      </c>
      <c r="L1447" s="450"/>
      <c r="M1447" s="450"/>
      <c r="N1447" s="450"/>
      <c r="O1447" s="450"/>
      <c r="P1447" s="450"/>
      <c r="Q1447" s="450"/>
      <c r="R1447" s="450"/>
      <c r="S1447" s="451"/>
      <c r="T1447" s="450"/>
      <c r="U1447" s="451"/>
      <c r="V1447" s="450"/>
      <c r="W1447" s="450"/>
      <c r="X1447" s="450"/>
      <c r="Y1447" s="450"/>
      <c r="Z1447" s="450"/>
    </row>
    <row r="1448" spans="1:26" x14ac:dyDescent="0.25">
      <c r="A1448" s="446" t="s">
        <v>2519</v>
      </c>
      <c r="B1448" s="446"/>
      <c r="C1448" s="446" t="s">
        <v>461</v>
      </c>
      <c r="D1448" s="446" t="s">
        <v>8277</v>
      </c>
      <c r="E1448" s="448" t="s">
        <v>8278</v>
      </c>
      <c r="F1448" s="448">
        <v>44713</v>
      </c>
      <c r="G1448" s="446" t="s">
        <v>2521</v>
      </c>
      <c r="H1448" s="446" t="s">
        <v>102</v>
      </c>
      <c r="I1448" s="446" t="s">
        <v>5207</v>
      </c>
      <c r="J1448" s="446" t="s">
        <v>760</v>
      </c>
      <c r="K1448" s="446" t="s">
        <v>8279</v>
      </c>
      <c r="L1448" s="450"/>
      <c r="M1448" s="450"/>
      <c r="N1448" s="450"/>
      <c r="O1448" s="450"/>
      <c r="P1448" s="450"/>
      <c r="Q1448" s="450"/>
      <c r="R1448" s="450"/>
      <c r="S1448" s="451"/>
      <c r="T1448" s="450"/>
      <c r="U1448" s="451"/>
      <c r="V1448" s="450"/>
      <c r="W1448" s="450"/>
      <c r="X1448" s="450"/>
      <c r="Y1448" s="450"/>
      <c r="Z1448" s="450"/>
    </row>
    <row r="1449" spans="1:26" x14ac:dyDescent="0.25">
      <c r="A1449" s="446" t="s">
        <v>2523</v>
      </c>
      <c r="B1449" s="446"/>
      <c r="C1449" s="446" t="s">
        <v>619</v>
      </c>
      <c r="D1449" s="446" t="s">
        <v>8280</v>
      </c>
      <c r="E1449" s="448" t="s">
        <v>8281</v>
      </c>
      <c r="F1449" s="448">
        <v>45061</v>
      </c>
      <c r="G1449" s="446" t="s">
        <v>838</v>
      </c>
      <c r="H1449" s="446" t="s">
        <v>8282</v>
      </c>
      <c r="I1449" s="446" t="s">
        <v>6844</v>
      </c>
      <c r="J1449" s="446" t="s">
        <v>404</v>
      </c>
      <c r="K1449" s="446" t="s">
        <v>8283</v>
      </c>
      <c r="L1449" s="450"/>
      <c r="M1449" s="450"/>
      <c r="N1449" s="450"/>
      <c r="O1449" s="450"/>
      <c r="P1449" s="450"/>
      <c r="Q1449" s="450"/>
      <c r="R1449" s="450"/>
      <c r="S1449" s="451"/>
      <c r="T1449" s="450"/>
      <c r="U1449" s="451"/>
      <c r="V1449" s="450"/>
      <c r="W1449" s="450"/>
      <c r="X1449" s="450"/>
      <c r="Y1449" s="450"/>
      <c r="Z1449" s="450"/>
    </row>
    <row r="1450" spans="1:26" x14ac:dyDescent="0.25">
      <c r="A1450" s="446" t="s">
        <v>2530</v>
      </c>
      <c r="B1450" s="446"/>
      <c r="C1450" s="446" t="s">
        <v>3190</v>
      </c>
      <c r="D1450" s="446" t="s">
        <v>3048</v>
      </c>
      <c r="E1450" s="448" t="s">
        <v>8284</v>
      </c>
      <c r="F1450" s="448">
        <v>45200</v>
      </c>
      <c r="G1450" s="446" t="s">
        <v>2483</v>
      </c>
      <c r="H1450" s="446" t="s">
        <v>4167</v>
      </c>
      <c r="I1450" s="446" t="s">
        <v>5207</v>
      </c>
      <c r="J1450" s="446" t="s">
        <v>746</v>
      </c>
      <c r="K1450" s="446" t="s">
        <v>8285</v>
      </c>
      <c r="L1450" s="450"/>
      <c r="M1450" s="450"/>
      <c r="N1450" s="450"/>
      <c r="O1450" s="450"/>
      <c r="P1450" s="450"/>
      <c r="Q1450" s="450"/>
      <c r="R1450" s="450"/>
      <c r="S1450" s="451"/>
      <c r="T1450" s="450"/>
      <c r="U1450" s="451"/>
      <c r="V1450" s="450"/>
      <c r="W1450" s="450"/>
      <c r="X1450" s="450"/>
      <c r="Y1450" s="450"/>
      <c r="Z1450" s="450"/>
    </row>
    <row r="1451" spans="1:26" x14ac:dyDescent="0.25">
      <c r="A1451" s="446" t="s">
        <v>8286</v>
      </c>
      <c r="B1451" s="446"/>
      <c r="C1451" s="446" t="s">
        <v>2156</v>
      </c>
      <c r="D1451" s="446" t="s">
        <v>8287</v>
      </c>
      <c r="E1451" s="448" t="s">
        <v>8284</v>
      </c>
      <c r="F1451" s="448">
        <v>45225</v>
      </c>
      <c r="G1451" s="446" t="s">
        <v>8288</v>
      </c>
      <c r="H1451" s="446" t="s">
        <v>8289</v>
      </c>
      <c r="I1451" s="446" t="s">
        <v>5207</v>
      </c>
      <c r="J1451" s="446" t="s">
        <v>746</v>
      </c>
      <c r="K1451" s="446" t="s">
        <v>8290</v>
      </c>
      <c r="L1451" s="450"/>
      <c r="M1451" s="450"/>
      <c r="N1451" s="450"/>
      <c r="O1451" s="450"/>
      <c r="P1451" s="450"/>
      <c r="Q1451" s="450"/>
      <c r="R1451" s="450"/>
      <c r="S1451" s="451"/>
      <c r="T1451" s="450"/>
      <c r="U1451" s="451"/>
      <c r="V1451" s="450"/>
      <c r="W1451" s="450"/>
      <c r="X1451" s="450"/>
      <c r="Y1451" s="450"/>
      <c r="Z1451" s="450"/>
    </row>
    <row r="1452" spans="1:26" x14ac:dyDescent="0.25">
      <c r="A1452" s="446" t="s">
        <v>8291</v>
      </c>
      <c r="B1452" s="446"/>
      <c r="C1452" s="446" t="s">
        <v>2156</v>
      </c>
      <c r="D1452" s="446" t="s">
        <v>8292</v>
      </c>
      <c r="E1452" s="448" t="s">
        <v>8293</v>
      </c>
      <c r="F1452" s="448">
        <v>45250</v>
      </c>
      <c r="G1452" s="446" t="s">
        <v>2483</v>
      </c>
      <c r="H1452" s="446" t="s">
        <v>8294</v>
      </c>
      <c r="I1452" s="446" t="s">
        <v>5207</v>
      </c>
      <c r="J1452" s="446" t="s">
        <v>746</v>
      </c>
      <c r="K1452" s="446" t="s">
        <v>8295</v>
      </c>
      <c r="L1452" s="450"/>
      <c r="M1452" s="450"/>
      <c r="N1452" s="450"/>
      <c r="O1452" s="450"/>
      <c r="P1452" s="450"/>
      <c r="Q1452" s="450"/>
      <c r="R1452" s="450"/>
      <c r="S1452" s="451"/>
      <c r="T1452" s="450"/>
      <c r="U1452" s="451"/>
      <c r="V1452" s="450"/>
      <c r="W1452" s="450"/>
      <c r="X1452" s="450"/>
      <c r="Y1452" s="450"/>
      <c r="Z1452" s="450"/>
    </row>
    <row r="1453" spans="1:26" x14ac:dyDescent="0.25">
      <c r="A1453" s="446" t="s">
        <v>3034</v>
      </c>
      <c r="B1453" s="446">
        <v>57</v>
      </c>
      <c r="C1453" s="446" t="s">
        <v>1456</v>
      </c>
      <c r="D1453" s="446" t="s">
        <v>3049</v>
      </c>
      <c r="E1453" s="448" t="s">
        <v>8296</v>
      </c>
      <c r="F1453" s="448">
        <v>45391</v>
      </c>
      <c r="G1453" s="446" t="s">
        <v>1549</v>
      </c>
      <c r="H1453" s="446" t="s">
        <v>4178</v>
      </c>
      <c r="I1453" s="446" t="s">
        <v>5207</v>
      </c>
      <c r="J1453" s="446" t="s">
        <v>746</v>
      </c>
      <c r="K1453" s="446" t="s">
        <v>8297</v>
      </c>
      <c r="L1453" s="450"/>
      <c r="M1453" s="450"/>
      <c r="N1453" s="450"/>
      <c r="O1453" s="450"/>
      <c r="P1453" s="450"/>
      <c r="Q1453" s="450"/>
      <c r="R1453" s="450"/>
      <c r="S1453" s="451"/>
      <c r="T1453" s="450"/>
      <c r="U1453" s="451"/>
      <c r="V1453" s="450"/>
      <c r="W1453" s="450"/>
      <c r="X1453" s="450"/>
      <c r="Y1453" s="450"/>
      <c r="Z1453" s="450"/>
    </row>
    <row r="1454" spans="1:26" x14ac:dyDescent="0.25">
      <c r="A1454" s="446" t="s">
        <v>3035</v>
      </c>
      <c r="B1454" s="446">
        <v>58</v>
      </c>
      <c r="C1454" s="446" t="s">
        <v>1456</v>
      </c>
      <c r="D1454" s="446" t="s">
        <v>3050</v>
      </c>
      <c r="E1454" s="448" t="s">
        <v>8298</v>
      </c>
      <c r="F1454" s="448">
        <v>45399</v>
      </c>
      <c r="G1454" s="446" t="s">
        <v>1549</v>
      </c>
      <c r="H1454" s="446" t="s">
        <v>8299</v>
      </c>
      <c r="I1454" s="446" t="s">
        <v>5207</v>
      </c>
      <c r="J1454" s="446" t="s">
        <v>746</v>
      </c>
      <c r="K1454" s="446" t="s">
        <v>8300</v>
      </c>
      <c r="L1454" s="450"/>
      <c r="M1454" s="450"/>
      <c r="N1454" s="450"/>
      <c r="O1454" s="450"/>
      <c r="P1454" s="450"/>
      <c r="Q1454" s="450"/>
      <c r="R1454" s="450"/>
      <c r="S1454" s="451"/>
      <c r="T1454" s="450"/>
      <c r="U1454" s="451"/>
      <c r="V1454" s="450"/>
      <c r="W1454" s="450"/>
      <c r="X1454" s="450"/>
      <c r="Y1454" s="450"/>
      <c r="Z1454" s="450"/>
    </row>
    <row r="1455" spans="1:26" x14ac:dyDescent="0.25">
      <c r="A1455" s="446" t="s">
        <v>2529</v>
      </c>
      <c r="B1455" s="446"/>
      <c r="C1455" s="446" t="s">
        <v>1690</v>
      </c>
      <c r="D1455" s="446" t="s">
        <v>3051</v>
      </c>
      <c r="E1455" s="448" t="s">
        <v>8301</v>
      </c>
      <c r="F1455" s="448">
        <v>45148</v>
      </c>
      <c r="G1455" s="446" t="s">
        <v>2514</v>
      </c>
      <c r="H1455" s="446" t="s">
        <v>3031</v>
      </c>
      <c r="I1455" s="446" t="s">
        <v>5207</v>
      </c>
      <c r="J1455" s="446" t="s">
        <v>746</v>
      </c>
      <c r="K1455" s="446" t="s">
        <v>8302</v>
      </c>
      <c r="L1455" s="450"/>
      <c r="M1455" s="450"/>
      <c r="N1455" s="450"/>
      <c r="O1455" s="450"/>
      <c r="P1455" s="450"/>
      <c r="Q1455" s="450"/>
      <c r="R1455" s="450"/>
      <c r="S1455" s="451"/>
      <c r="T1455" s="450"/>
      <c r="U1455" s="451"/>
      <c r="V1455" s="450"/>
      <c r="W1455" s="450"/>
      <c r="X1455" s="450"/>
      <c r="Y1455" s="450"/>
      <c r="Z1455" s="450"/>
    </row>
    <row r="1456" spans="1:26" x14ac:dyDescent="0.25">
      <c r="A1456" s="446" t="s">
        <v>2543</v>
      </c>
      <c r="B1456" s="446"/>
      <c r="C1456" s="446" t="s">
        <v>1181</v>
      </c>
      <c r="D1456" s="446" t="s">
        <v>4566</v>
      </c>
      <c r="E1456" s="448" t="s">
        <v>8303</v>
      </c>
      <c r="F1456" s="448">
        <v>45588</v>
      </c>
      <c r="G1456" s="446" t="s">
        <v>1549</v>
      </c>
      <c r="H1456" s="446" t="s">
        <v>8304</v>
      </c>
      <c r="I1456" s="446" t="s">
        <v>5207</v>
      </c>
      <c r="J1456" s="446" t="s">
        <v>4604</v>
      </c>
      <c r="K1456" s="446" t="s">
        <v>8305</v>
      </c>
      <c r="L1456" s="450"/>
      <c r="M1456" s="450"/>
      <c r="N1456" s="450"/>
      <c r="O1456" s="450"/>
      <c r="P1456" s="450"/>
      <c r="Q1456" s="450"/>
      <c r="R1456" s="450"/>
      <c r="S1456" s="451"/>
      <c r="T1456" s="450"/>
      <c r="U1456" s="451"/>
      <c r="V1456" s="450"/>
      <c r="W1456" s="450"/>
      <c r="X1456" s="450"/>
      <c r="Y1456" s="450"/>
      <c r="Z1456" s="450"/>
    </row>
    <row r="1457" spans="1:26" x14ac:dyDescent="0.25">
      <c r="A1457" s="446" t="s">
        <v>2547</v>
      </c>
      <c r="B1457" s="446">
        <v>60</v>
      </c>
      <c r="C1457" s="446" t="s">
        <v>4183</v>
      </c>
      <c r="D1457" s="446" t="s">
        <v>8306</v>
      </c>
      <c r="E1457" s="448" t="s">
        <v>8303</v>
      </c>
      <c r="F1457" s="448">
        <v>45589</v>
      </c>
      <c r="G1457" s="446" t="s">
        <v>8307</v>
      </c>
      <c r="H1457" s="446" t="s">
        <v>102</v>
      </c>
      <c r="I1457" s="446" t="s">
        <v>5207</v>
      </c>
      <c r="J1457" s="446" t="s">
        <v>4604</v>
      </c>
      <c r="K1457" s="446" t="s">
        <v>8308</v>
      </c>
      <c r="L1457" s="450"/>
      <c r="M1457" s="450"/>
      <c r="N1457" s="450"/>
      <c r="O1457" s="450"/>
      <c r="P1457" s="450"/>
      <c r="Q1457" s="450"/>
      <c r="R1457" s="450"/>
      <c r="S1457" s="451"/>
      <c r="T1457" s="450"/>
      <c r="U1457" s="451"/>
      <c r="V1457" s="450"/>
      <c r="W1457" s="450"/>
      <c r="X1457" s="450"/>
      <c r="Y1457" s="450"/>
      <c r="Z1457" s="450"/>
    </row>
    <row r="1458" spans="1:26" x14ac:dyDescent="0.25">
      <c r="A1458" s="446" t="s">
        <v>2553</v>
      </c>
      <c r="B1458" s="446"/>
      <c r="C1458" s="446" t="s">
        <v>1902</v>
      </c>
      <c r="D1458" s="446" t="s">
        <v>8309</v>
      </c>
      <c r="E1458" s="448" t="s">
        <v>8310</v>
      </c>
      <c r="F1458" s="448">
        <v>45648</v>
      </c>
      <c r="G1458" s="446" t="s">
        <v>2556</v>
      </c>
      <c r="H1458" s="446" t="s">
        <v>2448</v>
      </c>
      <c r="I1458" s="446" t="s">
        <v>5207</v>
      </c>
      <c r="J1458" s="446" t="s">
        <v>760</v>
      </c>
      <c r="K1458" s="446" t="s">
        <v>8311</v>
      </c>
      <c r="L1458" s="450"/>
      <c r="M1458" s="450"/>
      <c r="N1458" s="450"/>
      <c r="O1458" s="450"/>
      <c r="P1458" s="450"/>
      <c r="Q1458" s="450"/>
      <c r="R1458" s="450"/>
      <c r="S1458" s="451"/>
      <c r="T1458" s="450"/>
      <c r="U1458" s="451"/>
      <c r="V1458" s="450"/>
      <c r="W1458" s="450"/>
      <c r="X1458" s="450"/>
      <c r="Y1458" s="450"/>
      <c r="Z1458" s="450"/>
    </row>
    <row r="1459" spans="1:26" x14ac:dyDescent="0.25">
      <c r="A1459" s="446" t="s">
        <v>2557</v>
      </c>
      <c r="B1459" s="446"/>
      <c r="C1459" s="446" t="s">
        <v>2558</v>
      </c>
      <c r="D1459" s="446" t="s">
        <v>8312</v>
      </c>
      <c r="E1459" s="448" t="s">
        <v>8313</v>
      </c>
      <c r="F1459" s="448">
        <v>45726</v>
      </c>
      <c r="G1459" s="446" t="s">
        <v>8314</v>
      </c>
      <c r="H1459" s="446" t="s">
        <v>8315</v>
      </c>
      <c r="I1459" s="446" t="s">
        <v>6778</v>
      </c>
      <c r="J1459" s="446" t="s">
        <v>404</v>
      </c>
      <c r="K1459" s="446" t="s">
        <v>8316</v>
      </c>
      <c r="L1459" s="450"/>
      <c r="M1459" s="450"/>
      <c r="N1459" s="450"/>
      <c r="O1459" s="450"/>
      <c r="P1459" s="450"/>
      <c r="Q1459" s="450"/>
      <c r="R1459" s="450"/>
      <c r="S1459" s="451"/>
      <c r="T1459" s="450"/>
      <c r="U1459" s="451"/>
      <c r="V1459" s="450"/>
      <c r="W1459" s="450"/>
      <c r="X1459" s="450"/>
      <c r="Y1459" s="450"/>
      <c r="Z1459" s="450"/>
    </row>
    <row r="1460" spans="1:26" x14ac:dyDescent="0.25">
      <c r="A1460" s="446" t="s">
        <v>2576</v>
      </c>
      <c r="B1460" s="446"/>
      <c r="C1460" s="446" t="s">
        <v>461</v>
      </c>
      <c r="D1460" s="446" t="s">
        <v>4573</v>
      </c>
      <c r="E1460" s="448" t="s">
        <v>8317</v>
      </c>
      <c r="F1460" s="448">
        <v>45784</v>
      </c>
      <c r="G1460" s="446" t="s">
        <v>2578</v>
      </c>
      <c r="H1460" s="446" t="s">
        <v>8318</v>
      </c>
      <c r="I1460" s="446" t="s">
        <v>5207</v>
      </c>
      <c r="J1460" s="446" t="s">
        <v>760</v>
      </c>
      <c r="K1460" s="446" t="s">
        <v>8319</v>
      </c>
      <c r="L1460" s="450"/>
      <c r="M1460" s="450"/>
      <c r="N1460" s="450"/>
      <c r="O1460" s="450"/>
      <c r="P1460" s="450"/>
      <c r="Q1460" s="450"/>
      <c r="R1460" s="450"/>
      <c r="S1460" s="451"/>
      <c r="T1460" s="450"/>
      <c r="U1460" s="451"/>
      <c r="V1460" s="450"/>
      <c r="W1460" s="450"/>
      <c r="X1460" s="450"/>
      <c r="Y1460" s="450"/>
      <c r="Z1460" s="450"/>
    </row>
    <row r="1461" spans="1:26" x14ac:dyDescent="0.25">
      <c r="A1461" s="446" t="s">
        <v>2562</v>
      </c>
      <c r="B1461" s="446"/>
      <c r="C1461" s="446" t="s">
        <v>545</v>
      </c>
      <c r="D1461" s="446" t="s">
        <v>8320</v>
      </c>
      <c r="E1461" s="448" t="s">
        <v>8321</v>
      </c>
      <c r="F1461" s="448">
        <v>45726</v>
      </c>
      <c r="G1461" s="446" t="s">
        <v>8322</v>
      </c>
      <c r="H1461" s="446" t="s">
        <v>8323</v>
      </c>
      <c r="I1461" s="446" t="s">
        <v>8324</v>
      </c>
      <c r="J1461" s="446" t="s">
        <v>4604</v>
      </c>
      <c r="K1461" s="446" t="s">
        <v>8325</v>
      </c>
      <c r="L1461" s="450"/>
      <c r="M1461" s="450"/>
      <c r="N1461" s="450"/>
      <c r="O1461" s="450"/>
      <c r="P1461" s="450"/>
      <c r="Q1461" s="450"/>
      <c r="R1461" s="450"/>
      <c r="S1461" s="451"/>
      <c r="T1461" s="450"/>
      <c r="U1461" s="451"/>
      <c r="V1461" s="450"/>
      <c r="W1461" s="450"/>
      <c r="X1461" s="450"/>
      <c r="Y1461" s="450"/>
      <c r="Z1461" s="450"/>
    </row>
    <row r="1462" spans="1:26" x14ac:dyDescent="0.25">
      <c r="A1462" s="446" t="s">
        <v>2580</v>
      </c>
      <c r="B1462" s="446"/>
      <c r="C1462" s="446" t="s">
        <v>619</v>
      </c>
      <c r="D1462" s="446" t="s">
        <v>8326</v>
      </c>
      <c r="E1462" s="448" t="s">
        <v>8327</v>
      </c>
      <c r="F1462" s="448">
        <v>45896</v>
      </c>
      <c r="G1462" s="446" t="s">
        <v>2749</v>
      </c>
      <c r="H1462" s="446" t="s">
        <v>2582</v>
      </c>
      <c r="I1462" s="446" t="s">
        <v>6844</v>
      </c>
      <c r="J1462" s="446" t="s">
        <v>404</v>
      </c>
      <c r="K1462" s="446" t="s">
        <v>8328</v>
      </c>
      <c r="L1462" s="450"/>
      <c r="M1462" s="450"/>
      <c r="N1462" s="450"/>
      <c r="O1462" s="450"/>
      <c r="P1462" s="450"/>
      <c r="Q1462" s="450"/>
      <c r="R1462" s="450"/>
      <c r="S1462" s="451"/>
      <c r="T1462" s="450"/>
      <c r="U1462" s="451"/>
      <c r="V1462" s="450"/>
      <c r="W1462" s="450"/>
      <c r="X1462" s="450"/>
      <c r="Y1462" s="450"/>
      <c r="Z1462" s="450"/>
    </row>
    <row r="1463" spans="1:26" x14ac:dyDescent="0.25">
      <c r="A1463" s="446" t="s">
        <v>2583</v>
      </c>
      <c r="B1463" s="446"/>
      <c r="C1463" s="446" t="s">
        <v>619</v>
      </c>
      <c r="D1463" s="446" t="s">
        <v>8329</v>
      </c>
      <c r="E1463" s="448" t="s">
        <v>8327</v>
      </c>
      <c r="F1463" s="448">
        <v>45897</v>
      </c>
      <c r="G1463" s="446" t="s">
        <v>2582</v>
      </c>
      <c r="H1463" s="446" t="s">
        <v>8330</v>
      </c>
      <c r="I1463" s="446" t="s">
        <v>6844</v>
      </c>
      <c r="J1463" s="446" t="s">
        <v>404</v>
      </c>
      <c r="K1463" s="446" t="s">
        <v>8331</v>
      </c>
      <c r="L1463" s="450"/>
      <c r="M1463" s="450"/>
      <c r="N1463" s="450"/>
      <c r="O1463" s="450"/>
      <c r="P1463" s="450"/>
      <c r="Q1463" s="450"/>
      <c r="R1463" s="450"/>
      <c r="S1463" s="451"/>
      <c r="T1463" s="450"/>
      <c r="U1463" s="451"/>
      <c r="V1463" s="450"/>
      <c r="W1463" s="450"/>
      <c r="X1463" s="450"/>
      <c r="Y1463" s="450"/>
      <c r="Z1463" s="450"/>
    </row>
    <row r="1464" spans="1:26" x14ac:dyDescent="0.25">
      <c r="A1464" s="446" t="s">
        <v>2586</v>
      </c>
      <c r="B1464" s="446">
        <v>62</v>
      </c>
      <c r="C1464" s="446" t="s">
        <v>2189</v>
      </c>
      <c r="D1464" s="446" t="s">
        <v>4576</v>
      </c>
      <c r="E1464" s="448" t="s">
        <v>8332</v>
      </c>
      <c r="F1464" s="448">
        <v>45926</v>
      </c>
      <c r="G1464" s="446" t="s">
        <v>8333</v>
      </c>
      <c r="H1464" s="446" t="s">
        <v>8334</v>
      </c>
      <c r="I1464" s="446" t="s">
        <v>5207</v>
      </c>
      <c r="J1464" s="446" t="s">
        <v>746</v>
      </c>
      <c r="K1464" s="446" t="s">
        <v>8335</v>
      </c>
      <c r="L1464" s="450"/>
      <c r="M1464" s="450"/>
      <c r="N1464" s="450"/>
      <c r="O1464" s="450"/>
      <c r="P1464" s="450"/>
      <c r="Q1464" s="450"/>
      <c r="R1464" s="450"/>
      <c r="S1464" s="451"/>
      <c r="T1464" s="450"/>
      <c r="U1464" s="451"/>
      <c r="V1464" s="450"/>
      <c r="W1464" s="450"/>
      <c r="X1464" s="450"/>
      <c r="Y1464" s="450"/>
      <c r="Z1464" s="450"/>
    </row>
    <row r="1465" spans="1:26" x14ac:dyDescent="0.25">
      <c r="A1465" s="446" t="s">
        <v>2590</v>
      </c>
      <c r="B1465" s="446"/>
      <c r="C1465" s="446" t="s">
        <v>3190</v>
      </c>
      <c r="D1465" s="446" t="s">
        <v>3053</v>
      </c>
      <c r="E1465" s="448" t="s">
        <v>8336</v>
      </c>
      <c r="F1465" s="448">
        <v>45931</v>
      </c>
      <c r="G1465" s="446" t="s">
        <v>2592</v>
      </c>
      <c r="H1465" s="446" t="s">
        <v>2603</v>
      </c>
      <c r="I1465" s="446" t="s">
        <v>5207</v>
      </c>
      <c r="J1465" s="446" t="s">
        <v>746</v>
      </c>
      <c r="K1465" s="446" t="s">
        <v>8337</v>
      </c>
      <c r="L1465" s="450"/>
      <c r="M1465" s="450"/>
      <c r="N1465" s="450"/>
      <c r="O1465" s="450"/>
      <c r="P1465" s="450"/>
      <c r="Q1465" s="450"/>
      <c r="R1465" s="450"/>
      <c r="S1465" s="451"/>
      <c r="T1465" s="450"/>
      <c r="U1465" s="451"/>
      <c r="V1465" s="450"/>
      <c r="W1465" s="450"/>
      <c r="X1465" s="450"/>
      <c r="Y1465" s="450"/>
      <c r="Z1465" s="450"/>
    </row>
    <row r="1466" spans="1:26" x14ac:dyDescent="0.25">
      <c r="A1466" s="446" t="s">
        <v>2607</v>
      </c>
      <c r="B1466" s="446"/>
      <c r="C1466" s="446" t="s">
        <v>1902</v>
      </c>
      <c r="D1466" s="446" t="s">
        <v>8338</v>
      </c>
      <c r="E1466" s="448" t="s">
        <v>8339</v>
      </c>
      <c r="F1466" s="448">
        <v>46041</v>
      </c>
      <c r="G1466" s="446" t="s">
        <v>2610</v>
      </c>
      <c r="H1466" s="446" t="s">
        <v>102</v>
      </c>
      <c r="I1466" s="446" t="s">
        <v>5207</v>
      </c>
      <c r="J1466" s="446" t="s">
        <v>760</v>
      </c>
      <c r="K1466" s="446" t="s">
        <v>8340</v>
      </c>
      <c r="L1466" s="450"/>
      <c r="M1466" s="450"/>
      <c r="N1466" s="450"/>
      <c r="O1466" s="450"/>
      <c r="P1466" s="450"/>
      <c r="Q1466" s="450"/>
      <c r="R1466" s="450"/>
      <c r="S1466" s="451"/>
      <c r="T1466" s="450"/>
      <c r="U1466" s="451"/>
      <c r="V1466" s="450"/>
      <c r="W1466" s="450"/>
      <c r="X1466" s="450"/>
      <c r="Y1466" s="450"/>
      <c r="Z1466" s="450"/>
    </row>
    <row r="1467" spans="1:26" x14ac:dyDescent="0.25">
      <c r="A1467" s="446" t="s">
        <v>2595</v>
      </c>
      <c r="B1467" s="446"/>
      <c r="C1467" s="446" t="s">
        <v>619</v>
      </c>
      <c r="D1467" s="446" t="s">
        <v>8341</v>
      </c>
      <c r="E1467" s="448" t="s">
        <v>8342</v>
      </c>
      <c r="F1467" s="448">
        <v>45971</v>
      </c>
      <c r="G1467" s="446" t="s">
        <v>2597</v>
      </c>
      <c r="H1467" s="446" t="s">
        <v>8343</v>
      </c>
      <c r="I1467" s="446" t="s">
        <v>8344</v>
      </c>
      <c r="J1467" s="446" t="s">
        <v>404</v>
      </c>
      <c r="K1467" s="446" t="s">
        <v>8345</v>
      </c>
      <c r="L1467" s="450"/>
      <c r="M1467" s="450"/>
      <c r="N1467" s="450"/>
      <c r="O1467" s="450"/>
      <c r="P1467" s="450"/>
      <c r="Q1467" s="450"/>
      <c r="R1467" s="450"/>
      <c r="S1467" s="451"/>
      <c r="T1467" s="450"/>
      <c r="U1467" s="451"/>
      <c r="V1467" s="450"/>
      <c r="W1467" s="450"/>
      <c r="X1467" s="450"/>
      <c r="Y1467" s="450"/>
      <c r="Z1467" s="450"/>
    </row>
    <row r="1468" spans="1:26" x14ac:dyDescent="0.25">
      <c r="A1468" s="446" t="s">
        <v>2626</v>
      </c>
      <c r="B1468" s="446"/>
      <c r="C1468" s="446" t="s">
        <v>619</v>
      </c>
      <c r="D1468" s="446" t="s">
        <v>8346</v>
      </c>
      <c r="E1468" s="448" t="s">
        <v>8347</v>
      </c>
      <c r="F1468" s="448">
        <v>46084</v>
      </c>
      <c r="G1468" s="446" t="s">
        <v>8348</v>
      </c>
      <c r="H1468" s="446" t="s">
        <v>185</v>
      </c>
      <c r="I1468" s="446" t="s">
        <v>8349</v>
      </c>
      <c r="J1468" s="446" t="s">
        <v>404</v>
      </c>
      <c r="K1468" s="446" t="s">
        <v>8350</v>
      </c>
      <c r="L1468" s="450"/>
      <c r="M1468" s="450"/>
      <c r="N1468" s="450"/>
      <c r="O1468" s="450"/>
      <c r="P1468" s="450"/>
      <c r="Q1468" s="450"/>
      <c r="R1468" s="450"/>
      <c r="S1468" s="451"/>
      <c r="T1468" s="450"/>
      <c r="U1468" s="451"/>
      <c r="V1468" s="450"/>
      <c r="W1468" s="450"/>
      <c r="X1468" s="450"/>
      <c r="Y1468" s="450"/>
      <c r="Z1468" s="450"/>
    </row>
    <row r="1469" spans="1:26" x14ac:dyDescent="0.25">
      <c r="A1469" s="446" t="s">
        <v>2642</v>
      </c>
      <c r="B1469" s="446"/>
      <c r="C1469" s="446" t="s">
        <v>461</v>
      </c>
      <c r="D1469" s="446" t="s">
        <v>4581</v>
      </c>
      <c r="E1469" s="448" t="s">
        <v>8351</v>
      </c>
      <c r="F1469" s="448">
        <v>46113</v>
      </c>
      <c r="G1469" s="446" t="s">
        <v>8352</v>
      </c>
      <c r="H1469" s="446" t="s">
        <v>102</v>
      </c>
      <c r="I1469" s="446" t="s">
        <v>5207</v>
      </c>
      <c r="J1469" s="446" t="s">
        <v>760</v>
      </c>
      <c r="K1469" s="446" t="s">
        <v>8353</v>
      </c>
      <c r="L1469" s="450"/>
      <c r="M1469" s="450"/>
      <c r="N1469" s="450"/>
      <c r="O1469" s="450"/>
      <c r="P1469" s="450"/>
      <c r="Q1469" s="450"/>
      <c r="R1469" s="450"/>
      <c r="S1469" s="451"/>
      <c r="T1469" s="450"/>
      <c r="U1469" s="451"/>
      <c r="V1469" s="450"/>
      <c r="W1469" s="450"/>
      <c r="X1469" s="450"/>
      <c r="Y1469" s="450"/>
      <c r="Z1469" s="450"/>
    </row>
    <row r="1470" spans="1:26" x14ac:dyDescent="0.25">
      <c r="A1470" s="446" t="s">
        <v>2637</v>
      </c>
      <c r="B1470" s="446"/>
      <c r="C1470" s="446" t="s">
        <v>461</v>
      </c>
      <c r="D1470" s="446" t="s">
        <v>8354</v>
      </c>
      <c r="E1470" s="448" t="s">
        <v>8351</v>
      </c>
      <c r="F1470" s="448">
        <v>46113</v>
      </c>
      <c r="G1470" s="446" t="s">
        <v>8352</v>
      </c>
      <c r="H1470" s="446" t="s">
        <v>102</v>
      </c>
      <c r="I1470" s="446" t="s">
        <v>5207</v>
      </c>
      <c r="J1470" s="446" t="s">
        <v>760</v>
      </c>
      <c r="K1470" s="446" t="s">
        <v>8355</v>
      </c>
      <c r="L1470" s="450"/>
      <c r="M1470" s="450"/>
      <c r="N1470" s="450"/>
      <c r="O1470" s="450"/>
      <c r="P1470" s="450"/>
      <c r="Q1470" s="450"/>
      <c r="R1470" s="450"/>
      <c r="S1470" s="451"/>
      <c r="T1470" s="450"/>
      <c r="U1470" s="451"/>
      <c r="V1470" s="450"/>
      <c r="W1470" s="450"/>
      <c r="X1470" s="450"/>
      <c r="Y1470" s="450"/>
      <c r="Z1470" s="450"/>
    </row>
    <row r="1471" spans="1:26" x14ac:dyDescent="0.25">
      <c r="A1471" s="458" t="s">
        <v>679</v>
      </c>
      <c r="B1471" s="458"/>
      <c r="C1471" s="458" t="s">
        <v>680</v>
      </c>
      <c r="D1471" s="458" t="s">
        <v>681</v>
      </c>
      <c r="E1471" s="459">
        <v>25176</v>
      </c>
      <c r="F1471" s="459">
        <v>25176</v>
      </c>
      <c r="G1471" s="458" t="s">
        <v>682</v>
      </c>
      <c r="H1471" s="458" t="s">
        <v>683</v>
      </c>
      <c r="I1471" s="458" t="s">
        <v>231</v>
      </c>
      <c r="J1471" s="458" t="s">
        <v>746</v>
      </c>
      <c r="K1471" s="460" t="s">
        <v>684</v>
      </c>
      <c r="L1471" s="458" t="s">
        <v>502</v>
      </c>
      <c r="M1471" s="458" t="s">
        <v>465</v>
      </c>
      <c r="N1471" s="461"/>
      <c r="O1471" s="462">
        <v>640</v>
      </c>
      <c r="P1471" s="463"/>
      <c r="Q1471" s="463"/>
      <c r="R1471" s="464"/>
      <c r="S1471" s="458" t="s">
        <v>503</v>
      </c>
      <c r="T1471" s="465"/>
      <c r="U1471" s="465"/>
      <c r="V1471" s="450"/>
      <c r="W1471" s="450"/>
      <c r="X1471" s="450"/>
      <c r="Y1471" s="450"/>
      <c r="Z1471" s="450"/>
    </row>
    <row r="1472" spans="1:26" x14ac:dyDescent="0.25">
      <c r="A1472" s="458" t="s">
        <v>686</v>
      </c>
      <c r="B1472" s="458"/>
      <c r="C1472" s="458" t="s">
        <v>680</v>
      </c>
      <c r="D1472" s="458" t="s">
        <v>687</v>
      </c>
      <c r="E1472" s="459">
        <v>25905</v>
      </c>
      <c r="F1472" s="459">
        <v>25905</v>
      </c>
      <c r="G1472" s="458" t="s">
        <v>688</v>
      </c>
      <c r="H1472" s="458" t="s">
        <v>689</v>
      </c>
      <c r="I1472" s="458" t="s">
        <v>231</v>
      </c>
      <c r="J1472" s="458" t="s">
        <v>746</v>
      </c>
      <c r="K1472" s="460" t="s">
        <v>690</v>
      </c>
      <c r="L1472" s="458" t="s">
        <v>502</v>
      </c>
      <c r="M1472" s="458" t="s">
        <v>465</v>
      </c>
      <c r="N1472" s="461"/>
      <c r="O1472" s="462">
        <v>640</v>
      </c>
      <c r="P1472" s="463"/>
      <c r="Q1472" s="463"/>
      <c r="R1472" s="464"/>
      <c r="S1472" s="458" t="s">
        <v>503</v>
      </c>
      <c r="T1472" s="465"/>
      <c r="U1472" s="465"/>
      <c r="V1472" s="450"/>
      <c r="W1472" s="450"/>
      <c r="X1472" s="450"/>
      <c r="Y1472" s="450"/>
      <c r="Z1472" s="450"/>
    </row>
    <row r="1473" spans="1:26" x14ac:dyDescent="0.25">
      <c r="A1473" s="458" t="s">
        <v>742</v>
      </c>
      <c r="B1473" s="458"/>
      <c r="C1473" s="458" t="s">
        <v>680</v>
      </c>
      <c r="D1473" s="458" t="s">
        <v>743</v>
      </c>
      <c r="E1473" s="459">
        <v>28711</v>
      </c>
      <c r="F1473" s="459">
        <v>28711</v>
      </c>
      <c r="G1473" s="458" t="s">
        <v>744</v>
      </c>
      <c r="H1473" s="458" t="s">
        <v>745</v>
      </c>
      <c r="I1473" s="458" t="s">
        <v>231</v>
      </c>
      <c r="J1473" s="458" t="s">
        <v>746</v>
      </c>
      <c r="K1473" s="460" t="s">
        <v>747</v>
      </c>
      <c r="L1473" s="458" t="s">
        <v>502</v>
      </c>
      <c r="M1473" s="458" t="s">
        <v>465</v>
      </c>
      <c r="N1473" s="461"/>
      <c r="O1473" s="462">
        <v>640</v>
      </c>
      <c r="P1473" s="463"/>
      <c r="Q1473" s="463"/>
      <c r="R1473" s="464"/>
      <c r="S1473" s="458" t="s">
        <v>503</v>
      </c>
      <c r="T1473" s="486"/>
      <c r="U1473" s="486"/>
      <c r="V1473" s="450"/>
      <c r="W1473" s="450"/>
      <c r="X1473" s="450"/>
      <c r="Y1473" s="450"/>
      <c r="Z1473" s="450"/>
    </row>
    <row r="1474" spans="1:26" x14ac:dyDescent="0.25">
      <c r="A1474" s="458" t="s">
        <v>765</v>
      </c>
      <c r="B1474" s="458"/>
      <c r="C1474" s="458" t="s">
        <v>680</v>
      </c>
      <c r="D1474" s="458" t="s">
        <v>766</v>
      </c>
      <c r="E1474" s="459">
        <v>29102</v>
      </c>
      <c r="F1474" s="459">
        <v>29102</v>
      </c>
      <c r="G1474" s="458" t="s">
        <v>221</v>
      </c>
      <c r="H1474" s="458" t="s">
        <v>767</v>
      </c>
      <c r="I1474" s="458" t="s">
        <v>530</v>
      </c>
      <c r="J1474" s="458" t="s">
        <v>746</v>
      </c>
      <c r="K1474" s="460" t="s">
        <v>768</v>
      </c>
      <c r="L1474" s="458" t="s">
        <v>502</v>
      </c>
      <c r="M1474" s="458" t="s">
        <v>465</v>
      </c>
      <c r="N1474" s="461"/>
      <c r="O1474" s="462">
        <v>640</v>
      </c>
      <c r="P1474" s="463"/>
      <c r="Q1474" s="463"/>
      <c r="R1474" s="464"/>
      <c r="S1474" s="458" t="s">
        <v>503</v>
      </c>
      <c r="T1474" s="486"/>
      <c r="U1474" s="486"/>
      <c r="V1474" s="450"/>
      <c r="W1474" s="450"/>
      <c r="X1474" s="450"/>
      <c r="Y1474" s="450"/>
      <c r="Z1474" s="450"/>
    </row>
    <row r="1475" spans="1:26" x14ac:dyDescent="0.25">
      <c r="A1475" s="458" t="s">
        <v>769</v>
      </c>
      <c r="B1475" s="458"/>
      <c r="C1475" s="458" t="s">
        <v>680</v>
      </c>
      <c r="D1475" s="458" t="s">
        <v>770</v>
      </c>
      <c r="E1475" s="459">
        <v>29102</v>
      </c>
      <c r="F1475" s="459">
        <v>29102</v>
      </c>
      <c r="G1475" s="458" t="s">
        <v>221</v>
      </c>
      <c r="H1475" s="458" t="s">
        <v>767</v>
      </c>
      <c r="I1475" s="458" t="s">
        <v>530</v>
      </c>
      <c r="J1475" s="458" t="s">
        <v>746</v>
      </c>
      <c r="K1475" s="460" t="s">
        <v>771</v>
      </c>
      <c r="L1475" s="458" t="s">
        <v>502</v>
      </c>
      <c r="M1475" s="458" t="s">
        <v>465</v>
      </c>
      <c r="N1475" s="461"/>
      <c r="O1475" s="462">
        <v>640</v>
      </c>
      <c r="P1475" s="463"/>
      <c r="Q1475" s="463"/>
      <c r="R1475" s="464"/>
      <c r="S1475" s="458" t="s">
        <v>503</v>
      </c>
      <c r="T1475" s="486"/>
      <c r="U1475" s="486"/>
      <c r="V1475" s="450"/>
      <c r="W1475" s="450"/>
      <c r="X1475" s="450"/>
      <c r="Y1475" s="450"/>
      <c r="Z1475" s="450"/>
    </row>
    <row r="1476" spans="1:26" x14ac:dyDescent="0.25">
      <c r="A1476" s="458" t="s">
        <v>6956</v>
      </c>
      <c r="B1476" s="458"/>
      <c r="C1476" s="458" t="s">
        <v>202</v>
      </c>
      <c r="D1476" s="458" t="s">
        <v>8356</v>
      </c>
      <c r="E1476" s="459">
        <v>36549</v>
      </c>
      <c r="F1476" s="459">
        <v>36549</v>
      </c>
      <c r="G1476" s="458" t="s">
        <v>8357</v>
      </c>
      <c r="H1476" s="458" t="s">
        <v>4078</v>
      </c>
      <c r="I1476" s="458" t="s">
        <v>321</v>
      </c>
      <c r="J1476" s="458" t="s">
        <v>8358</v>
      </c>
      <c r="K1476" s="460" t="s">
        <v>8359</v>
      </c>
      <c r="L1476" s="458">
        <v>2</v>
      </c>
      <c r="M1476" s="458" t="s">
        <v>1489</v>
      </c>
      <c r="N1476" s="461"/>
      <c r="O1476" s="462">
        <v>160</v>
      </c>
      <c r="P1476" s="463"/>
      <c r="Q1476" s="463"/>
      <c r="R1476" s="464"/>
      <c r="S1476" s="458" t="s">
        <v>1501</v>
      </c>
      <c r="T1476" s="486"/>
      <c r="U1476" s="487"/>
      <c r="V1476" s="450"/>
      <c r="W1476" s="450"/>
      <c r="X1476" s="450"/>
      <c r="Y1476" s="450"/>
      <c r="Z1476" s="450"/>
    </row>
    <row r="1477" spans="1:26" x14ac:dyDescent="0.25">
      <c r="A1477" s="458" t="s">
        <v>6970</v>
      </c>
      <c r="B1477" s="458"/>
      <c r="C1477" s="458" t="s">
        <v>202</v>
      </c>
      <c r="D1477" s="458" t="s">
        <v>8360</v>
      </c>
      <c r="E1477" s="459">
        <v>36558</v>
      </c>
      <c r="F1477" s="459">
        <v>36558</v>
      </c>
      <c r="G1477" s="458" t="s">
        <v>8361</v>
      </c>
      <c r="H1477" s="458" t="s">
        <v>262</v>
      </c>
      <c r="I1477" s="458" t="s">
        <v>222</v>
      </c>
      <c r="J1477" s="458" t="s">
        <v>8362</v>
      </c>
      <c r="K1477" s="460" t="s">
        <v>8363</v>
      </c>
      <c r="L1477" s="458" t="s">
        <v>625</v>
      </c>
      <c r="M1477" s="458" t="s">
        <v>1489</v>
      </c>
      <c r="N1477" s="466"/>
      <c r="O1477" s="462">
        <v>280</v>
      </c>
      <c r="P1477" s="463"/>
      <c r="Q1477" s="463"/>
      <c r="R1477" s="464"/>
      <c r="S1477" s="458" t="s">
        <v>1501</v>
      </c>
      <c r="T1477" s="486"/>
      <c r="U1477" s="487"/>
      <c r="V1477" s="450"/>
      <c r="W1477" s="450"/>
      <c r="X1477" s="450"/>
      <c r="Y1477" s="450"/>
      <c r="Z1477" s="450"/>
    </row>
    <row r="1478" spans="1:26" x14ac:dyDescent="0.25">
      <c r="A1478" s="458" t="s">
        <v>6965</v>
      </c>
      <c r="B1478" s="458"/>
      <c r="C1478" s="458" t="s">
        <v>202</v>
      </c>
      <c r="D1478" s="458" t="s">
        <v>8364</v>
      </c>
      <c r="E1478" s="459">
        <v>36558</v>
      </c>
      <c r="F1478" s="459">
        <v>36558</v>
      </c>
      <c r="G1478" s="458" t="s">
        <v>8365</v>
      </c>
      <c r="H1478" s="458" t="s">
        <v>4078</v>
      </c>
      <c r="I1478" s="458" t="s">
        <v>263</v>
      </c>
      <c r="J1478" s="458" t="s">
        <v>8366</v>
      </c>
      <c r="K1478" s="460" t="s">
        <v>8367</v>
      </c>
      <c r="L1478" s="458">
        <v>5</v>
      </c>
      <c r="M1478" s="458" t="s">
        <v>1489</v>
      </c>
      <c r="N1478" s="461"/>
      <c r="O1478" s="462">
        <v>120</v>
      </c>
      <c r="P1478" s="463"/>
      <c r="Q1478" s="463"/>
      <c r="R1478" s="464"/>
      <c r="S1478" s="458" t="s">
        <v>1501</v>
      </c>
      <c r="T1478" s="486"/>
      <c r="U1478" s="487"/>
      <c r="V1478" s="450"/>
      <c r="W1478" s="450"/>
      <c r="X1478" s="450"/>
      <c r="Y1478" s="450"/>
      <c r="Z1478" s="450"/>
    </row>
    <row r="1479" spans="1:26" x14ac:dyDescent="0.25">
      <c r="A1479" s="458" t="s">
        <v>7019</v>
      </c>
      <c r="B1479" s="458"/>
      <c r="C1479" s="458" t="s">
        <v>202</v>
      </c>
      <c r="D1479" s="458" t="s">
        <v>8368</v>
      </c>
      <c r="E1479" s="459">
        <v>36586</v>
      </c>
      <c r="F1479" s="459">
        <v>36586</v>
      </c>
      <c r="G1479" s="458" t="s">
        <v>8369</v>
      </c>
      <c r="H1479" s="458" t="s">
        <v>4078</v>
      </c>
      <c r="I1479" s="458" t="s">
        <v>7022</v>
      </c>
      <c r="J1479" s="458" t="s">
        <v>8370</v>
      </c>
      <c r="K1479" s="460" t="s">
        <v>8371</v>
      </c>
      <c r="L1479" s="458" t="s">
        <v>8372</v>
      </c>
      <c r="M1479" s="458" t="s">
        <v>1489</v>
      </c>
      <c r="N1479" s="466"/>
      <c r="O1479" s="462">
        <v>160</v>
      </c>
      <c r="P1479" s="463"/>
      <c r="Q1479" s="463"/>
      <c r="R1479" s="464"/>
      <c r="S1479" s="458" t="s">
        <v>1501</v>
      </c>
      <c r="T1479" s="486"/>
      <c r="U1479" s="487"/>
      <c r="V1479" s="450"/>
      <c r="W1479" s="450"/>
      <c r="X1479" s="450"/>
      <c r="Y1479" s="450"/>
      <c r="Z1479" s="450"/>
    </row>
    <row r="1480" spans="1:26" x14ac:dyDescent="0.25">
      <c r="A1480" s="458" t="s">
        <v>7024</v>
      </c>
      <c r="B1480" s="458"/>
      <c r="C1480" s="458" t="s">
        <v>202</v>
      </c>
      <c r="D1480" s="458" t="s">
        <v>8373</v>
      </c>
      <c r="E1480" s="459">
        <v>36586</v>
      </c>
      <c r="F1480" s="459">
        <v>36586</v>
      </c>
      <c r="G1480" s="458" t="s">
        <v>8374</v>
      </c>
      <c r="H1480" s="458" t="s">
        <v>4078</v>
      </c>
      <c r="I1480" s="458" t="s">
        <v>7026</v>
      </c>
      <c r="J1480" s="458" t="s">
        <v>8370</v>
      </c>
      <c r="K1480" s="460" t="s">
        <v>8375</v>
      </c>
      <c r="L1480" s="458" t="s">
        <v>8376</v>
      </c>
      <c r="M1480" s="458" t="s">
        <v>1489</v>
      </c>
      <c r="N1480" s="466"/>
      <c r="O1480" s="462">
        <v>200</v>
      </c>
      <c r="P1480" s="463"/>
      <c r="Q1480" s="463"/>
      <c r="R1480" s="464"/>
      <c r="S1480" s="458" t="s">
        <v>1501</v>
      </c>
      <c r="T1480" s="486"/>
      <c r="U1480" s="487"/>
      <c r="V1480" s="450"/>
      <c r="W1480" s="450"/>
      <c r="X1480" s="450"/>
      <c r="Y1480" s="450"/>
      <c r="Z1480" s="450"/>
    </row>
    <row r="1481" spans="1:26" x14ac:dyDescent="0.25">
      <c r="A1481" s="458" t="s">
        <v>7037</v>
      </c>
      <c r="B1481" s="458"/>
      <c r="C1481" s="458" t="s">
        <v>202</v>
      </c>
      <c r="D1481" s="458" t="s">
        <v>8377</v>
      </c>
      <c r="E1481" s="459">
        <v>36593</v>
      </c>
      <c r="F1481" s="459">
        <v>36593</v>
      </c>
      <c r="G1481" s="458" t="s">
        <v>8378</v>
      </c>
      <c r="H1481" s="458" t="s">
        <v>262</v>
      </c>
      <c r="I1481" s="458" t="s">
        <v>222</v>
      </c>
      <c r="J1481" s="458" t="s">
        <v>8379</v>
      </c>
      <c r="K1481" s="460" t="s">
        <v>8380</v>
      </c>
      <c r="L1481" s="458" t="s">
        <v>625</v>
      </c>
      <c r="M1481" s="458" t="s">
        <v>1489</v>
      </c>
      <c r="N1481" s="466"/>
      <c r="O1481" s="462">
        <v>280</v>
      </c>
      <c r="P1481" s="463"/>
      <c r="Q1481" s="463"/>
      <c r="R1481" s="464"/>
      <c r="S1481" s="458" t="s">
        <v>1501</v>
      </c>
      <c r="T1481" s="486"/>
      <c r="U1481" s="487"/>
      <c r="V1481" s="450"/>
      <c r="W1481" s="450"/>
      <c r="X1481" s="450"/>
      <c r="Y1481" s="450"/>
      <c r="Z1481" s="450"/>
    </row>
    <row r="1482" spans="1:26" x14ac:dyDescent="0.25">
      <c r="A1482" s="458" t="s">
        <v>7033</v>
      </c>
      <c r="B1482" s="458"/>
      <c r="C1482" s="458" t="s">
        <v>202</v>
      </c>
      <c r="D1482" s="458" t="s">
        <v>8381</v>
      </c>
      <c r="E1482" s="459">
        <v>36593</v>
      </c>
      <c r="F1482" s="459">
        <v>36593</v>
      </c>
      <c r="G1482" s="458" t="s">
        <v>8382</v>
      </c>
      <c r="H1482" s="458" t="s">
        <v>262</v>
      </c>
      <c r="I1482" s="458" t="s">
        <v>8383</v>
      </c>
      <c r="J1482" s="458" t="s">
        <v>8384</v>
      </c>
      <c r="K1482" s="460" t="s">
        <v>8385</v>
      </c>
      <c r="L1482" s="458" t="s">
        <v>8386</v>
      </c>
      <c r="M1482" s="458" t="s">
        <v>1489</v>
      </c>
      <c r="N1482" s="461"/>
      <c r="O1482" s="462">
        <v>440</v>
      </c>
      <c r="P1482" s="463"/>
      <c r="Q1482" s="463"/>
      <c r="R1482" s="464"/>
      <c r="S1482" s="458" t="s">
        <v>1501</v>
      </c>
      <c r="T1482" s="486"/>
      <c r="U1482" s="487"/>
      <c r="V1482" s="450"/>
      <c r="W1482" s="450"/>
      <c r="X1482" s="450"/>
      <c r="Y1482" s="450"/>
      <c r="Z1482" s="450"/>
    </row>
    <row r="1483" spans="1:26" x14ac:dyDescent="0.25">
      <c r="A1483" s="458" t="s">
        <v>7054</v>
      </c>
      <c r="B1483" s="458"/>
      <c r="C1483" s="458" t="s">
        <v>202</v>
      </c>
      <c r="D1483" s="458" t="s">
        <v>8387</v>
      </c>
      <c r="E1483" s="459">
        <v>36616</v>
      </c>
      <c r="F1483" s="459">
        <v>36616</v>
      </c>
      <c r="G1483" s="458" t="s">
        <v>8388</v>
      </c>
      <c r="H1483" s="458" t="s">
        <v>262</v>
      </c>
      <c r="I1483" s="458" t="s">
        <v>8389</v>
      </c>
      <c r="J1483" s="458" t="s">
        <v>8384</v>
      </c>
      <c r="K1483" s="460" t="s">
        <v>8390</v>
      </c>
      <c r="L1483" s="458" t="s">
        <v>635</v>
      </c>
      <c r="M1483" s="458" t="s">
        <v>1489</v>
      </c>
      <c r="N1483" s="466"/>
      <c r="O1483" s="462">
        <v>480</v>
      </c>
      <c r="P1483" s="463"/>
      <c r="Q1483" s="463"/>
      <c r="R1483" s="464"/>
      <c r="S1483" s="458" t="s">
        <v>1501</v>
      </c>
      <c r="T1483" s="486"/>
      <c r="U1483" s="487"/>
      <c r="V1483" s="450"/>
      <c r="W1483" s="450"/>
      <c r="X1483" s="450"/>
      <c r="Y1483" s="450"/>
      <c r="Z1483" s="450"/>
    </row>
    <row r="1484" spans="1:26" x14ac:dyDescent="0.25">
      <c r="A1484" s="458" t="s">
        <v>7058</v>
      </c>
      <c r="B1484" s="458"/>
      <c r="C1484" s="458" t="s">
        <v>202</v>
      </c>
      <c r="D1484" s="458" t="s">
        <v>8391</v>
      </c>
      <c r="E1484" s="459">
        <v>36621</v>
      </c>
      <c r="F1484" s="459">
        <v>36621</v>
      </c>
      <c r="G1484" s="458" t="s">
        <v>8392</v>
      </c>
      <c r="H1484" s="458" t="s">
        <v>4078</v>
      </c>
      <c r="I1484" s="458" t="s">
        <v>321</v>
      </c>
      <c r="J1484" s="458" t="s">
        <v>8358</v>
      </c>
      <c r="K1484" s="460" t="s">
        <v>8393</v>
      </c>
      <c r="L1484" s="458">
        <v>2</v>
      </c>
      <c r="M1484" s="458" t="s">
        <v>1489</v>
      </c>
      <c r="N1484" s="461"/>
      <c r="O1484" s="462">
        <v>160</v>
      </c>
      <c r="P1484" s="463"/>
      <c r="Q1484" s="463"/>
      <c r="R1484" s="464"/>
      <c r="S1484" s="458" t="s">
        <v>1501</v>
      </c>
      <c r="T1484" s="486"/>
      <c r="U1484" s="487"/>
      <c r="V1484" s="450"/>
      <c r="W1484" s="450"/>
      <c r="X1484" s="450"/>
      <c r="Y1484" s="450"/>
      <c r="Z1484" s="450"/>
    </row>
    <row r="1485" spans="1:26" x14ac:dyDescent="0.25">
      <c r="A1485" s="458" t="s">
        <v>7062</v>
      </c>
      <c r="B1485" s="458"/>
      <c r="C1485" s="458" t="s">
        <v>202</v>
      </c>
      <c r="D1485" s="458" t="s">
        <v>8394</v>
      </c>
      <c r="E1485" s="459">
        <v>36623</v>
      </c>
      <c r="F1485" s="459">
        <v>36623</v>
      </c>
      <c r="G1485" s="458" t="s">
        <v>8395</v>
      </c>
      <c r="H1485" s="458" t="s">
        <v>4078</v>
      </c>
      <c r="I1485" s="458" t="s">
        <v>222</v>
      </c>
      <c r="J1485" s="458" t="s">
        <v>8370</v>
      </c>
      <c r="K1485" s="460" t="s">
        <v>8396</v>
      </c>
      <c r="L1485" s="458" t="s">
        <v>625</v>
      </c>
      <c r="M1485" s="458" t="s">
        <v>1489</v>
      </c>
      <c r="N1485" s="466"/>
      <c r="O1485" s="462">
        <v>280</v>
      </c>
      <c r="P1485" s="463"/>
      <c r="Q1485" s="463"/>
      <c r="R1485" s="464"/>
      <c r="S1485" s="458" t="s">
        <v>1501</v>
      </c>
      <c r="T1485" s="486"/>
      <c r="U1485" s="487"/>
      <c r="V1485" s="450"/>
      <c r="W1485" s="450"/>
      <c r="X1485" s="450"/>
      <c r="Y1485" s="450"/>
      <c r="Z1485" s="450"/>
    </row>
    <row r="1486" spans="1:26" x14ac:dyDescent="0.25">
      <c r="A1486" s="458" t="s">
        <v>7067</v>
      </c>
      <c r="B1486" s="458"/>
      <c r="C1486" s="458" t="s">
        <v>1456</v>
      </c>
      <c r="D1486" s="458" t="s">
        <v>8397</v>
      </c>
      <c r="E1486" s="459">
        <v>36643</v>
      </c>
      <c r="F1486" s="459">
        <v>36643</v>
      </c>
      <c r="G1486" s="458" t="s">
        <v>7070</v>
      </c>
      <c r="H1486" s="458" t="s">
        <v>85</v>
      </c>
      <c r="I1486" s="458" t="s">
        <v>8398</v>
      </c>
      <c r="J1486" s="458" t="s">
        <v>8399</v>
      </c>
      <c r="K1486" s="460" t="s">
        <v>8400</v>
      </c>
      <c r="L1486" s="458" t="s">
        <v>613</v>
      </c>
      <c r="M1486" s="458" t="s">
        <v>1489</v>
      </c>
      <c r="N1486" s="461"/>
      <c r="O1486" s="462">
        <v>440</v>
      </c>
      <c r="P1486" s="463"/>
      <c r="Q1486" s="463"/>
      <c r="R1486" s="464"/>
      <c r="S1486" s="458" t="s">
        <v>1501</v>
      </c>
      <c r="T1486" s="486"/>
      <c r="U1486" s="487"/>
      <c r="V1486" s="450"/>
      <c r="W1486" s="450"/>
      <c r="X1486" s="450"/>
      <c r="Y1486" s="450"/>
      <c r="Z1486" s="450"/>
    </row>
    <row r="1487" spans="1:26" x14ac:dyDescent="0.25">
      <c r="A1487" s="458" t="s">
        <v>7098</v>
      </c>
      <c r="B1487" s="458"/>
      <c r="C1487" s="458" t="s">
        <v>202</v>
      </c>
      <c r="D1487" s="458" t="s">
        <v>8401</v>
      </c>
      <c r="E1487" s="459">
        <v>36824</v>
      </c>
      <c r="F1487" s="459">
        <v>36866</v>
      </c>
      <c r="G1487" s="458" t="s">
        <v>8402</v>
      </c>
      <c r="H1487" s="458" t="s">
        <v>262</v>
      </c>
      <c r="I1487" s="458" t="s">
        <v>263</v>
      </c>
      <c r="J1487" s="458" t="s">
        <v>8366</v>
      </c>
      <c r="K1487" s="460" t="s">
        <v>8403</v>
      </c>
      <c r="L1487" s="458">
        <v>5</v>
      </c>
      <c r="M1487" s="458" t="s">
        <v>1489</v>
      </c>
      <c r="N1487" s="461"/>
      <c r="O1487" s="462">
        <v>120</v>
      </c>
      <c r="P1487" s="463"/>
      <c r="Q1487" s="463"/>
      <c r="R1487" s="464"/>
      <c r="S1487" s="458" t="s">
        <v>1501</v>
      </c>
      <c r="T1487" s="486"/>
      <c r="U1487" s="487"/>
      <c r="V1487" s="450"/>
      <c r="W1487" s="450"/>
      <c r="X1487" s="450"/>
      <c r="Y1487" s="450"/>
      <c r="Z1487" s="450"/>
    </row>
    <row r="1488" spans="1:26" x14ac:dyDescent="0.25">
      <c r="A1488" s="458" t="s">
        <v>7103</v>
      </c>
      <c r="B1488" s="458"/>
      <c r="C1488" s="458" t="s">
        <v>202</v>
      </c>
      <c r="D1488" s="458" t="s">
        <v>8404</v>
      </c>
      <c r="E1488" s="459">
        <v>36824</v>
      </c>
      <c r="F1488" s="459">
        <v>36866</v>
      </c>
      <c r="G1488" s="458" t="s">
        <v>8405</v>
      </c>
      <c r="H1488" s="458" t="s">
        <v>262</v>
      </c>
      <c r="I1488" s="458" t="s">
        <v>263</v>
      </c>
      <c r="J1488" s="458" t="s">
        <v>8366</v>
      </c>
      <c r="K1488" s="460" t="s">
        <v>8406</v>
      </c>
      <c r="L1488" s="458">
        <v>5</v>
      </c>
      <c r="M1488" s="458" t="s">
        <v>1489</v>
      </c>
      <c r="N1488" s="461"/>
      <c r="O1488" s="462">
        <v>120</v>
      </c>
      <c r="P1488" s="463"/>
      <c r="Q1488" s="463"/>
      <c r="R1488" s="464"/>
      <c r="S1488" s="458" t="s">
        <v>1501</v>
      </c>
      <c r="T1488" s="486"/>
      <c r="U1488" s="487"/>
      <c r="V1488" s="450"/>
      <c r="W1488" s="450"/>
      <c r="X1488" s="450"/>
      <c r="Y1488" s="450"/>
      <c r="Z1488" s="450"/>
    </row>
    <row r="1489" spans="1:26" x14ac:dyDescent="0.25">
      <c r="A1489" s="458" t="s">
        <v>7140</v>
      </c>
      <c r="B1489" s="458"/>
      <c r="C1489" s="458" t="s">
        <v>202</v>
      </c>
      <c r="D1489" s="458" t="s">
        <v>8407</v>
      </c>
      <c r="E1489" s="459">
        <v>36906</v>
      </c>
      <c r="F1489" s="459">
        <v>36985</v>
      </c>
      <c r="G1489" s="458" t="s">
        <v>8408</v>
      </c>
      <c r="H1489" s="458" t="s">
        <v>205</v>
      </c>
      <c r="I1489" s="458" t="s">
        <v>321</v>
      </c>
      <c r="J1489" s="458" t="s">
        <v>8358</v>
      </c>
      <c r="K1489" s="460" t="s">
        <v>8409</v>
      </c>
      <c r="L1489" s="458">
        <v>2</v>
      </c>
      <c r="M1489" s="458" t="s">
        <v>1489</v>
      </c>
      <c r="N1489" s="461"/>
      <c r="O1489" s="462">
        <v>160</v>
      </c>
      <c r="P1489" s="463"/>
      <c r="Q1489" s="463"/>
      <c r="R1489" s="464"/>
      <c r="S1489" s="458" t="s">
        <v>1501</v>
      </c>
      <c r="T1489" s="486"/>
      <c r="U1489" s="487"/>
      <c r="V1489" s="450"/>
      <c r="W1489" s="450"/>
      <c r="X1489" s="450"/>
      <c r="Y1489" s="450"/>
      <c r="Z1489" s="450"/>
    </row>
    <row r="1490" spans="1:26" x14ac:dyDescent="0.25">
      <c r="A1490" s="458" t="s">
        <v>7136</v>
      </c>
      <c r="B1490" s="458"/>
      <c r="C1490" s="458" t="s">
        <v>202</v>
      </c>
      <c r="D1490" s="458" t="s">
        <v>8410</v>
      </c>
      <c r="E1490" s="459">
        <v>36906</v>
      </c>
      <c r="F1490" s="459">
        <v>36985</v>
      </c>
      <c r="G1490" s="458" t="s">
        <v>8411</v>
      </c>
      <c r="H1490" s="458" t="s">
        <v>205</v>
      </c>
      <c r="I1490" s="458" t="s">
        <v>321</v>
      </c>
      <c r="J1490" s="458" t="s">
        <v>8358</v>
      </c>
      <c r="K1490" s="460" t="s">
        <v>8412</v>
      </c>
      <c r="L1490" s="458">
        <v>2</v>
      </c>
      <c r="M1490" s="458" t="s">
        <v>1489</v>
      </c>
      <c r="N1490" s="461"/>
      <c r="O1490" s="462">
        <v>160</v>
      </c>
      <c r="P1490" s="463"/>
      <c r="Q1490" s="463"/>
      <c r="R1490" s="464"/>
      <c r="S1490" s="458" t="s">
        <v>1501</v>
      </c>
      <c r="T1490" s="486"/>
      <c r="U1490" s="487"/>
      <c r="V1490" s="450"/>
      <c r="W1490" s="450"/>
      <c r="X1490" s="450"/>
      <c r="Y1490" s="450"/>
      <c r="Z1490" s="450"/>
    </row>
    <row r="1491" spans="1:26" x14ac:dyDescent="0.25">
      <c r="A1491" s="458" t="s">
        <v>7167</v>
      </c>
      <c r="B1491" s="458"/>
      <c r="C1491" s="458" t="s">
        <v>202</v>
      </c>
      <c r="D1491" s="458" t="s">
        <v>8413</v>
      </c>
      <c r="E1491" s="459">
        <v>36906</v>
      </c>
      <c r="F1491" s="459">
        <v>36985</v>
      </c>
      <c r="G1491" s="458" t="s">
        <v>1404</v>
      </c>
      <c r="H1491" s="458" t="s">
        <v>205</v>
      </c>
      <c r="I1491" s="458" t="s">
        <v>321</v>
      </c>
      <c r="J1491" s="458" t="s">
        <v>8358</v>
      </c>
      <c r="K1491" s="460" t="s">
        <v>8414</v>
      </c>
      <c r="L1491" s="458">
        <v>2</v>
      </c>
      <c r="M1491" s="458" t="s">
        <v>1489</v>
      </c>
      <c r="N1491" s="461"/>
      <c r="O1491" s="462">
        <v>160</v>
      </c>
      <c r="P1491" s="463"/>
      <c r="Q1491" s="463"/>
      <c r="R1491" s="464"/>
      <c r="S1491" s="458" t="s">
        <v>1501</v>
      </c>
      <c r="T1491" s="486"/>
      <c r="U1491" s="487"/>
      <c r="V1491" s="450"/>
      <c r="W1491" s="450"/>
      <c r="X1491" s="450"/>
      <c r="Y1491" s="450"/>
      <c r="Z1491" s="450"/>
    </row>
    <row r="1492" spans="1:26" x14ac:dyDescent="0.25">
      <c r="A1492" s="458" t="s">
        <v>7161</v>
      </c>
      <c r="B1492" s="458"/>
      <c r="C1492" s="458" t="s">
        <v>202</v>
      </c>
      <c r="D1492" s="458" t="s">
        <v>8415</v>
      </c>
      <c r="E1492" s="459">
        <v>36906</v>
      </c>
      <c r="F1492" s="459">
        <v>36985</v>
      </c>
      <c r="G1492" s="458" t="s">
        <v>8416</v>
      </c>
      <c r="H1492" s="458" t="s">
        <v>205</v>
      </c>
      <c r="I1492" s="458" t="s">
        <v>321</v>
      </c>
      <c r="J1492" s="458" t="s">
        <v>8358</v>
      </c>
      <c r="K1492" s="460" t="s">
        <v>8417</v>
      </c>
      <c r="L1492" s="458">
        <v>2</v>
      </c>
      <c r="M1492" s="458" t="s">
        <v>1489</v>
      </c>
      <c r="N1492" s="461"/>
      <c r="O1492" s="462">
        <v>160</v>
      </c>
      <c r="P1492" s="463"/>
      <c r="Q1492" s="463"/>
      <c r="R1492" s="464"/>
      <c r="S1492" s="458" t="s">
        <v>1501</v>
      </c>
      <c r="T1492" s="486"/>
      <c r="U1492" s="487"/>
      <c r="V1492" s="450"/>
      <c r="W1492" s="450"/>
      <c r="X1492" s="450"/>
      <c r="Y1492" s="450"/>
      <c r="Z1492" s="450"/>
    </row>
    <row r="1493" spans="1:26" x14ac:dyDescent="0.25">
      <c r="A1493" s="458" t="s">
        <v>7147</v>
      </c>
      <c r="B1493" s="458"/>
      <c r="C1493" s="458" t="s">
        <v>202</v>
      </c>
      <c r="D1493" s="458" t="s">
        <v>8418</v>
      </c>
      <c r="E1493" s="459">
        <v>36906</v>
      </c>
      <c r="F1493" s="459">
        <v>36985</v>
      </c>
      <c r="G1493" s="458" t="s">
        <v>1509</v>
      </c>
      <c r="H1493" s="458" t="s">
        <v>205</v>
      </c>
      <c r="I1493" s="458" t="s">
        <v>321</v>
      </c>
      <c r="J1493" s="458" t="s">
        <v>8358</v>
      </c>
      <c r="K1493" s="460" t="s">
        <v>8419</v>
      </c>
      <c r="L1493" s="458">
        <v>2</v>
      </c>
      <c r="M1493" s="458" t="s">
        <v>1489</v>
      </c>
      <c r="N1493" s="461"/>
      <c r="O1493" s="462">
        <v>160</v>
      </c>
      <c r="P1493" s="463"/>
      <c r="Q1493" s="463"/>
      <c r="R1493" s="464"/>
      <c r="S1493" s="458" t="s">
        <v>1501</v>
      </c>
      <c r="T1493" s="486"/>
      <c r="U1493" s="487"/>
      <c r="V1493" s="450"/>
      <c r="W1493" s="450"/>
      <c r="X1493" s="450"/>
      <c r="Y1493" s="450"/>
      <c r="Z1493" s="450"/>
    </row>
    <row r="1494" spans="1:26" x14ac:dyDescent="0.25">
      <c r="A1494" s="458" t="s">
        <v>7164</v>
      </c>
      <c r="B1494" s="458"/>
      <c r="C1494" s="458" t="s">
        <v>202</v>
      </c>
      <c r="D1494" s="458" t="s">
        <v>8420</v>
      </c>
      <c r="E1494" s="459">
        <v>36906</v>
      </c>
      <c r="F1494" s="459">
        <v>36985</v>
      </c>
      <c r="G1494" s="458" t="s">
        <v>8421</v>
      </c>
      <c r="H1494" s="458" t="s">
        <v>205</v>
      </c>
      <c r="I1494" s="458" t="s">
        <v>321</v>
      </c>
      <c r="J1494" s="458" t="s">
        <v>8358</v>
      </c>
      <c r="K1494" s="460" t="s">
        <v>8422</v>
      </c>
      <c r="L1494" s="458">
        <v>2</v>
      </c>
      <c r="M1494" s="458" t="s">
        <v>1489</v>
      </c>
      <c r="N1494" s="461"/>
      <c r="O1494" s="462">
        <v>160</v>
      </c>
      <c r="P1494" s="463"/>
      <c r="Q1494" s="463"/>
      <c r="R1494" s="464"/>
      <c r="S1494" s="458" t="s">
        <v>1501</v>
      </c>
      <c r="T1494" s="486"/>
      <c r="U1494" s="487"/>
      <c r="V1494" s="450"/>
      <c r="W1494" s="450"/>
      <c r="X1494" s="450"/>
      <c r="Y1494" s="450"/>
      <c r="Z1494" s="450"/>
    </row>
    <row r="1495" spans="1:26" x14ac:dyDescent="0.25">
      <c r="A1495" s="458" t="s">
        <v>7143</v>
      </c>
      <c r="B1495" s="458"/>
      <c r="C1495" s="458" t="s">
        <v>202</v>
      </c>
      <c r="D1495" s="458" t="s">
        <v>8423</v>
      </c>
      <c r="E1495" s="459">
        <v>36916</v>
      </c>
      <c r="F1495" s="459">
        <v>36985</v>
      </c>
      <c r="G1495" s="458" t="s">
        <v>8424</v>
      </c>
      <c r="H1495" s="458" t="s">
        <v>205</v>
      </c>
      <c r="I1495" s="458" t="s">
        <v>222</v>
      </c>
      <c r="J1495" s="458" t="s">
        <v>8379</v>
      </c>
      <c r="K1495" s="460" t="s">
        <v>8425</v>
      </c>
      <c r="L1495" s="458" t="s">
        <v>625</v>
      </c>
      <c r="M1495" s="458" t="s">
        <v>1489</v>
      </c>
      <c r="N1495" s="466"/>
      <c r="O1495" s="462">
        <v>280</v>
      </c>
      <c r="P1495" s="463"/>
      <c r="Q1495" s="463"/>
      <c r="R1495" s="464"/>
      <c r="S1495" s="458" t="s">
        <v>1501</v>
      </c>
      <c r="T1495" s="486"/>
      <c r="U1495" s="487"/>
      <c r="V1495" s="450"/>
      <c r="W1495" s="450"/>
      <c r="X1495" s="450"/>
      <c r="Y1495" s="450"/>
      <c r="Z1495" s="450"/>
    </row>
    <row r="1496" spans="1:26" x14ac:dyDescent="0.25">
      <c r="A1496" s="458" t="s">
        <v>7176</v>
      </c>
      <c r="B1496" s="458"/>
      <c r="C1496" s="458" t="s">
        <v>1456</v>
      </c>
      <c r="D1496" s="458" t="s">
        <v>8426</v>
      </c>
      <c r="E1496" s="459">
        <v>36924</v>
      </c>
      <c r="F1496" s="459">
        <v>37005</v>
      </c>
      <c r="G1496" s="458" t="s">
        <v>205</v>
      </c>
      <c r="H1496" s="458" t="s">
        <v>7179</v>
      </c>
      <c r="I1496" s="458" t="s">
        <v>321</v>
      </c>
      <c r="J1496" s="458" t="s">
        <v>8427</v>
      </c>
      <c r="K1496" s="460" t="s">
        <v>8428</v>
      </c>
      <c r="L1496" s="458">
        <v>2</v>
      </c>
      <c r="M1496" s="458" t="s">
        <v>1489</v>
      </c>
      <c r="N1496" s="461"/>
      <c r="O1496" s="462">
        <v>160</v>
      </c>
      <c r="P1496" s="463"/>
      <c r="Q1496" s="463"/>
      <c r="R1496" s="464"/>
      <c r="S1496" s="458" t="s">
        <v>1501</v>
      </c>
      <c r="T1496" s="486"/>
      <c r="U1496" s="487"/>
      <c r="V1496" s="450"/>
      <c r="W1496" s="450"/>
      <c r="X1496" s="450"/>
      <c r="Y1496" s="450"/>
      <c r="Z1496" s="450"/>
    </row>
    <row r="1497" spans="1:26" x14ac:dyDescent="0.25">
      <c r="A1497" s="458" t="s">
        <v>7181</v>
      </c>
      <c r="B1497" s="458"/>
      <c r="C1497" s="458" t="s">
        <v>1456</v>
      </c>
      <c r="D1497" s="458" t="s">
        <v>8429</v>
      </c>
      <c r="E1497" s="459">
        <v>36941</v>
      </c>
      <c r="F1497" s="459">
        <v>37005</v>
      </c>
      <c r="G1497" s="458" t="s">
        <v>205</v>
      </c>
      <c r="H1497" s="458" t="s">
        <v>7179</v>
      </c>
      <c r="I1497" s="458" t="s">
        <v>321</v>
      </c>
      <c r="J1497" s="458" t="s">
        <v>8430</v>
      </c>
      <c r="K1497" s="460" t="s">
        <v>8431</v>
      </c>
      <c r="L1497" s="458">
        <v>2</v>
      </c>
      <c r="M1497" s="458" t="s">
        <v>1489</v>
      </c>
      <c r="N1497" s="461"/>
      <c r="O1497" s="462">
        <v>160</v>
      </c>
      <c r="P1497" s="463"/>
      <c r="Q1497" s="463"/>
      <c r="R1497" s="464"/>
      <c r="S1497" s="458" t="s">
        <v>1501</v>
      </c>
      <c r="T1497" s="486"/>
      <c r="U1497" s="487"/>
      <c r="V1497" s="450"/>
      <c r="W1497" s="450"/>
      <c r="X1497" s="450"/>
      <c r="Y1497" s="450"/>
      <c r="Z1497" s="450"/>
    </row>
    <row r="1498" spans="1:26" x14ac:dyDescent="0.25">
      <c r="A1498" s="458" t="s">
        <v>7184</v>
      </c>
      <c r="B1498" s="458"/>
      <c r="C1498" s="458" t="s">
        <v>1456</v>
      </c>
      <c r="D1498" s="458" t="s">
        <v>8432</v>
      </c>
      <c r="E1498" s="459">
        <v>36945</v>
      </c>
      <c r="F1498" s="459">
        <v>37005</v>
      </c>
      <c r="G1498" s="458" t="s">
        <v>205</v>
      </c>
      <c r="H1498" s="458" t="s">
        <v>7179</v>
      </c>
      <c r="I1498" s="458" t="s">
        <v>321</v>
      </c>
      <c r="J1498" s="458" t="s">
        <v>8433</v>
      </c>
      <c r="K1498" s="460" t="s">
        <v>8434</v>
      </c>
      <c r="L1498" s="458">
        <v>2</v>
      </c>
      <c r="M1498" s="458" t="s">
        <v>1489</v>
      </c>
      <c r="N1498" s="461"/>
      <c r="O1498" s="462">
        <v>160</v>
      </c>
      <c r="P1498" s="463"/>
      <c r="Q1498" s="463"/>
      <c r="R1498" s="464"/>
      <c r="S1498" s="458" t="s">
        <v>1501</v>
      </c>
      <c r="T1498" s="486"/>
      <c r="U1498" s="487"/>
      <c r="V1498" s="450"/>
      <c r="W1498" s="450"/>
      <c r="X1498" s="450"/>
      <c r="Y1498" s="450"/>
      <c r="Z1498" s="450"/>
    </row>
    <row r="1499" spans="1:26" x14ac:dyDescent="0.25">
      <c r="A1499" s="458" t="s">
        <v>7191</v>
      </c>
      <c r="B1499" s="458"/>
      <c r="C1499" s="458" t="s">
        <v>1456</v>
      </c>
      <c r="D1499" s="458" t="s">
        <v>8435</v>
      </c>
      <c r="E1499" s="459">
        <v>36948</v>
      </c>
      <c r="F1499" s="459">
        <v>37005</v>
      </c>
      <c r="G1499" s="458" t="s">
        <v>205</v>
      </c>
      <c r="H1499" s="458" t="s">
        <v>7179</v>
      </c>
      <c r="I1499" s="458" t="s">
        <v>222</v>
      </c>
      <c r="J1499" s="458" t="s">
        <v>8436</v>
      </c>
      <c r="K1499" s="460" t="s">
        <v>8437</v>
      </c>
      <c r="L1499" s="458" t="s">
        <v>625</v>
      </c>
      <c r="M1499" s="458" t="s">
        <v>1489</v>
      </c>
      <c r="N1499" s="466"/>
      <c r="O1499" s="462">
        <v>280</v>
      </c>
      <c r="P1499" s="463"/>
      <c r="Q1499" s="463"/>
      <c r="R1499" s="464"/>
      <c r="S1499" s="458" t="s">
        <v>1501</v>
      </c>
      <c r="T1499" s="486"/>
      <c r="U1499" s="487"/>
      <c r="V1499" s="450"/>
      <c r="W1499" s="450"/>
      <c r="X1499" s="450"/>
      <c r="Y1499" s="450"/>
      <c r="Z1499" s="450"/>
    </row>
    <row r="1500" spans="1:26" x14ac:dyDescent="0.25">
      <c r="A1500" s="458" t="s">
        <v>7187</v>
      </c>
      <c r="B1500" s="458"/>
      <c r="C1500" s="458" t="s">
        <v>1456</v>
      </c>
      <c r="D1500" s="458" t="s">
        <v>8438</v>
      </c>
      <c r="E1500" s="459">
        <v>36948</v>
      </c>
      <c r="F1500" s="459">
        <v>37005</v>
      </c>
      <c r="G1500" s="458" t="s">
        <v>205</v>
      </c>
      <c r="H1500" s="458" t="s">
        <v>7179</v>
      </c>
      <c r="I1500" s="458" t="s">
        <v>7189</v>
      </c>
      <c r="J1500" s="458" t="s">
        <v>63</v>
      </c>
      <c r="K1500" s="460" t="s">
        <v>8439</v>
      </c>
      <c r="L1500" s="458" t="s">
        <v>602</v>
      </c>
      <c r="M1500" s="458" t="s">
        <v>1489</v>
      </c>
      <c r="N1500" s="466"/>
      <c r="O1500" s="462">
        <v>440</v>
      </c>
      <c r="P1500" s="463"/>
      <c r="Q1500" s="463"/>
      <c r="R1500" s="464"/>
      <c r="S1500" s="458" t="s">
        <v>1501</v>
      </c>
      <c r="T1500" s="486"/>
      <c r="U1500" s="487"/>
      <c r="V1500" s="450"/>
      <c r="W1500" s="450"/>
      <c r="X1500" s="450"/>
      <c r="Y1500" s="450"/>
      <c r="Z1500" s="450"/>
    </row>
    <row r="1501" spans="1:26" x14ac:dyDescent="0.25">
      <c r="A1501" s="458" t="s">
        <v>7201</v>
      </c>
      <c r="B1501" s="458"/>
      <c r="C1501" s="458" t="s">
        <v>202</v>
      </c>
      <c r="D1501" s="458" t="s">
        <v>8440</v>
      </c>
      <c r="E1501" s="459">
        <v>36951</v>
      </c>
      <c r="F1501" s="459">
        <v>37019</v>
      </c>
      <c r="G1501" s="458" t="s">
        <v>7203</v>
      </c>
      <c r="H1501" s="458" t="s">
        <v>205</v>
      </c>
      <c r="I1501" s="458" t="s">
        <v>321</v>
      </c>
      <c r="J1501" s="458" t="s">
        <v>8358</v>
      </c>
      <c r="K1501" s="460" t="s">
        <v>8441</v>
      </c>
      <c r="L1501" s="458">
        <v>2</v>
      </c>
      <c r="M1501" s="458" t="s">
        <v>1489</v>
      </c>
      <c r="N1501" s="461"/>
      <c r="O1501" s="462">
        <v>160</v>
      </c>
      <c r="P1501" s="463"/>
      <c r="Q1501" s="463"/>
      <c r="R1501" s="464"/>
      <c r="S1501" s="458" t="s">
        <v>1501</v>
      </c>
      <c r="T1501" s="486"/>
      <c r="U1501" s="487"/>
      <c r="V1501" s="450"/>
      <c r="W1501" s="450"/>
      <c r="X1501" s="450"/>
      <c r="Y1501" s="450"/>
      <c r="Z1501" s="450"/>
    </row>
    <row r="1502" spans="1:26" x14ac:dyDescent="0.25">
      <c r="A1502" s="458" t="s">
        <v>7198</v>
      </c>
      <c r="B1502" s="458"/>
      <c r="C1502" s="458" t="s">
        <v>202</v>
      </c>
      <c r="D1502" s="458" t="s">
        <v>8442</v>
      </c>
      <c r="E1502" s="459">
        <v>36951</v>
      </c>
      <c r="F1502" s="459">
        <v>37019</v>
      </c>
      <c r="G1502" s="458" t="s">
        <v>986</v>
      </c>
      <c r="H1502" s="458" t="s">
        <v>205</v>
      </c>
      <c r="I1502" s="458" t="s">
        <v>321</v>
      </c>
      <c r="J1502" s="458" t="s">
        <v>8358</v>
      </c>
      <c r="K1502" s="460" t="s">
        <v>8443</v>
      </c>
      <c r="L1502" s="458">
        <v>2</v>
      </c>
      <c r="M1502" s="458" t="s">
        <v>1489</v>
      </c>
      <c r="N1502" s="461"/>
      <c r="O1502" s="462">
        <v>160</v>
      </c>
      <c r="P1502" s="463"/>
      <c r="Q1502" s="463"/>
      <c r="R1502" s="464"/>
      <c r="S1502" s="458" t="s">
        <v>1501</v>
      </c>
      <c r="T1502" s="486"/>
      <c r="U1502" s="487"/>
      <c r="V1502" s="450"/>
      <c r="W1502" s="450"/>
      <c r="X1502" s="450"/>
      <c r="Y1502" s="450"/>
      <c r="Z1502" s="450"/>
    </row>
    <row r="1503" spans="1:26" x14ac:dyDescent="0.25">
      <c r="A1503" s="458" t="s">
        <v>7194</v>
      </c>
      <c r="B1503" s="458"/>
      <c r="C1503" s="458" t="s">
        <v>202</v>
      </c>
      <c r="D1503" s="458" t="s">
        <v>8444</v>
      </c>
      <c r="E1503" s="459">
        <v>36951</v>
      </c>
      <c r="F1503" s="459">
        <v>37019</v>
      </c>
      <c r="G1503" s="458" t="s">
        <v>980</v>
      </c>
      <c r="H1503" s="458" t="s">
        <v>205</v>
      </c>
      <c r="I1503" s="458" t="s">
        <v>321</v>
      </c>
      <c r="J1503" s="458" t="s">
        <v>8358</v>
      </c>
      <c r="K1503" s="460" t="s">
        <v>8445</v>
      </c>
      <c r="L1503" s="458">
        <v>2</v>
      </c>
      <c r="M1503" s="458" t="s">
        <v>1489</v>
      </c>
      <c r="N1503" s="461"/>
      <c r="O1503" s="462">
        <v>160</v>
      </c>
      <c r="P1503" s="463"/>
      <c r="Q1503" s="463"/>
      <c r="R1503" s="464"/>
      <c r="S1503" s="458" t="s">
        <v>1501</v>
      </c>
      <c r="T1503" s="486"/>
      <c r="U1503" s="487"/>
      <c r="V1503" s="450"/>
      <c r="W1503" s="450"/>
      <c r="X1503" s="450"/>
      <c r="Y1503" s="450"/>
      <c r="Z1503" s="450"/>
    </row>
    <row r="1504" spans="1:26" x14ac:dyDescent="0.25">
      <c r="A1504" s="458" t="s">
        <v>7216</v>
      </c>
      <c r="B1504" s="458"/>
      <c r="C1504" s="458" t="s">
        <v>1456</v>
      </c>
      <c r="D1504" s="458" t="s">
        <v>8446</v>
      </c>
      <c r="E1504" s="459">
        <v>36990</v>
      </c>
      <c r="F1504" s="459">
        <v>37034</v>
      </c>
      <c r="G1504" s="458" t="s">
        <v>205</v>
      </c>
      <c r="H1504" s="458" t="s">
        <v>7179</v>
      </c>
      <c r="I1504" s="458" t="s">
        <v>321</v>
      </c>
      <c r="J1504" s="458" t="s">
        <v>8447</v>
      </c>
      <c r="K1504" s="460" t="s">
        <v>8448</v>
      </c>
      <c r="L1504" s="458">
        <v>2</v>
      </c>
      <c r="M1504" s="458" t="s">
        <v>1489</v>
      </c>
      <c r="N1504" s="461"/>
      <c r="O1504" s="462">
        <v>160</v>
      </c>
      <c r="P1504" s="463"/>
      <c r="Q1504" s="463"/>
      <c r="R1504" s="464"/>
      <c r="S1504" s="458" t="s">
        <v>1501</v>
      </c>
      <c r="T1504" s="486"/>
      <c r="U1504" s="487"/>
      <c r="V1504" s="450"/>
      <c r="W1504" s="450"/>
      <c r="X1504" s="450"/>
      <c r="Y1504" s="450"/>
      <c r="Z1504" s="450"/>
    </row>
    <row r="1505" spans="1:26" x14ac:dyDescent="0.25">
      <c r="A1505" s="458" t="s">
        <v>7213</v>
      </c>
      <c r="B1505" s="458"/>
      <c r="C1505" s="458" t="s">
        <v>1456</v>
      </c>
      <c r="D1505" s="458" t="s">
        <v>8449</v>
      </c>
      <c r="E1505" s="459">
        <v>37031</v>
      </c>
      <c r="F1505" s="459">
        <v>37034</v>
      </c>
      <c r="G1505" s="458" t="s">
        <v>205</v>
      </c>
      <c r="H1505" s="458" t="s">
        <v>7179</v>
      </c>
      <c r="I1505" s="458" t="s">
        <v>321</v>
      </c>
      <c r="J1505" s="458" t="s">
        <v>8450</v>
      </c>
      <c r="K1505" s="460" t="s">
        <v>8451</v>
      </c>
      <c r="L1505" s="458">
        <v>2</v>
      </c>
      <c r="M1505" s="458" t="s">
        <v>1489</v>
      </c>
      <c r="N1505" s="461"/>
      <c r="O1505" s="462">
        <v>160</v>
      </c>
      <c r="P1505" s="463"/>
      <c r="Q1505" s="463"/>
      <c r="R1505" s="464"/>
      <c r="S1505" s="458" t="s">
        <v>1501</v>
      </c>
      <c r="T1505" s="486"/>
      <c r="U1505" s="487"/>
      <c r="V1505" s="450"/>
      <c r="W1505" s="450"/>
      <c r="X1505" s="450"/>
      <c r="Y1505" s="450"/>
      <c r="Z1505" s="450"/>
    </row>
    <row r="1506" spans="1:26" x14ac:dyDescent="0.25">
      <c r="A1506" s="458" t="s">
        <v>7223</v>
      </c>
      <c r="B1506" s="458"/>
      <c r="C1506" s="458" t="s">
        <v>1456</v>
      </c>
      <c r="D1506" s="458" t="s">
        <v>8452</v>
      </c>
      <c r="E1506" s="459">
        <v>37348</v>
      </c>
      <c r="F1506" s="459">
        <v>37368</v>
      </c>
      <c r="G1506" s="458" t="s">
        <v>4078</v>
      </c>
      <c r="H1506" s="458" t="s">
        <v>8453</v>
      </c>
      <c r="I1506" s="458" t="s">
        <v>1286</v>
      </c>
      <c r="J1506" s="458" t="s">
        <v>63</v>
      </c>
      <c r="K1506" s="460" t="s">
        <v>8454</v>
      </c>
      <c r="L1506" s="458" t="s">
        <v>1287</v>
      </c>
      <c r="M1506" s="458" t="s">
        <v>1489</v>
      </c>
      <c r="N1506" s="461"/>
      <c r="O1506" s="462">
        <v>280</v>
      </c>
      <c r="P1506" s="463"/>
      <c r="Q1506" s="463"/>
      <c r="R1506" s="464"/>
      <c r="S1506" s="458" t="s">
        <v>1501</v>
      </c>
      <c r="T1506" s="486"/>
      <c r="U1506" s="487"/>
      <c r="V1506" s="450"/>
      <c r="W1506" s="450"/>
      <c r="X1506" s="450"/>
      <c r="Y1506" s="450"/>
      <c r="Z1506" s="450"/>
    </row>
    <row r="1507" spans="1:26" x14ac:dyDescent="0.25">
      <c r="A1507" s="458" t="s">
        <v>7265</v>
      </c>
      <c r="B1507" s="458"/>
      <c r="C1507" s="458" t="s">
        <v>202</v>
      </c>
      <c r="D1507" s="458" t="s">
        <v>8455</v>
      </c>
      <c r="E1507" s="459">
        <v>37354</v>
      </c>
      <c r="F1507" s="459">
        <v>37424</v>
      </c>
      <c r="G1507" s="458" t="s">
        <v>8456</v>
      </c>
      <c r="H1507" s="458" t="s">
        <v>7179</v>
      </c>
      <c r="I1507" s="458" t="s">
        <v>7268</v>
      </c>
      <c r="J1507" s="458" t="s">
        <v>8457</v>
      </c>
      <c r="K1507" s="460" t="s">
        <v>8458</v>
      </c>
      <c r="L1507" s="458">
        <v>2</v>
      </c>
      <c r="M1507" s="458" t="s">
        <v>1489</v>
      </c>
      <c r="N1507" s="461"/>
      <c r="O1507" s="462">
        <v>160</v>
      </c>
      <c r="P1507" s="463"/>
      <c r="Q1507" s="463"/>
      <c r="R1507" s="464"/>
      <c r="S1507" s="458" t="s">
        <v>1501</v>
      </c>
      <c r="T1507" s="486"/>
      <c r="U1507" s="487"/>
      <c r="V1507" s="450"/>
      <c r="W1507" s="450"/>
      <c r="X1507" s="450"/>
      <c r="Y1507" s="450"/>
      <c r="Z1507" s="450"/>
    </row>
    <row r="1508" spans="1:26" x14ac:dyDescent="0.25">
      <c r="A1508" s="458" t="s">
        <v>7249</v>
      </c>
      <c r="B1508" s="458"/>
      <c r="C1508" s="458" t="s">
        <v>202</v>
      </c>
      <c r="D1508" s="458" t="s">
        <v>8459</v>
      </c>
      <c r="E1508" s="459">
        <v>37361</v>
      </c>
      <c r="F1508" s="459">
        <v>37389</v>
      </c>
      <c r="G1508" s="458" t="s">
        <v>8460</v>
      </c>
      <c r="H1508" s="458" t="s">
        <v>262</v>
      </c>
      <c r="I1508" s="458" t="s">
        <v>215</v>
      </c>
      <c r="J1508" s="458" t="s">
        <v>8358</v>
      </c>
      <c r="K1508" s="460" t="s">
        <v>8461</v>
      </c>
      <c r="L1508" s="458">
        <v>2</v>
      </c>
      <c r="M1508" s="458" t="s">
        <v>1489</v>
      </c>
      <c r="N1508" s="461"/>
      <c r="O1508" s="462">
        <v>160</v>
      </c>
      <c r="P1508" s="463"/>
      <c r="Q1508" s="463"/>
      <c r="R1508" s="464"/>
      <c r="S1508" s="458" t="s">
        <v>1501</v>
      </c>
      <c r="T1508" s="486"/>
      <c r="U1508" s="487"/>
      <c r="V1508" s="450"/>
      <c r="W1508" s="450"/>
      <c r="X1508" s="450"/>
      <c r="Y1508" s="450"/>
      <c r="Z1508" s="450"/>
    </row>
    <row r="1509" spans="1:26" x14ac:dyDescent="0.25">
      <c r="A1509" s="458" t="s">
        <v>7259</v>
      </c>
      <c r="B1509" s="458"/>
      <c r="C1509" s="458" t="s">
        <v>202</v>
      </c>
      <c r="D1509" s="458" t="s">
        <v>8462</v>
      </c>
      <c r="E1509" s="459">
        <v>37364</v>
      </c>
      <c r="F1509" s="459">
        <v>37410</v>
      </c>
      <c r="G1509" s="458" t="s">
        <v>8463</v>
      </c>
      <c r="H1509" s="458" t="s">
        <v>7179</v>
      </c>
      <c r="I1509" s="458" t="s">
        <v>7263</v>
      </c>
      <c r="J1509" s="458" t="s">
        <v>8457</v>
      </c>
      <c r="K1509" s="460" t="s">
        <v>8464</v>
      </c>
      <c r="L1509" s="458" t="s">
        <v>8465</v>
      </c>
      <c r="M1509" s="458" t="s">
        <v>1489</v>
      </c>
      <c r="N1509" s="461"/>
      <c r="O1509" s="462">
        <v>200</v>
      </c>
      <c r="P1509" s="463"/>
      <c r="Q1509" s="463"/>
      <c r="R1509" s="464"/>
      <c r="S1509" s="458" t="s">
        <v>1501</v>
      </c>
      <c r="T1509" s="486"/>
      <c r="U1509" s="487"/>
      <c r="V1509" s="450"/>
      <c r="W1509" s="450"/>
      <c r="X1509" s="450"/>
      <c r="Y1509" s="450"/>
      <c r="Z1509" s="450"/>
    </row>
    <row r="1510" spans="1:26" x14ac:dyDescent="0.25">
      <c r="A1510" s="458" t="s">
        <v>7252</v>
      </c>
      <c r="B1510" s="458"/>
      <c r="C1510" s="458" t="s">
        <v>202</v>
      </c>
      <c r="D1510" s="458" t="s">
        <v>8466</v>
      </c>
      <c r="E1510" s="459">
        <v>37381</v>
      </c>
      <c r="F1510" s="459">
        <v>37399</v>
      </c>
      <c r="G1510" s="458" t="s">
        <v>8467</v>
      </c>
      <c r="H1510" s="458" t="s">
        <v>262</v>
      </c>
      <c r="I1510" s="458" t="s">
        <v>215</v>
      </c>
      <c r="J1510" s="458" t="s">
        <v>8468</v>
      </c>
      <c r="K1510" s="460" t="s">
        <v>8469</v>
      </c>
      <c r="L1510" s="458">
        <v>2</v>
      </c>
      <c r="M1510" s="458" t="s">
        <v>1489</v>
      </c>
      <c r="N1510" s="461"/>
      <c r="O1510" s="462">
        <v>160</v>
      </c>
      <c r="P1510" s="463"/>
      <c r="Q1510" s="463"/>
      <c r="R1510" s="464"/>
      <c r="S1510" s="458" t="s">
        <v>1501</v>
      </c>
      <c r="T1510" s="486"/>
      <c r="U1510" s="487"/>
      <c r="V1510" s="450"/>
      <c r="W1510" s="450"/>
      <c r="X1510" s="450"/>
      <c r="Y1510" s="450"/>
      <c r="Z1510" s="450"/>
    </row>
    <row r="1511" spans="1:26" x14ac:dyDescent="0.25">
      <c r="A1511" s="458" t="s">
        <v>7236</v>
      </c>
      <c r="B1511" s="458">
        <v>19</v>
      </c>
      <c r="C1511" s="458" t="s">
        <v>202</v>
      </c>
      <c r="D1511" s="458" t="s">
        <v>3097</v>
      </c>
      <c r="E1511" s="459">
        <v>37384</v>
      </c>
      <c r="F1511" s="459">
        <v>37389</v>
      </c>
      <c r="G1511" s="458" t="s">
        <v>8470</v>
      </c>
      <c r="H1511" s="458" t="s">
        <v>119</v>
      </c>
      <c r="I1511" s="458" t="s">
        <v>222</v>
      </c>
      <c r="J1511" s="458" t="s">
        <v>8471</v>
      </c>
      <c r="K1511" s="460" t="s">
        <v>8472</v>
      </c>
      <c r="L1511" s="458" t="s">
        <v>625</v>
      </c>
      <c r="M1511" s="458" t="s">
        <v>1489</v>
      </c>
      <c r="N1511" s="466"/>
      <c r="O1511" s="462">
        <v>280</v>
      </c>
      <c r="P1511" s="463"/>
      <c r="Q1511" s="463"/>
      <c r="R1511" s="464"/>
      <c r="S1511" s="458" t="s">
        <v>1501</v>
      </c>
      <c r="T1511" s="486"/>
      <c r="U1511" s="487"/>
      <c r="V1511" s="450"/>
      <c r="W1511" s="450"/>
      <c r="X1511" s="450"/>
      <c r="Y1511" s="450"/>
      <c r="Z1511" s="450"/>
    </row>
    <row r="1512" spans="1:26" x14ac:dyDescent="0.25">
      <c r="A1512" s="458" t="s">
        <v>7240</v>
      </c>
      <c r="B1512" s="458"/>
      <c r="C1512" s="458" t="s">
        <v>1456</v>
      </c>
      <c r="D1512" s="458" t="s">
        <v>8473</v>
      </c>
      <c r="E1512" s="459">
        <v>37385</v>
      </c>
      <c r="F1512" s="459">
        <v>37389</v>
      </c>
      <c r="G1512" s="458" t="s">
        <v>119</v>
      </c>
      <c r="H1512" s="458" t="s">
        <v>7242</v>
      </c>
      <c r="I1512" s="458" t="s">
        <v>222</v>
      </c>
      <c r="J1512" s="458" t="s">
        <v>8474</v>
      </c>
      <c r="K1512" s="460" t="s">
        <v>8475</v>
      </c>
      <c r="L1512" s="458" t="s">
        <v>625</v>
      </c>
      <c r="M1512" s="458" t="s">
        <v>1489</v>
      </c>
      <c r="N1512" s="466"/>
      <c r="O1512" s="462">
        <v>280</v>
      </c>
      <c r="P1512" s="463"/>
      <c r="Q1512" s="463"/>
      <c r="R1512" s="464"/>
      <c r="S1512" s="458" t="s">
        <v>1501</v>
      </c>
      <c r="T1512" s="486"/>
      <c r="U1512" s="487"/>
      <c r="V1512" s="450"/>
      <c r="W1512" s="450"/>
      <c r="X1512" s="450"/>
      <c r="Y1512" s="450"/>
      <c r="Z1512" s="450"/>
    </row>
    <row r="1513" spans="1:26" x14ac:dyDescent="0.25">
      <c r="A1513" s="458" t="s">
        <v>7273</v>
      </c>
      <c r="B1513" s="458"/>
      <c r="C1513" s="458" t="s">
        <v>202</v>
      </c>
      <c r="D1513" s="458" t="s">
        <v>8476</v>
      </c>
      <c r="E1513" s="459">
        <v>37426</v>
      </c>
      <c r="F1513" s="459">
        <v>37454</v>
      </c>
      <c r="G1513" s="458" t="s">
        <v>869</v>
      </c>
      <c r="H1513" s="458" t="s">
        <v>262</v>
      </c>
      <c r="I1513" s="458" t="s">
        <v>215</v>
      </c>
      <c r="J1513" s="458" t="s">
        <v>8477</v>
      </c>
      <c r="K1513" s="460" t="s">
        <v>8478</v>
      </c>
      <c r="L1513" s="458">
        <v>2</v>
      </c>
      <c r="M1513" s="458" t="s">
        <v>1489</v>
      </c>
      <c r="N1513" s="461"/>
      <c r="O1513" s="462">
        <v>160</v>
      </c>
      <c r="P1513" s="463"/>
      <c r="Q1513" s="463"/>
      <c r="R1513" s="464"/>
      <c r="S1513" s="458" t="s">
        <v>1501</v>
      </c>
      <c r="T1513" s="486"/>
      <c r="U1513" s="487"/>
      <c r="V1513" s="450"/>
      <c r="W1513" s="450"/>
      <c r="X1513" s="450"/>
      <c r="Y1513" s="450"/>
      <c r="Z1513" s="450"/>
    </row>
    <row r="1514" spans="1:26" x14ac:dyDescent="0.25">
      <c r="A1514" s="458" t="s">
        <v>7301</v>
      </c>
      <c r="B1514" s="458"/>
      <c r="C1514" s="458" t="s">
        <v>1642</v>
      </c>
      <c r="D1514" s="458" t="s">
        <v>8479</v>
      </c>
      <c r="E1514" s="459">
        <v>37453</v>
      </c>
      <c r="F1514" s="459">
        <v>37525</v>
      </c>
      <c r="G1514" s="458" t="s">
        <v>306</v>
      </c>
      <c r="H1514" s="458" t="s">
        <v>262</v>
      </c>
      <c r="I1514" s="458" t="s">
        <v>215</v>
      </c>
      <c r="J1514" s="458" t="s">
        <v>8480</v>
      </c>
      <c r="K1514" s="460" t="s">
        <v>8481</v>
      </c>
      <c r="L1514" s="458">
        <v>2</v>
      </c>
      <c r="M1514" s="458" t="s">
        <v>1489</v>
      </c>
      <c r="N1514" s="461"/>
      <c r="O1514" s="462">
        <v>160</v>
      </c>
      <c r="P1514" s="463"/>
      <c r="Q1514" s="463"/>
      <c r="R1514" s="464"/>
      <c r="S1514" s="458" t="s">
        <v>1501</v>
      </c>
      <c r="T1514" s="486"/>
      <c r="U1514" s="487"/>
      <c r="V1514" s="450"/>
      <c r="W1514" s="450"/>
      <c r="X1514" s="450"/>
      <c r="Y1514" s="450"/>
      <c r="Z1514" s="450"/>
    </row>
    <row r="1515" spans="1:26" x14ac:dyDescent="0.25">
      <c r="A1515" s="458" t="s">
        <v>7297</v>
      </c>
      <c r="B1515" s="458"/>
      <c r="C1515" s="458" t="s">
        <v>1642</v>
      </c>
      <c r="D1515" s="458" t="s">
        <v>8482</v>
      </c>
      <c r="E1515" s="459">
        <v>37455</v>
      </c>
      <c r="F1515" s="459">
        <v>37525</v>
      </c>
      <c r="G1515" s="458" t="s">
        <v>1708</v>
      </c>
      <c r="H1515" s="458" t="s">
        <v>262</v>
      </c>
      <c r="I1515" s="458" t="s">
        <v>215</v>
      </c>
      <c r="J1515" s="458" t="s">
        <v>8480</v>
      </c>
      <c r="K1515" s="460" t="s">
        <v>8483</v>
      </c>
      <c r="L1515" s="458">
        <v>2</v>
      </c>
      <c r="M1515" s="458" t="s">
        <v>1489</v>
      </c>
      <c r="N1515" s="461"/>
      <c r="O1515" s="462">
        <v>160</v>
      </c>
      <c r="P1515" s="463"/>
      <c r="Q1515" s="463"/>
      <c r="R1515" s="464"/>
      <c r="S1515" s="458" t="s">
        <v>1501</v>
      </c>
      <c r="T1515" s="486"/>
      <c r="U1515" s="487"/>
      <c r="V1515" s="450"/>
      <c r="W1515" s="450"/>
      <c r="X1515" s="450"/>
      <c r="Y1515" s="450"/>
      <c r="Z1515" s="450"/>
    </row>
    <row r="1516" spans="1:26" x14ac:dyDescent="0.25">
      <c r="A1516" s="458" t="s">
        <v>7294</v>
      </c>
      <c r="B1516" s="458"/>
      <c r="C1516" s="458" t="s">
        <v>1642</v>
      </c>
      <c r="D1516" s="458" t="s">
        <v>8484</v>
      </c>
      <c r="E1516" s="459">
        <v>37459</v>
      </c>
      <c r="F1516" s="459">
        <v>37525</v>
      </c>
      <c r="G1516" s="458" t="s">
        <v>1736</v>
      </c>
      <c r="H1516" s="458" t="s">
        <v>262</v>
      </c>
      <c r="I1516" s="458" t="s">
        <v>215</v>
      </c>
      <c r="J1516" s="458" t="s">
        <v>8480</v>
      </c>
      <c r="K1516" s="460" t="s">
        <v>8485</v>
      </c>
      <c r="L1516" s="458">
        <v>2</v>
      </c>
      <c r="M1516" s="458" t="s">
        <v>1489</v>
      </c>
      <c r="N1516" s="461"/>
      <c r="O1516" s="462">
        <v>160</v>
      </c>
      <c r="P1516" s="463"/>
      <c r="Q1516" s="463"/>
      <c r="R1516" s="464"/>
      <c r="S1516" s="458" t="s">
        <v>1501</v>
      </c>
      <c r="T1516" s="486"/>
      <c r="U1516" s="487"/>
      <c r="V1516" s="450"/>
      <c r="W1516" s="450"/>
      <c r="X1516" s="450"/>
      <c r="Y1516" s="450"/>
      <c r="Z1516" s="450"/>
    </row>
    <row r="1517" spans="1:26" x14ac:dyDescent="0.25">
      <c r="A1517" s="458" t="s">
        <v>7304</v>
      </c>
      <c r="B1517" s="458"/>
      <c r="C1517" s="458" t="s">
        <v>1642</v>
      </c>
      <c r="D1517" s="458" t="s">
        <v>8486</v>
      </c>
      <c r="E1517" s="459">
        <v>37461</v>
      </c>
      <c r="F1517" s="459">
        <v>37525</v>
      </c>
      <c r="G1517" s="458" t="s">
        <v>291</v>
      </c>
      <c r="H1517" s="458" t="s">
        <v>262</v>
      </c>
      <c r="I1517" s="458" t="s">
        <v>215</v>
      </c>
      <c r="J1517" s="458" t="s">
        <v>8480</v>
      </c>
      <c r="K1517" s="460" t="s">
        <v>8487</v>
      </c>
      <c r="L1517" s="458">
        <v>2</v>
      </c>
      <c r="M1517" s="458" t="s">
        <v>1489</v>
      </c>
      <c r="N1517" s="461"/>
      <c r="O1517" s="462">
        <v>160</v>
      </c>
      <c r="P1517" s="463"/>
      <c r="Q1517" s="463"/>
      <c r="R1517" s="464"/>
      <c r="S1517" s="458" t="s">
        <v>1501</v>
      </c>
      <c r="T1517" s="486"/>
      <c r="U1517" s="487"/>
      <c r="V1517" s="450"/>
      <c r="W1517" s="450"/>
      <c r="X1517" s="450"/>
      <c r="Y1517" s="450"/>
      <c r="Z1517" s="450"/>
    </row>
    <row r="1518" spans="1:26" x14ac:dyDescent="0.25">
      <c r="A1518" s="458" t="s">
        <v>7291</v>
      </c>
      <c r="B1518" s="458"/>
      <c r="C1518" s="458" t="s">
        <v>1642</v>
      </c>
      <c r="D1518" s="458" t="s">
        <v>8488</v>
      </c>
      <c r="E1518" s="459">
        <v>37490</v>
      </c>
      <c r="F1518" s="459">
        <v>37525</v>
      </c>
      <c r="G1518" s="458" t="s">
        <v>295</v>
      </c>
      <c r="H1518" s="458" t="s">
        <v>262</v>
      </c>
      <c r="I1518" s="458" t="s">
        <v>215</v>
      </c>
      <c r="J1518" s="458" t="s">
        <v>8480</v>
      </c>
      <c r="K1518" s="460" t="s">
        <v>8489</v>
      </c>
      <c r="L1518" s="458">
        <v>2</v>
      </c>
      <c r="M1518" s="458" t="s">
        <v>1489</v>
      </c>
      <c r="N1518" s="461"/>
      <c r="O1518" s="462">
        <v>160</v>
      </c>
      <c r="P1518" s="463"/>
      <c r="Q1518" s="463"/>
      <c r="R1518" s="464"/>
      <c r="S1518" s="458" t="s">
        <v>1501</v>
      </c>
      <c r="T1518" s="486"/>
      <c r="U1518" s="487"/>
      <c r="V1518" s="450"/>
      <c r="W1518" s="450"/>
      <c r="X1518" s="450"/>
      <c r="Y1518" s="450"/>
      <c r="Z1518" s="450"/>
    </row>
    <row r="1519" spans="1:26" x14ac:dyDescent="0.25">
      <c r="A1519" s="458" t="s">
        <v>1455</v>
      </c>
      <c r="B1519" s="458"/>
      <c r="C1519" s="458" t="s">
        <v>1456</v>
      </c>
      <c r="D1519" s="458" t="s">
        <v>1457</v>
      </c>
      <c r="E1519" s="459">
        <v>37710</v>
      </c>
      <c r="F1519" s="459">
        <v>37715</v>
      </c>
      <c r="G1519" s="458" t="s">
        <v>7327</v>
      </c>
      <c r="H1519" s="458" t="s">
        <v>1458</v>
      </c>
      <c r="I1519" s="458" t="s">
        <v>1256</v>
      </c>
      <c r="J1519" s="458" t="s">
        <v>63</v>
      </c>
      <c r="K1519" s="460" t="s">
        <v>1459</v>
      </c>
      <c r="L1519" s="458" t="s">
        <v>625</v>
      </c>
      <c r="M1519" s="458" t="s">
        <v>1489</v>
      </c>
      <c r="N1519" s="466"/>
      <c r="O1519" s="462">
        <v>280</v>
      </c>
      <c r="P1519" s="463"/>
      <c r="Q1519" s="463"/>
      <c r="R1519" s="464"/>
      <c r="S1519" s="458" t="s">
        <v>1501</v>
      </c>
      <c r="T1519" s="486"/>
      <c r="U1519" s="487"/>
      <c r="V1519" s="450"/>
      <c r="W1519" s="450"/>
      <c r="X1519" s="450"/>
      <c r="Y1519" s="450"/>
      <c r="Z1519" s="450"/>
    </row>
    <row r="1520" spans="1:26" x14ac:dyDescent="0.25">
      <c r="A1520" s="458" t="s">
        <v>1460</v>
      </c>
      <c r="B1520" s="458"/>
      <c r="C1520" s="458" t="s">
        <v>1456</v>
      </c>
      <c r="D1520" s="458" t="s">
        <v>1461</v>
      </c>
      <c r="E1520" s="459">
        <v>37711</v>
      </c>
      <c r="F1520" s="459">
        <v>37715</v>
      </c>
      <c r="G1520" s="458" t="s">
        <v>1458</v>
      </c>
      <c r="H1520" s="458" t="s">
        <v>1462</v>
      </c>
      <c r="I1520" s="458" t="s">
        <v>1256</v>
      </c>
      <c r="J1520" s="458" t="s">
        <v>63</v>
      </c>
      <c r="K1520" s="460" t="s">
        <v>1463</v>
      </c>
      <c r="L1520" s="458" t="s">
        <v>625</v>
      </c>
      <c r="M1520" s="458" t="s">
        <v>1489</v>
      </c>
      <c r="N1520" s="466"/>
      <c r="O1520" s="462">
        <v>280</v>
      </c>
      <c r="P1520" s="463"/>
      <c r="Q1520" s="463"/>
      <c r="R1520" s="464"/>
      <c r="S1520" s="458" t="s">
        <v>1501</v>
      </c>
      <c r="T1520" s="486"/>
      <c r="U1520" s="487"/>
      <c r="V1520" s="450"/>
      <c r="W1520" s="450"/>
      <c r="X1520" s="450"/>
      <c r="Y1520" s="450"/>
      <c r="Z1520" s="450"/>
    </row>
    <row r="1521" spans="1:26" x14ac:dyDescent="0.25">
      <c r="A1521" s="458" t="s">
        <v>1544</v>
      </c>
      <c r="B1521" s="458"/>
      <c r="C1521" s="458" t="s">
        <v>202</v>
      </c>
      <c r="D1521" s="458" t="s">
        <v>235</v>
      </c>
      <c r="E1521" s="459">
        <v>38032</v>
      </c>
      <c r="F1521" s="459">
        <v>38040</v>
      </c>
      <c r="G1521" s="458" t="s">
        <v>1545</v>
      </c>
      <c r="H1521" s="458" t="s">
        <v>237</v>
      </c>
      <c r="I1521" s="458" t="s">
        <v>1537</v>
      </c>
      <c r="J1521" s="458" t="s">
        <v>239</v>
      </c>
      <c r="K1521" s="460" t="s">
        <v>1546</v>
      </c>
      <c r="L1521" s="458" t="s">
        <v>502</v>
      </c>
      <c r="M1521" s="458" t="s">
        <v>1489</v>
      </c>
      <c r="N1521" s="461"/>
      <c r="O1521" s="462">
        <v>640</v>
      </c>
      <c r="P1521" s="463"/>
      <c r="Q1521" s="463"/>
      <c r="R1521" s="464"/>
      <c r="S1521" s="458" t="s">
        <v>1490</v>
      </c>
      <c r="T1521" s="486"/>
      <c r="U1521" s="487"/>
      <c r="V1521" s="450"/>
      <c r="W1521" s="450"/>
      <c r="X1521" s="450"/>
      <c r="Y1521" s="450"/>
      <c r="Z1521" s="450"/>
    </row>
    <row r="1522" spans="1:26" x14ac:dyDescent="0.25">
      <c r="A1522" s="458" t="s">
        <v>1828</v>
      </c>
      <c r="B1522" s="458"/>
      <c r="C1522" s="458" t="s">
        <v>1456</v>
      </c>
      <c r="D1522" s="458" t="s">
        <v>1829</v>
      </c>
      <c r="E1522" s="459">
        <v>38701</v>
      </c>
      <c r="F1522" s="459">
        <v>39833</v>
      </c>
      <c r="G1522" s="458" t="s">
        <v>1750</v>
      </c>
      <c r="H1522" s="458" t="s">
        <v>1762</v>
      </c>
      <c r="I1522" s="458" t="s">
        <v>321</v>
      </c>
      <c r="J1522" s="458" t="s">
        <v>1830</v>
      </c>
      <c r="K1522" s="460" t="s">
        <v>1831</v>
      </c>
      <c r="L1522" s="458">
        <v>2</v>
      </c>
      <c r="M1522" s="458" t="s">
        <v>1489</v>
      </c>
      <c r="N1522" s="461"/>
      <c r="O1522" s="462">
        <v>160</v>
      </c>
      <c r="P1522" s="463"/>
      <c r="Q1522" s="463"/>
      <c r="R1522" s="464"/>
      <c r="S1522" s="458" t="s">
        <v>1501</v>
      </c>
      <c r="T1522" s="486"/>
      <c r="U1522" s="487"/>
      <c r="V1522" s="450"/>
      <c r="W1522" s="450"/>
      <c r="X1522" s="450"/>
      <c r="Y1522" s="450"/>
      <c r="Z1522" s="450"/>
    </row>
    <row r="1523" spans="1:26" x14ac:dyDescent="0.25">
      <c r="A1523" s="458" t="s">
        <v>1876</v>
      </c>
      <c r="B1523" s="458"/>
      <c r="C1523" s="458" t="s">
        <v>1456</v>
      </c>
      <c r="D1523" s="458" t="s">
        <v>1877</v>
      </c>
      <c r="E1523" s="459">
        <v>38760</v>
      </c>
      <c r="F1523" s="459">
        <v>39833</v>
      </c>
      <c r="G1523" s="458" t="s">
        <v>1750</v>
      </c>
      <c r="H1523" s="458" t="s">
        <v>1762</v>
      </c>
      <c r="I1523" s="458" t="s">
        <v>1878</v>
      </c>
      <c r="J1523" s="458" t="s">
        <v>1879</v>
      </c>
      <c r="K1523" s="460" t="s">
        <v>1880</v>
      </c>
      <c r="L1523" s="458">
        <v>5</v>
      </c>
      <c r="M1523" s="458" t="s">
        <v>1489</v>
      </c>
      <c r="N1523" s="461"/>
      <c r="O1523" s="462">
        <v>120</v>
      </c>
      <c r="P1523" s="463"/>
      <c r="Q1523" s="463"/>
      <c r="R1523" s="464"/>
      <c r="S1523" s="458" t="s">
        <v>1501</v>
      </c>
      <c r="T1523" s="486"/>
      <c r="U1523" s="487"/>
      <c r="V1523" s="450"/>
      <c r="W1523" s="450"/>
      <c r="X1523" s="450"/>
      <c r="Y1523" s="450"/>
      <c r="Z1523" s="450"/>
    </row>
    <row r="1524" spans="1:26" x14ac:dyDescent="0.25">
      <c r="A1524" s="458" t="s">
        <v>1906</v>
      </c>
      <c r="B1524" s="458"/>
      <c r="C1524" s="458" t="s">
        <v>1907</v>
      </c>
      <c r="D1524" s="458" t="s">
        <v>1908</v>
      </c>
      <c r="E1524" s="459">
        <v>38861</v>
      </c>
      <c r="F1524" s="459">
        <v>39162</v>
      </c>
      <c r="G1524" s="458" t="s">
        <v>1909</v>
      </c>
      <c r="H1524" s="458" t="s">
        <v>1910</v>
      </c>
      <c r="I1524" s="458" t="s">
        <v>1911</v>
      </c>
      <c r="J1524" s="458" t="s">
        <v>1912</v>
      </c>
      <c r="K1524" s="460" t="s">
        <v>1913</v>
      </c>
      <c r="L1524" s="458" t="s">
        <v>602</v>
      </c>
      <c r="M1524" s="458" t="s">
        <v>1489</v>
      </c>
      <c r="N1524" s="466"/>
      <c r="O1524" s="462">
        <v>440</v>
      </c>
      <c r="P1524" s="463"/>
      <c r="Q1524" s="463"/>
      <c r="R1524" s="464"/>
      <c r="S1524" s="458" t="s">
        <v>1501</v>
      </c>
      <c r="T1524" s="486"/>
      <c r="U1524" s="487"/>
      <c r="V1524" s="450"/>
      <c r="W1524" s="450"/>
      <c r="X1524" s="450"/>
      <c r="Y1524" s="450"/>
      <c r="Z1524" s="450"/>
    </row>
    <row r="1525" spans="1:26" x14ac:dyDescent="0.25">
      <c r="A1525" s="458" t="s">
        <v>1978</v>
      </c>
      <c r="B1525" s="458">
        <v>40</v>
      </c>
      <c r="C1525" s="458" t="s">
        <v>1979</v>
      </c>
      <c r="D1525" s="458" t="s">
        <v>1936</v>
      </c>
      <c r="E1525" s="459">
        <v>39336</v>
      </c>
      <c r="F1525" s="459">
        <v>39336</v>
      </c>
      <c r="G1525" s="458" t="s">
        <v>1980</v>
      </c>
      <c r="H1525" s="458" t="s">
        <v>1981</v>
      </c>
      <c r="I1525" s="458" t="s">
        <v>1982</v>
      </c>
      <c r="J1525" s="458" t="s">
        <v>63</v>
      </c>
      <c r="K1525" s="460" t="s">
        <v>1983</v>
      </c>
      <c r="L1525" s="458" t="s">
        <v>1870</v>
      </c>
      <c r="M1525" s="458" t="s">
        <v>1489</v>
      </c>
      <c r="N1525" s="466"/>
      <c r="O1525" s="462">
        <v>400</v>
      </c>
      <c r="P1525" s="463"/>
      <c r="Q1525" s="463"/>
      <c r="R1525" s="464"/>
      <c r="S1525" s="458" t="s">
        <v>1501</v>
      </c>
      <c r="T1525" s="488" t="s">
        <v>641</v>
      </c>
      <c r="U1525" s="488" t="s">
        <v>1984</v>
      </c>
      <c r="V1525" s="450"/>
      <c r="W1525" s="450"/>
      <c r="X1525" s="450"/>
      <c r="Y1525" s="450"/>
      <c r="Z1525" s="450"/>
    </row>
    <row r="1526" spans="1:26" x14ac:dyDescent="0.25">
      <c r="A1526" s="458" t="s">
        <v>1998</v>
      </c>
      <c r="B1526" s="458"/>
      <c r="C1526" s="458" t="s">
        <v>1920</v>
      </c>
      <c r="D1526" s="458" t="s">
        <v>1999</v>
      </c>
      <c r="E1526" s="459">
        <v>39756</v>
      </c>
      <c r="F1526" s="459">
        <v>39770</v>
      </c>
      <c r="G1526" s="458" t="s">
        <v>2000</v>
      </c>
      <c r="H1526" s="458" t="s">
        <v>102</v>
      </c>
      <c r="I1526" s="458" t="s">
        <v>579</v>
      </c>
      <c r="J1526" s="458" t="s">
        <v>2001</v>
      </c>
      <c r="K1526" s="460" t="s">
        <v>2002</v>
      </c>
      <c r="L1526" s="458">
        <v>5</v>
      </c>
      <c r="M1526" s="458" t="s">
        <v>1489</v>
      </c>
      <c r="N1526" s="461"/>
      <c r="O1526" s="462">
        <v>120</v>
      </c>
      <c r="P1526" s="463"/>
      <c r="Q1526" s="463"/>
      <c r="R1526" s="464"/>
      <c r="S1526" s="458" t="s">
        <v>2003</v>
      </c>
      <c r="T1526" s="486"/>
      <c r="U1526" s="487"/>
      <c r="V1526" s="450"/>
      <c r="W1526" s="450"/>
      <c r="X1526" s="450"/>
      <c r="Y1526" s="450"/>
      <c r="Z1526" s="450"/>
    </row>
    <row r="1527" spans="1:26" x14ac:dyDescent="0.25">
      <c r="A1527" s="458" t="s">
        <v>2004</v>
      </c>
      <c r="B1527" s="458"/>
      <c r="C1527" s="458" t="s">
        <v>1456</v>
      </c>
      <c r="D1527" s="458" t="s">
        <v>2005</v>
      </c>
      <c r="E1527" s="459">
        <v>39815</v>
      </c>
      <c r="F1527" s="459">
        <v>39828</v>
      </c>
      <c r="G1527" s="458" t="s">
        <v>2006</v>
      </c>
      <c r="H1527" s="458" t="s">
        <v>2007</v>
      </c>
      <c r="I1527" s="458" t="s">
        <v>1256</v>
      </c>
      <c r="J1527" s="458" t="s">
        <v>63</v>
      </c>
      <c r="K1527" s="460" t="s">
        <v>2008</v>
      </c>
      <c r="L1527" s="458" t="s">
        <v>625</v>
      </c>
      <c r="M1527" s="458" t="s">
        <v>1489</v>
      </c>
      <c r="N1527" s="466"/>
      <c r="O1527" s="462">
        <v>280</v>
      </c>
      <c r="P1527" s="463"/>
      <c r="Q1527" s="463"/>
      <c r="R1527" s="464"/>
      <c r="S1527" s="458" t="s">
        <v>1501</v>
      </c>
      <c r="T1527" s="486"/>
      <c r="U1527" s="487"/>
      <c r="V1527" s="450"/>
      <c r="W1527" s="450"/>
      <c r="X1527" s="450"/>
      <c r="Y1527" s="450"/>
      <c r="Z1527" s="450"/>
    </row>
    <row r="1528" spans="1:26" x14ac:dyDescent="0.25">
      <c r="A1528" s="458" t="s">
        <v>2045</v>
      </c>
      <c r="B1528" s="458"/>
      <c r="C1528" s="458" t="s">
        <v>1456</v>
      </c>
      <c r="D1528" s="458" t="s">
        <v>2046</v>
      </c>
      <c r="E1528" s="459">
        <v>40338</v>
      </c>
      <c r="F1528" s="459">
        <v>40345</v>
      </c>
      <c r="G1528" s="458" t="s">
        <v>2047</v>
      </c>
      <c r="H1528" s="458" t="s">
        <v>2048</v>
      </c>
      <c r="I1528" s="458" t="s">
        <v>883</v>
      </c>
      <c r="J1528" s="458" t="s">
        <v>2049</v>
      </c>
      <c r="K1528" s="460" t="s">
        <v>2050</v>
      </c>
      <c r="L1528" s="458">
        <v>4</v>
      </c>
      <c r="M1528" s="458" t="s">
        <v>1489</v>
      </c>
      <c r="N1528" s="461"/>
      <c r="O1528" s="462">
        <v>80</v>
      </c>
      <c r="P1528" s="463"/>
      <c r="Q1528" s="463"/>
      <c r="R1528" s="464"/>
      <c r="S1528" s="458" t="s">
        <v>1501</v>
      </c>
      <c r="T1528" s="486"/>
      <c r="U1528" s="487"/>
      <c r="V1528" s="450"/>
      <c r="W1528" s="450"/>
      <c r="X1528" s="450"/>
      <c r="Y1528" s="450"/>
      <c r="Z1528" s="450"/>
    </row>
    <row r="1529" spans="1:26" x14ac:dyDescent="0.25">
      <c r="A1529" s="458" t="s">
        <v>2051</v>
      </c>
      <c r="B1529" s="458"/>
      <c r="C1529" s="458" t="s">
        <v>1456</v>
      </c>
      <c r="D1529" s="458" t="s">
        <v>2052</v>
      </c>
      <c r="E1529" s="459">
        <v>40338</v>
      </c>
      <c r="F1529" s="459">
        <v>40345</v>
      </c>
      <c r="G1529" s="458" t="s">
        <v>2053</v>
      </c>
      <c r="H1529" s="458" t="s">
        <v>2054</v>
      </c>
      <c r="I1529" s="458" t="s">
        <v>883</v>
      </c>
      <c r="J1529" s="458" t="s">
        <v>2049</v>
      </c>
      <c r="K1529" s="460" t="s">
        <v>2055</v>
      </c>
      <c r="L1529" s="458">
        <v>4</v>
      </c>
      <c r="M1529" s="458" t="s">
        <v>1489</v>
      </c>
      <c r="N1529" s="461"/>
      <c r="O1529" s="462">
        <v>80</v>
      </c>
      <c r="P1529" s="463"/>
      <c r="Q1529" s="463"/>
      <c r="R1529" s="464"/>
      <c r="S1529" s="458" t="s">
        <v>1501</v>
      </c>
      <c r="T1529" s="486"/>
      <c r="U1529" s="487"/>
      <c r="V1529" s="450"/>
      <c r="W1529" s="450"/>
      <c r="X1529" s="450"/>
      <c r="Y1529" s="450"/>
      <c r="Z1529" s="450"/>
    </row>
    <row r="1530" spans="1:26" x14ac:dyDescent="0.25">
      <c r="A1530" s="458" t="s">
        <v>2173</v>
      </c>
      <c r="B1530" s="458"/>
      <c r="C1530" s="458" t="s">
        <v>1907</v>
      </c>
      <c r="D1530" s="458" t="s">
        <v>2174</v>
      </c>
      <c r="E1530" s="459">
        <v>41074</v>
      </c>
      <c r="F1530" s="459">
        <v>41173</v>
      </c>
      <c r="G1530" s="458" t="s">
        <v>2175</v>
      </c>
      <c r="H1530" s="458" t="s">
        <v>2176</v>
      </c>
      <c r="I1530" s="458" t="s">
        <v>2177</v>
      </c>
      <c r="J1530" s="458" t="s">
        <v>1912</v>
      </c>
      <c r="K1530" s="460" t="s">
        <v>2178</v>
      </c>
      <c r="L1530" s="458">
        <v>5</v>
      </c>
      <c r="M1530" s="458" t="s">
        <v>1489</v>
      </c>
      <c r="N1530" s="461"/>
      <c r="O1530" s="462">
        <v>120</v>
      </c>
      <c r="P1530" s="463"/>
      <c r="Q1530" s="463"/>
      <c r="R1530" s="464"/>
      <c r="S1530" s="458" t="s">
        <v>1501</v>
      </c>
      <c r="T1530" s="486"/>
      <c r="U1530" s="487"/>
      <c r="V1530" s="450"/>
      <c r="W1530" s="450"/>
      <c r="X1530" s="450"/>
      <c r="Y1530" s="450"/>
      <c r="Z1530" s="450"/>
    </row>
    <row r="1531" spans="1:26" x14ac:dyDescent="0.25">
      <c r="A1531" s="458" t="s">
        <v>2183</v>
      </c>
      <c r="B1531" s="458"/>
      <c r="C1531" s="458" t="s">
        <v>1907</v>
      </c>
      <c r="D1531" s="458" t="s">
        <v>2184</v>
      </c>
      <c r="E1531" s="459">
        <v>41215</v>
      </c>
      <c r="F1531" s="459">
        <v>41227</v>
      </c>
      <c r="G1531" s="458" t="s">
        <v>1549</v>
      </c>
      <c r="H1531" s="458" t="s">
        <v>2185</v>
      </c>
      <c r="I1531" s="458" t="s">
        <v>2186</v>
      </c>
      <c r="J1531" s="458" t="s">
        <v>1912</v>
      </c>
      <c r="K1531" s="460" t="s">
        <v>2187</v>
      </c>
      <c r="L1531" s="458">
        <v>5</v>
      </c>
      <c r="M1531" s="458" t="s">
        <v>1489</v>
      </c>
      <c r="N1531" s="461"/>
      <c r="O1531" s="462">
        <v>120</v>
      </c>
      <c r="P1531" s="463"/>
      <c r="Q1531" s="463"/>
      <c r="R1531" s="464"/>
      <c r="S1531" s="458" t="s">
        <v>1501</v>
      </c>
      <c r="T1531" s="486"/>
      <c r="U1531" s="487"/>
      <c r="V1531" s="450"/>
      <c r="W1531" s="450"/>
      <c r="X1531" s="450"/>
      <c r="Y1531" s="450"/>
      <c r="Z1531" s="450"/>
    </row>
    <row r="1532" spans="1:26" x14ac:dyDescent="0.25">
      <c r="A1532" s="458" t="s">
        <v>2210</v>
      </c>
      <c r="B1532" s="458"/>
      <c r="C1532" s="458" t="s">
        <v>2189</v>
      </c>
      <c r="D1532" s="458" t="s">
        <v>2211</v>
      </c>
      <c r="E1532" s="459">
        <v>41404</v>
      </c>
      <c r="F1532" s="459">
        <v>41422</v>
      </c>
      <c r="G1532" s="458" t="s">
        <v>361</v>
      </c>
      <c r="H1532" s="458" t="s">
        <v>2212</v>
      </c>
      <c r="I1532" s="458" t="s">
        <v>569</v>
      </c>
      <c r="J1532" s="458" t="s">
        <v>2213</v>
      </c>
      <c r="K1532" s="460" t="s">
        <v>2214</v>
      </c>
      <c r="L1532" s="458" t="s">
        <v>502</v>
      </c>
      <c r="M1532" s="458" t="s">
        <v>1489</v>
      </c>
      <c r="N1532" s="461"/>
      <c r="O1532" s="462">
        <v>640</v>
      </c>
      <c r="P1532" s="463"/>
      <c r="Q1532" s="463"/>
      <c r="R1532" s="464"/>
      <c r="S1532" s="458" t="s">
        <v>1490</v>
      </c>
      <c r="T1532" s="486"/>
      <c r="U1532" s="487"/>
      <c r="V1532" s="450"/>
      <c r="W1532" s="450"/>
      <c r="X1532" s="450"/>
      <c r="Y1532" s="450"/>
      <c r="Z1532" s="450"/>
    </row>
    <row r="1533" spans="1:26" x14ac:dyDescent="0.25">
      <c r="A1533" s="458" t="s">
        <v>2219</v>
      </c>
      <c r="B1533" s="458"/>
      <c r="C1533" s="458" t="s">
        <v>1907</v>
      </c>
      <c r="D1533" s="458" t="s">
        <v>2220</v>
      </c>
      <c r="E1533" s="459">
        <v>41474</v>
      </c>
      <c r="F1533" s="459">
        <v>41488</v>
      </c>
      <c r="G1533" s="458" t="s">
        <v>1910</v>
      </c>
      <c r="H1533" s="458" t="s">
        <v>2221</v>
      </c>
      <c r="I1533" s="458" t="s">
        <v>569</v>
      </c>
      <c r="J1533" s="458" t="s">
        <v>1912</v>
      </c>
      <c r="K1533" s="460" t="s">
        <v>2222</v>
      </c>
      <c r="L1533" s="458" t="s">
        <v>502</v>
      </c>
      <c r="M1533" s="458" t="s">
        <v>1489</v>
      </c>
      <c r="N1533" s="461"/>
      <c r="O1533" s="462">
        <v>640</v>
      </c>
      <c r="P1533" s="463"/>
      <c r="Q1533" s="463"/>
      <c r="R1533" s="464"/>
      <c r="S1533" s="458" t="s">
        <v>1490</v>
      </c>
      <c r="T1533" s="486"/>
      <c r="U1533" s="487"/>
      <c r="V1533" s="450"/>
      <c r="W1533" s="450"/>
      <c r="X1533" s="450"/>
      <c r="Y1533" s="450"/>
      <c r="Z1533" s="450"/>
    </row>
    <row r="1534" spans="1:26" x14ac:dyDescent="0.25">
      <c r="A1534" s="458" t="s">
        <v>2246</v>
      </c>
      <c r="B1534" s="458"/>
      <c r="C1534" s="458" t="s">
        <v>1456</v>
      </c>
      <c r="D1534" s="458" t="s">
        <v>2247</v>
      </c>
      <c r="E1534" s="459">
        <v>41543</v>
      </c>
      <c r="F1534" s="459">
        <v>41599</v>
      </c>
      <c r="G1534" s="458" t="s">
        <v>262</v>
      </c>
      <c r="H1534" s="458" t="s">
        <v>2248</v>
      </c>
      <c r="I1534" s="458" t="s">
        <v>569</v>
      </c>
      <c r="J1534" s="458" t="s">
        <v>746</v>
      </c>
      <c r="K1534" s="460" t="s">
        <v>2249</v>
      </c>
      <c r="L1534" s="458" t="s">
        <v>502</v>
      </c>
      <c r="M1534" s="458" t="s">
        <v>1489</v>
      </c>
      <c r="N1534" s="461"/>
      <c r="O1534" s="462">
        <v>640</v>
      </c>
      <c r="P1534" s="463"/>
      <c r="Q1534" s="463"/>
      <c r="R1534" s="464"/>
      <c r="S1534" s="458" t="s">
        <v>1490</v>
      </c>
      <c r="T1534" s="486"/>
      <c r="U1534" s="487"/>
      <c r="V1534" s="450"/>
      <c r="W1534" s="450"/>
      <c r="X1534" s="450"/>
      <c r="Y1534" s="450"/>
      <c r="Z1534" s="450"/>
    </row>
    <row r="1535" spans="1:26" x14ac:dyDescent="0.25">
      <c r="A1535" s="458" t="s">
        <v>2284</v>
      </c>
      <c r="B1535" s="458"/>
      <c r="C1535" s="458" t="s">
        <v>1456</v>
      </c>
      <c r="D1535" s="458" t="s">
        <v>2285</v>
      </c>
      <c r="E1535" s="459">
        <v>41821</v>
      </c>
      <c r="F1535" s="459">
        <v>41907</v>
      </c>
      <c r="G1535" s="458" t="s">
        <v>2286</v>
      </c>
      <c r="H1535" s="458" t="s">
        <v>2287</v>
      </c>
      <c r="I1535" s="458" t="s">
        <v>569</v>
      </c>
      <c r="J1535" s="458" t="s">
        <v>746</v>
      </c>
      <c r="K1535" s="460" t="s">
        <v>2288</v>
      </c>
      <c r="L1535" s="458" t="s">
        <v>502</v>
      </c>
      <c r="M1535" s="458" t="s">
        <v>1489</v>
      </c>
      <c r="N1535" s="461"/>
      <c r="O1535" s="462">
        <v>640</v>
      </c>
      <c r="P1535" s="463"/>
      <c r="Q1535" s="463"/>
      <c r="R1535" s="464"/>
      <c r="S1535" s="458" t="s">
        <v>1490</v>
      </c>
      <c r="T1535" s="486"/>
      <c r="U1535" s="487"/>
      <c r="V1535" s="450"/>
      <c r="W1535" s="450"/>
      <c r="X1535" s="450"/>
      <c r="Y1535" s="450"/>
      <c r="Z1535" s="450"/>
    </row>
    <row r="1536" spans="1:26" x14ac:dyDescent="0.25">
      <c r="A1536" s="458" t="s">
        <v>2312</v>
      </c>
      <c r="B1536" s="458"/>
      <c r="C1536" s="458" t="s">
        <v>1456</v>
      </c>
      <c r="D1536" s="458" t="s">
        <v>2313</v>
      </c>
      <c r="E1536" s="459">
        <v>41988</v>
      </c>
      <c r="F1536" s="459">
        <v>42011</v>
      </c>
      <c r="G1536" s="458" t="s">
        <v>8490</v>
      </c>
      <c r="H1536" s="458" t="s">
        <v>8114</v>
      </c>
      <c r="I1536" s="458" t="s">
        <v>569</v>
      </c>
      <c r="J1536" s="458" t="s">
        <v>746</v>
      </c>
      <c r="K1536" s="460" t="s">
        <v>2316</v>
      </c>
      <c r="L1536" s="458" t="s">
        <v>502</v>
      </c>
      <c r="M1536" s="458" t="s">
        <v>1489</v>
      </c>
      <c r="N1536" s="461"/>
      <c r="O1536" s="462">
        <v>640</v>
      </c>
      <c r="P1536" s="463"/>
      <c r="Q1536" s="463"/>
      <c r="R1536" s="464"/>
      <c r="S1536" s="458" t="s">
        <v>1490</v>
      </c>
      <c r="T1536" s="486"/>
      <c r="U1536" s="487"/>
      <c r="V1536" s="450"/>
      <c r="W1536" s="450"/>
      <c r="X1536" s="450"/>
      <c r="Y1536" s="450"/>
      <c r="Z1536" s="450"/>
    </row>
    <row r="1537" spans="1:26" x14ac:dyDescent="0.25">
      <c r="A1537" s="458" t="s">
        <v>2321</v>
      </c>
      <c r="B1537" s="458"/>
      <c r="C1537" s="458" t="s">
        <v>2029</v>
      </c>
      <c r="D1537" s="458" t="s">
        <v>2322</v>
      </c>
      <c r="E1537" s="459">
        <v>42111</v>
      </c>
      <c r="F1537" s="459">
        <v>42115</v>
      </c>
      <c r="G1537" s="458" t="s">
        <v>306</v>
      </c>
      <c r="H1537" s="458" t="s">
        <v>102</v>
      </c>
      <c r="I1537" s="458" t="s">
        <v>215</v>
      </c>
      <c r="J1537" s="458" t="s">
        <v>746</v>
      </c>
      <c r="K1537" s="460" t="s">
        <v>2325</v>
      </c>
      <c r="L1537" s="458">
        <v>2</v>
      </c>
      <c r="M1537" s="458" t="s">
        <v>1489</v>
      </c>
      <c r="N1537" s="461"/>
      <c r="O1537" s="462">
        <v>160</v>
      </c>
      <c r="P1537" s="463"/>
      <c r="Q1537" s="463"/>
      <c r="R1537" s="464"/>
      <c r="S1537" s="458" t="s">
        <v>1501</v>
      </c>
      <c r="T1537" s="486" t="s">
        <v>467</v>
      </c>
      <c r="U1537" s="487" t="s">
        <v>504</v>
      </c>
      <c r="V1537" s="450"/>
      <c r="W1537" s="450"/>
      <c r="X1537" s="450"/>
      <c r="Y1537" s="450"/>
      <c r="Z1537" s="450"/>
    </row>
    <row r="1538" spans="1:26" x14ac:dyDescent="0.25">
      <c r="A1538" s="458" t="s">
        <v>2326</v>
      </c>
      <c r="B1538" s="458"/>
      <c r="C1538" s="458" t="s">
        <v>1456</v>
      </c>
      <c r="D1538" s="458" t="s">
        <v>2327</v>
      </c>
      <c r="E1538" s="459">
        <v>42129</v>
      </c>
      <c r="F1538" s="459">
        <v>42139</v>
      </c>
      <c r="G1538" s="458" t="s">
        <v>2328</v>
      </c>
      <c r="H1538" s="458" t="s">
        <v>8126</v>
      </c>
      <c r="I1538" s="458" t="s">
        <v>569</v>
      </c>
      <c r="J1538" s="458" t="s">
        <v>746</v>
      </c>
      <c r="K1538" s="460" t="s">
        <v>2331</v>
      </c>
      <c r="L1538" s="458" t="s">
        <v>502</v>
      </c>
      <c r="M1538" s="458" t="s">
        <v>1489</v>
      </c>
      <c r="N1538" s="461"/>
      <c r="O1538" s="462">
        <v>640</v>
      </c>
      <c r="P1538" s="463"/>
      <c r="Q1538" s="463"/>
      <c r="R1538" s="464"/>
      <c r="S1538" s="458" t="s">
        <v>1490</v>
      </c>
      <c r="T1538" s="486"/>
      <c r="U1538" s="487"/>
      <c r="V1538" s="450"/>
      <c r="W1538" s="450"/>
      <c r="X1538" s="450"/>
      <c r="Y1538" s="450"/>
      <c r="Z1538" s="450"/>
    </row>
    <row r="1539" spans="1:26" x14ac:dyDescent="0.25">
      <c r="A1539" s="458" t="s">
        <v>2332</v>
      </c>
      <c r="B1539" s="458"/>
      <c r="C1539" s="458" t="s">
        <v>2189</v>
      </c>
      <c r="D1539" s="458" t="s">
        <v>2333</v>
      </c>
      <c r="E1539" s="459">
        <v>42199</v>
      </c>
      <c r="F1539" s="459">
        <v>42207</v>
      </c>
      <c r="G1539" s="458" t="s">
        <v>2334</v>
      </c>
      <c r="H1539" s="458" t="s">
        <v>2335</v>
      </c>
      <c r="I1539" s="458" t="s">
        <v>569</v>
      </c>
      <c r="J1539" s="458" t="s">
        <v>746</v>
      </c>
      <c r="K1539" s="460" t="s">
        <v>2337</v>
      </c>
      <c r="L1539" s="458" t="s">
        <v>502</v>
      </c>
      <c r="M1539" s="458" t="s">
        <v>1489</v>
      </c>
      <c r="N1539" s="461"/>
      <c r="O1539" s="462">
        <v>640</v>
      </c>
      <c r="P1539" s="463"/>
      <c r="Q1539" s="463"/>
      <c r="R1539" s="464"/>
      <c r="S1539" s="458" t="s">
        <v>1490</v>
      </c>
      <c r="T1539" s="486"/>
      <c r="U1539" s="487"/>
      <c r="V1539" s="450"/>
      <c r="W1539" s="450"/>
      <c r="X1539" s="450"/>
      <c r="Y1539" s="450"/>
      <c r="Z1539" s="450"/>
    </row>
    <row r="1540" spans="1:26" x14ac:dyDescent="0.25">
      <c r="A1540" s="458" t="s">
        <v>2338</v>
      </c>
      <c r="B1540" s="458"/>
      <c r="C1540" s="458" t="s">
        <v>2189</v>
      </c>
      <c r="D1540" s="458" t="s">
        <v>2339</v>
      </c>
      <c r="E1540" s="459">
        <v>42199</v>
      </c>
      <c r="F1540" s="459">
        <v>42207</v>
      </c>
      <c r="G1540" s="458" t="s">
        <v>2340</v>
      </c>
      <c r="H1540" s="458" t="s">
        <v>2341</v>
      </c>
      <c r="I1540" s="458" t="s">
        <v>569</v>
      </c>
      <c r="J1540" s="458" t="s">
        <v>746</v>
      </c>
      <c r="K1540" s="460" t="s">
        <v>2342</v>
      </c>
      <c r="L1540" s="458" t="s">
        <v>502</v>
      </c>
      <c r="M1540" s="458" t="s">
        <v>1489</v>
      </c>
      <c r="N1540" s="461"/>
      <c r="O1540" s="462">
        <v>640</v>
      </c>
      <c r="P1540" s="463"/>
      <c r="Q1540" s="463"/>
      <c r="R1540" s="464"/>
      <c r="S1540" s="458" t="s">
        <v>1490</v>
      </c>
      <c r="T1540" s="486"/>
      <c r="U1540" s="487"/>
      <c r="V1540" s="450"/>
      <c r="W1540" s="450"/>
      <c r="X1540" s="450"/>
      <c r="Y1540" s="450"/>
      <c r="Z1540" s="450"/>
    </row>
    <row r="1541" spans="1:26" x14ac:dyDescent="0.25">
      <c r="A1541" s="458" t="s">
        <v>8260</v>
      </c>
      <c r="B1541" s="458"/>
      <c r="C1541" s="458" t="s">
        <v>1456</v>
      </c>
      <c r="D1541" s="458" t="s">
        <v>2502</v>
      </c>
      <c r="E1541" s="459">
        <v>44440</v>
      </c>
      <c r="F1541" s="459">
        <v>44476</v>
      </c>
      <c r="G1541" s="458" t="s">
        <v>2503</v>
      </c>
      <c r="H1541" s="458" t="s">
        <v>8491</v>
      </c>
      <c r="I1541" s="458" t="s">
        <v>569</v>
      </c>
      <c r="J1541" s="458" t="s">
        <v>746</v>
      </c>
      <c r="K1541" s="460" t="s">
        <v>8492</v>
      </c>
      <c r="L1541" s="458" t="s">
        <v>502</v>
      </c>
      <c r="M1541" s="458" t="s">
        <v>1489</v>
      </c>
      <c r="N1541" s="461"/>
      <c r="O1541" s="462">
        <v>640</v>
      </c>
      <c r="P1541" s="463"/>
      <c r="Q1541" s="463"/>
      <c r="R1541" s="464"/>
      <c r="S1541" s="458" t="s">
        <v>1490</v>
      </c>
      <c r="T1541" s="486"/>
      <c r="U1541" s="487"/>
      <c r="V1541" s="450"/>
      <c r="W1541" s="450"/>
      <c r="X1541" s="450"/>
      <c r="Y1541" s="450"/>
      <c r="Z1541" s="450"/>
    </row>
    <row r="1542" spans="1:26" x14ac:dyDescent="0.25">
      <c r="A1542" s="458" t="s">
        <v>8264</v>
      </c>
      <c r="B1542" s="458"/>
      <c r="C1542" s="458" t="s">
        <v>1456</v>
      </c>
      <c r="D1542" s="458" t="s">
        <v>8493</v>
      </c>
      <c r="E1542" s="459">
        <v>44530</v>
      </c>
      <c r="F1542" s="459">
        <v>44543</v>
      </c>
      <c r="G1542" s="458" t="s">
        <v>2503</v>
      </c>
      <c r="H1542" s="458" t="s">
        <v>8267</v>
      </c>
      <c r="I1542" s="458" t="s">
        <v>569</v>
      </c>
      <c r="J1542" s="458" t="s">
        <v>746</v>
      </c>
      <c r="K1542" s="460" t="s">
        <v>8494</v>
      </c>
      <c r="L1542" s="458" t="s">
        <v>502</v>
      </c>
      <c r="M1542" s="458" t="s">
        <v>1489</v>
      </c>
      <c r="N1542" s="461"/>
      <c r="O1542" s="462">
        <v>640</v>
      </c>
      <c r="P1542" s="463"/>
      <c r="Q1542" s="463"/>
      <c r="R1542" s="464"/>
      <c r="S1542" s="458" t="s">
        <v>1490</v>
      </c>
      <c r="T1542" s="486"/>
      <c r="U1542" s="487"/>
      <c r="V1542" s="450"/>
      <c r="W1542" s="450"/>
      <c r="X1542" s="450"/>
      <c r="Y1542" s="450"/>
      <c r="Z1542" s="450"/>
    </row>
    <row r="1543" spans="1:26" x14ac:dyDescent="0.25">
      <c r="A1543" s="458" t="s">
        <v>2511</v>
      </c>
      <c r="B1543" s="458"/>
      <c r="C1543" s="458" t="s">
        <v>1456</v>
      </c>
      <c r="D1543" s="458" t="s">
        <v>2512</v>
      </c>
      <c r="E1543" s="459">
        <v>44562</v>
      </c>
      <c r="F1543" s="459">
        <v>44615</v>
      </c>
      <c r="G1543" s="458" t="s">
        <v>2513</v>
      </c>
      <c r="H1543" s="458" t="s">
        <v>2514</v>
      </c>
      <c r="I1543" s="458" t="s">
        <v>569</v>
      </c>
      <c r="J1543" s="458" t="s">
        <v>746</v>
      </c>
      <c r="K1543" s="460" t="s">
        <v>2515</v>
      </c>
      <c r="L1543" s="458" t="s">
        <v>502</v>
      </c>
      <c r="M1543" s="458" t="s">
        <v>1489</v>
      </c>
      <c r="N1543" s="461"/>
      <c r="O1543" s="462">
        <v>640</v>
      </c>
      <c r="P1543" s="463"/>
      <c r="Q1543" s="463"/>
      <c r="R1543" s="464"/>
      <c r="S1543" s="458" t="s">
        <v>1490</v>
      </c>
      <c r="T1543" s="486"/>
      <c r="U1543" s="487"/>
      <c r="V1543" s="450"/>
      <c r="W1543" s="450"/>
      <c r="X1543" s="450"/>
      <c r="Y1543" s="450"/>
      <c r="Z1543" s="450"/>
    </row>
    <row r="1544" spans="1:26" x14ac:dyDescent="0.25">
      <c r="A1544" s="458" t="s">
        <v>8286</v>
      </c>
      <c r="B1544" s="458"/>
      <c r="C1544" s="458" t="s">
        <v>2156</v>
      </c>
      <c r="D1544" s="458" t="s">
        <v>4170</v>
      </c>
      <c r="E1544" s="459">
        <v>45225</v>
      </c>
      <c r="F1544" s="459">
        <v>45247</v>
      </c>
      <c r="G1544" s="458" t="s">
        <v>8495</v>
      </c>
      <c r="H1544" s="458" t="s">
        <v>8496</v>
      </c>
      <c r="I1544" s="458" t="s">
        <v>569</v>
      </c>
      <c r="J1544" s="458" t="s">
        <v>746</v>
      </c>
      <c r="K1544" s="460" t="s">
        <v>8497</v>
      </c>
      <c r="L1544" s="458" t="s">
        <v>502</v>
      </c>
      <c r="M1544" s="458" t="s">
        <v>1489</v>
      </c>
      <c r="N1544" s="461"/>
      <c r="O1544" s="462">
        <v>640</v>
      </c>
      <c r="P1544" s="463"/>
      <c r="Q1544" s="463"/>
      <c r="R1544" s="464"/>
      <c r="S1544" s="458" t="s">
        <v>1490</v>
      </c>
      <c r="T1544" s="486"/>
      <c r="U1544" s="487"/>
      <c r="V1544" s="450"/>
      <c r="W1544" s="450"/>
      <c r="X1544" s="450"/>
      <c r="Y1544" s="450"/>
      <c r="Z1544" s="450"/>
    </row>
    <row r="1545" spans="1:26" x14ac:dyDescent="0.25">
      <c r="A1545" s="458" t="s">
        <v>8291</v>
      </c>
      <c r="B1545" s="458"/>
      <c r="C1545" s="458" t="s">
        <v>2156</v>
      </c>
      <c r="D1545" s="458" t="s">
        <v>4173</v>
      </c>
      <c r="E1545" s="459">
        <v>45250</v>
      </c>
      <c r="F1545" s="459">
        <v>45250</v>
      </c>
      <c r="G1545" s="458" t="s">
        <v>2483</v>
      </c>
      <c r="H1545" s="458" t="s">
        <v>3344</v>
      </c>
      <c r="I1545" s="458" t="s">
        <v>569</v>
      </c>
      <c r="J1545" s="458" t="s">
        <v>746</v>
      </c>
      <c r="K1545" s="460" t="s">
        <v>8498</v>
      </c>
      <c r="L1545" s="458" t="s">
        <v>502</v>
      </c>
      <c r="M1545" s="458" t="s">
        <v>1489</v>
      </c>
      <c r="N1545" s="461"/>
      <c r="O1545" s="462">
        <v>640</v>
      </c>
      <c r="P1545" s="463"/>
      <c r="Q1545" s="463"/>
      <c r="R1545" s="464"/>
      <c r="S1545" s="458" t="s">
        <v>1490</v>
      </c>
      <c r="T1545" s="486"/>
      <c r="U1545" s="487"/>
      <c r="V1545" s="450"/>
      <c r="W1545" s="450"/>
      <c r="X1545" s="450"/>
      <c r="Y1545" s="450"/>
      <c r="Z1545" s="450"/>
    </row>
    <row r="1546" spans="1:26" x14ac:dyDescent="0.25">
      <c r="A1546" s="467" t="s">
        <v>399</v>
      </c>
      <c r="B1546" s="467"/>
      <c r="C1546" s="467" t="s">
        <v>99</v>
      </c>
      <c r="D1546" s="467" t="s">
        <v>400</v>
      </c>
      <c r="E1546" s="468">
        <v>2034</v>
      </c>
      <c r="F1546" s="468">
        <v>2063</v>
      </c>
      <c r="G1546" s="467" t="s">
        <v>103</v>
      </c>
      <c r="H1546" s="467" t="s">
        <v>401</v>
      </c>
      <c r="I1546" s="467" t="s">
        <v>402</v>
      </c>
      <c r="J1546" s="467" t="s">
        <v>63</v>
      </c>
      <c r="K1546" s="469" t="str">
        <f>HYPERLINK("https://okcountyrecords.com/search/roger%20mills","OKCountyRecords search: Homestead FR0001/0470")</f>
        <v>OKCountyRecords search: Homestead FR0001/0470</v>
      </c>
      <c r="L1546" s="467" t="s">
        <v>403</v>
      </c>
      <c r="M1546" s="467" t="s">
        <v>404</v>
      </c>
      <c r="N1546" s="470"/>
      <c r="O1546" s="471">
        <f t="shared" ref="O1546:O1609" si="0">IF($L1546="","",IF(ISNUMBER(SEARCH("all",$L1546)),640,(ISNUMBER(SEARCH("1",$L1546)))*80+(ISNUMBER(SEARCH("2",$L1546)))*160+(ISNUMBER(SEARCH("3",$L1546)))*40+(ISNUMBER(SEARCH("4",$L1546)))*80+(ISNUMBER(SEARCH("5",$L1546)))*120+(ISNUMBER(SEARCH("6",$L1546)))*80+(ISNUMBER(SEARCH("7",$L1546)))*40+(ISNUMBER(SEARCH("8",$L1546)))*40))</f>
        <v>200</v>
      </c>
      <c r="P1546" s="472" t="str">
        <f t="shared" ref="P1546:P1609" si="1">IF($M1546&lt;&gt;"Mineral","",IF(ISNUMBER($N1546),$N1546,IF(OR(ISNUMBER(SEARCH("surface",$J1546)),ISNUMBER(SEARCH("reserv",$J1546)),ISNUMBER(SEARCH("less and except",$J1546))),0,"")))</f>
        <v/>
      </c>
      <c r="Q1546" s="472" t="str">
        <f t="shared" ref="Q1546:Q1609" si="2">IF($P1546="","",-$P1546)</f>
        <v/>
      </c>
      <c r="R1546" s="473" t="str">
        <f t="shared" ref="R1546:R1609" si="3">IF($P1546="","",$O1546*$P1546)</f>
        <v/>
      </c>
      <c r="S1546" s="467"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89"/>
      <c r="U1546" s="490"/>
      <c r="V1546" s="450"/>
      <c r="W1546" s="450"/>
      <c r="X1546" s="450"/>
      <c r="Y1546" s="450"/>
      <c r="Z1546" s="450"/>
    </row>
    <row r="1547" spans="1:26" x14ac:dyDescent="0.25">
      <c r="A1547" s="467" t="s">
        <v>407</v>
      </c>
      <c r="B1547" s="467"/>
      <c r="C1547" s="467" t="s">
        <v>408</v>
      </c>
      <c r="D1547" s="467" t="s">
        <v>409</v>
      </c>
      <c r="E1547" s="468">
        <v>2062</v>
      </c>
      <c r="F1547" s="468">
        <v>2063</v>
      </c>
      <c r="G1547" s="467" t="s">
        <v>410</v>
      </c>
      <c r="H1547" s="467" t="s">
        <v>411</v>
      </c>
      <c r="I1547" s="467" t="s">
        <v>402</v>
      </c>
      <c r="J1547" s="467" t="s">
        <v>63</v>
      </c>
      <c r="K1547" s="469" t="str">
        <f>HYPERLINK("https://okcountyrecords.com/detail/roger+mills/1905-000429","OKCountyRecords: 1905-000429")</f>
        <v>OKCountyRecords: 1905-000429</v>
      </c>
      <c r="L1547" s="467" t="s">
        <v>403</v>
      </c>
      <c r="M1547" s="467" t="s">
        <v>404</v>
      </c>
      <c r="N1547" s="470">
        <v>1</v>
      </c>
      <c r="O1547" s="471">
        <f t="shared" si="0"/>
        <v>200</v>
      </c>
      <c r="P1547" s="472">
        <f t="shared" si="1"/>
        <v>1</v>
      </c>
      <c r="Q1547" s="472">
        <f t="shared" si="2"/>
        <v>-1</v>
      </c>
      <c r="R1547" s="473">
        <f t="shared" si="3"/>
        <v>200</v>
      </c>
      <c r="S1547" s="467" t="str">
        <f t="shared" si="4"/>
        <v>Mineral; basis Conv Amt(dec). Gross=tract-map basis.</v>
      </c>
      <c r="T1547" s="474"/>
      <c r="U1547" s="474"/>
      <c r="V1547" s="450"/>
      <c r="W1547" s="450"/>
      <c r="X1547" s="450"/>
      <c r="Y1547" s="450"/>
      <c r="Z1547" s="450"/>
    </row>
    <row r="1548" spans="1:26" x14ac:dyDescent="0.25">
      <c r="A1548" s="467" t="s">
        <v>414</v>
      </c>
      <c r="B1548" s="467"/>
      <c r="C1548" s="467" t="s">
        <v>415</v>
      </c>
      <c r="D1548" s="467" t="s">
        <v>416</v>
      </c>
      <c r="E1548" s="468">
        <v>2169</v>
      </c>
      <c r="F1548" s="468">
        <v>2752</v>
      </c>
      <c r="G1548" s="467" t="s">
        <v>106</v>
      </c>
      <c r="H1548" s="467" t="s">
        <v>410</v>
      </c>
      <c r="I1548" s="467" t="s">
        <v>402</v>
      </c>
      <c r="J1548" s="467" t="s">
        <v>417</v>
      </c>
      <c r="K1548" s="475" t="str">
        <f>HYPERLINK("https://okcountyrecords.com/detail/roger+mills/1907-005379","OKCountyRecords: 1907-005379")</f>
        <v>OKCountyRecords: 1907-005379</v>
      </c>
      <c r="L1548" s="467" t="s">
        <v>403</v>
      </c>
      <c r="M1548" s="467" t="s">
        <v>404</v>
      </c>
      <c r="N1548" s="470">
        <v>1</v>
      </c>
      <c r="O1548" s="471">
        <f t="shared" si="0"/>
        <v>200</v>
      </c>
      <c r="P1548" s="472">
        <f t="shared" si="1"/>
        <v>1</v>
      </c>
      <c r="Q1548" s="472">
        <f t="shared" si="2"/>
        <v>-1</v>
      </c>
      <c r="R1548" s="473">
        <f t="shared" si="3"/>
        <v>200</v>
      </c>
      <c r="S1548" s="467" t="str">
        <f t="shared" si="4"/>
        <v>Mineral; basis Conv Amt(dec). Gross=tract-map basis.</v>
      </c>
      <c r="T1548" s="489"/>
      <c r="U1548" s="490"/>
      <c r="V1548" s="450"/>
      <c r="W1548" s="450"/>
      <c r="X1548" s="450"/>
      <c r="Y1548" s="450"/>
      <c r="Z1548" s="450"/>
    </row>
    <row r="1549" spans="1:26" x14ac:dyDescent="0.25">
      <c r="A1549" s="467" t="s">
        <v>418</v>
      </c>
      <c r="B1549" s="467"/>
      <c r="C1549" s="467" t="s">
        <v>99</v>
      </c>
      <c r="D1549" s="467" t="s">
        <v>419</v>
      </c>
      <c r="E1549" s="468">
        <v>2534</v>
      </c>
      <c r="F1549" s="468">
        <v>2601</v>
      </c>
      <c r="G1549" s="467" t="s">
        <v>103</v>
      </c>
      <c r="H1549" s="467" t="s">
        <v>420</v>
      </c>
      <c r="I1549" s="467" t="s">
        <v>421</v>
      </c>
      <c r="J1549" s="467" t="s">
        <v>63</v>
      </c>
      <c r="K1549" s="469" t="str">
        <f>HYPERLINK("https://okcountyrecords.com/search/roger%20mills","OKCountyRecords search: Homestead FR0002/0199")</f>
        <v>OKCountyRecords search: Homestead FR0002/0199</v>
      </c>
      <c r="L1549" s="467">
        <v>2</v>
      </c>
      <c r="M1549" s="467" t="s">
        <v>404</v>
      </c>
      <c r="N1549" s="470"/>
      <c r="O1549" s="471">
        <f t="shared" si="0"/>
        <v>160</v>
      </c>
      <c r="P1549" s="472" t="str">
        <f t="shared" si="1"/>
        <v/>
      </c>
      <c r="Q1549" s="472" t="str">
        <f t="shared" si="2"/>
        <v/>
      </c>
      <c r="R1549" s="473" t="str">
        <f t="shared" si="3"/>
        <v/>
      </c>
      <c r="S1549" s="467" t="str">
        <f t="shared" si="4"/>
        <v>Mineral; NO AMOUNT-verify instrument. Gross=tract-map basis.</v>
      </c>
      <c r="T1549" s="489"/>
      <c r="U1549" s="490"/>
      <c r="V1549" s="450"/>
      <c r="W1549" s="450"/>
      <c r="X1549" s="450"/>
      <c r="Y1549" s="450"/>
      <c r="Z1549" s="450"/>
    </row>
    <row r="1550" spans="1:26" x14ac:dyDescent="0.25">
      <c r="A1550" s="467" t="s">
        <v>423</v>
      </c>
      <c r="B1550" s="467"/>
      <c r="C1550" s="467" t="s">
        <v>408</v>
      </c>
      <c r="D1550" s="467" t="s">
        <v>424</v>
      </c>
      <c r="E1550" s="468">
        <v>2592</v>
      </c>
      <c r="F1550" s="468">
        <v>2601</v>
      </c>
      <c r="G1550" s="467" t="s">
        <v>425</v>
      </c>
      <c r="H1550" s="467" t="s">
        <v>426</v>
      </c>
      <c r="I1550" s="467" t="s">
        <v>427</v>
      </c>
      <c r="J1550" s="467" t="s">
        <v>63</v>
      </c>
      <c r="K1550" s="469" t="str">
        <f>HYPERLINK("https://okcountyrecords.com/detail/roger+mills/1907-000709","OKCountyRecords: 1907-000709")</f>
        <v>OKCountyRecords: 1907-000709</v>
      </c>
      <c r="L1550" s="467">
        <v>2</v>
      </c>
      <c r="M1550" s="467" t="s">
        <v>404</v>
      </c>
      <c r="N1550" s="470">
        <v>1</v>
      </c>
      <c r="O1550" s="471">
        <f t="shared" si="0"/>
        <v>160</v>
      </c>
      <c r="P1550" s="472">
        <f t="shared" si="1"/>
        <v>1</v>
      </c>
      <c r="Q1550" s="472">
        <f t="shared" si="2"/>
        <v>-1</v>
      </c>
      <c r="R1550" s="473">
        <f t="shared" si="3"/>
        <v>160</v>
      </c>
      <c r="S1550" s="467" t="str">
        <f t="shared" si="4"/>
        <v>Mineral; basis Conv Amt(dec). Gross=tract-map basis.</v>
      </c>
      <c r="T1550" s="474"/>
      <c r="U1550" s="474"/>
      <c r="V1550" s="450"/>
      <c r="W1550" s="450"/>
      <c r="X1550" s="450"/>
      <c r="Y1550" s="450"/>
      <c r="Z1550" s="450"/>
    </row>
    <row r="1551" spans="1:26" x14ac:dyDescent="0.25">
      <c r="A1551" s="467" t="s">
        <v>429</v>
      </c>
      <c r="B1551" s="467"/>
      <c r="C1551" s="467" t="s">
        <v>99</v>
      </c>
      <c r="D1551" s="467" t="s">
        <v>430</v>
      </c>
      <c r="E1551" s="468">
        <v>2704</v>
      </c>
      <c r="F1551" s="468">
        <v>2754</v>
      </c>
      <c r="G1551" s="467" t="s">
        <v>103</v>
      </c>
      <c r="H1551" s="467" t="s">
        <v>431</v>
      </c>
      <c r="I1551" s="467" t="s">
        <v>432</v>
      </c>
      <c r="J1551" s="467" t="s">
        <v>63</v>
      </c>
      <c r="K1551" s="469" t="str">
        <f>HYPERLINK("https://okcountyrecords.com/search/roger%20mills","OKCountyRecords search: Homestead FR0002/0293")</f>
        <v>OKCountyRecords search: Homestead FR0002/0293</v>
      </c>
      <c r="L1551" s="467" t="s">
        <v>433</v>
      </c>
      <c r="M1551" s="467" t="s">
        <v>404</v>
      </c>
      <c r="N1551" s="476"/>
      <c r="O1551" s="471">
        <f t="shared" si="0"/>
        <v>80</v>
      </c>
      <c r="P1551" s="472" t="str">
        <f t="shared" si="1"/>
        <v/>
      </c>
      <c r="Q1551" s="472" t="str">
        <f t="shared" si="2"/>
        <v/>
      </c>
      <c r="R1551" s="473" t="str">
        <f t="shared" si="3"/>
        <v/>
      </c>
      <c r="S1551" s="467" t="str">
        <f t="shared" si="4"/>
        <v>Mineral; NO AMOUNT-verify instrument. Gross=tract-map basis.</v>
      </c>
      <c r="T1551" s="489"/>
      <c r="U1551" s="490"/>
      <c r="V1551" s="450"/>
      <c r="W1551" s="450"/>
      <c r="X1551" s="450"/>
      <c r="Y1551" s="450"/>
      <c r="Z1551" s="450"/>
    </row>
    <row r="1552" spans="1:26" x14ac:dyDescent="0.25">
      <c r="A1552" s="467" t="s">
        <v>434</v>
      </c>
      <c r="B1552" s="467"/>
      <c r="C1552" s="467" t="s">
        <v>99</v>
      </c>
      <c r="D1552" s="467" t="s">
        <v>435</v>
      </c>
      <c r="E1552" s="468">
        <v>2733</v>
      </c>
      <c r="F1552" s="468">
        <v>2754</v>
      </c>
      <c r="G1552" s="467" t="s">
        <v>103</v>
      </c>
      <c r="H1552" s="467" t="s">
        <v>436</v>
      </c>
      <c r="I1552" s="467" t="s">
        <v>437</v>
      </c>
      <c r="J1552" s="467" t="s">
        <v>63</v>
      </c>
      <c r="K1552" s="469" t="str">
        <f>HYPERLINK("https://okcountyrecords.com/search/roger%20mills","OKCountyRecords search: Homestead FR0002/0292")</f>
        <v>OKCountyRecords search: Homestead FR0002/0292</v>
      </c>
      <c r="L1552" s="467" t="s">
        <v>438</v>
      </c>
      <c r="M1552" s="467" t="s">
        <v>404</v>
      </c>
      <c r="N1552" s="470"/>
      <c r="O1552" s="471">
        <f t="shared" si="0"/>
        <v>240</v>
      </c>
      <c r="P1552" s="472" t="str">
        <f t="shared" si="1"/>
        <v/>
      </c>
      <c r="Q1552" s="472" t="str">
        <f t="shared" si="2"/>
        <v/>
      </c>
      <c r="R1552" s="473" t="str">
        <f t="shared" si="3"/>
        <v/>
      </c>
      <c r="S1552" s="467" t="str">
        <f t="shared" si="4"/>
        <v>Mineral; NO AMOUNT-verify instrument. Gross=tract-map basis.</v>
      </c>
      <c r="T1552" s="489"/>
      <c r="U1552" s="490"/>
      <c r="V1552" s="450"/>
      <c r="W1552" s="450"/>
      <c r="X1552" s="450"/>
      <c r="Y1552" s="450"/>
      <c r="Z1552" s="450"/>
    </row>
    <row r="1553" spans="1:26" x14ac:dyDescent="0.25">
      <c r="A1553" s="467" t="s">
        <v>439</v>
      </c>
      <c r="B1553" s="467"/>
      <c r="C1553" s="467" t="s">
        <v>408</v>
      </c>
      <c r="D1553" s="467" t="s">
        <v>440</v>
      </c>
      <c r="E1553" s="468">
        <v>2754</v>
      </c>
      <c r="F1553" s="468">
        <v>2755</v>
      </c>
      <c r="G1553" s="467" t="s">
        <v>441</v>
      </c>
      <c r="H1553" s="467" t="s">
        <v>442</v>
      </c>
      <c r="I1553" s="467" t="s">
        <v>443</v>
      </c>
      <c r="J1553" s="467" t="s">
        <v>63</v>
      </c>
      <c r="K1553" s="469" t="str">
        <f>HYPERLINK("https://okcountyrecords.com/detail/roger+mills/1907-001545","OKCountyRecords: 1907-001545")</f>
        <v>OKCountyRecords: 1907-001545</v>
      </c>
      <c r="L1553" s="467" t="s">
        <v>444</v>
      </c>
      <c r="M1553" s="467" t="s">
        <v>404</v>
      </c>
      <c r="N1553" s="476">
        <v>1</v>
      </c>
      <c r="O1553" s="471">
        <f t="shared" si="0"/>
        <v>200</v>
      </c>
      <c r="P1553" s="472">
        <f t="shared" si="1"/>
        <v>1</v>
      </c>
      <c r="Q1553" s="472">
        <f t="shared" si="2"/>
        <v>-1</v>
      </c>
      <c r="R1553" s="473">
        <f t="shared" si="3"/>
        <v>200</v>
      </c>
      <c r="S1553" s="467" t="str">
        <f t="shared" si="4"/>
        <v>Mineral; basis Conv Amt(dec). Gross=tract-map basis.</v>
      </c>
      <c r="T1553" s="489"/>
      <c r="U1553" s="490"/>
      <c r="V1553" s="450"/>
      <c r="W1553" s="450"/>
      <c r="X1553" s="450"/>
      <c r="Y1553" s="450"/>
      <c r="Z1553" s="450"/>
    </row>
    <row r="1554" spans="1:26" x14ac:dyDescent="0.25">
      <c r="A1554" s="467" t="s">
        <v>445</v>
      </c>
      <c r="B1554" s="467"/>
      <c r="C1554" s="467" t="s">
        <v>415</v>
      </c>
      <c r="D1554" s="467" t="s">
        <v>446</v>
      </c>
      <c r="E1554" s="468">
        <v>2917</v>
      </c>
      <c r="F1554" s="468">
        <v>11450</v>
      </c>
      <c r="G1554" s="467" t="s">
        <v>106</v>
      </c>
      <c r="H1554" s="467" t="s">
        <v>436</v>
      </c>
      <c r="I1554" s="467" t="s">
        <v>437</v>
      </c>
      <c r="J1554" s="467" t="s">
        <v>447</v>
      </c>
      <c r="K1554" s="469" t="str">
        <f>HYPERLINK("https://okcountyrecords.com/detail/roger+mills/1931-001789","OKCountyRecords: 1931-001789")</f>
        <v>OKCountyRecords: 1931-001789</v>
      </c>
      <c r="L1554" s="467" t="s">
        <v>438</v>
      </c>
      <c r="M1554" s="467" t="s">
        <v>404</v>
      </c>
      <c r="N1554" s="470">
        <v>1</v>
      </c>
      <c r="O1554" s="471">
        <f t="shared" si="0"/>
        <v>240</v>
      </c>
      <c r="P1554" s="472">
        <f t="shared" si="1"/>
        <v>1</v>
      </c>
      <c r="Q1554" s="472">
        <f t="shared" si="2"/>
        <v>-1</v>
      </c>
      <c r="R1554" s="473">
        <f t="shared" si="3"/>
        <v>240</v>
      </c>
      <c r="S1554" s="467" t="str">
        <f t="shared" si="4"/>
        <v>Mineral; basis Conv Amt(dec). Gross=tract-map basis.</v>
      </c>
      <c r="T1554" s="489"/>
      <c r="U1554" s="490"/>
      <c r="V1554" s="450"/>
      <c r="W1554" s="450"/>
      <c r="X1554" s="450"/>
      <c r="Y1554" s="450"/>
      <c r="Z1554" s="450"/>
    </row>
    <row r="1555" spans="1:26" x14ac:dyDescent="0.25">
      <c r="A1555" s="467" t="s">
        <v>448</v>
      </c>
      <c r="B1555" s="467"/>
      <c r="C1555" s="467" t="s">
        <v>408</v>
      </c>
      <c r="D1555" s="467" t="s">
        <v>449</v>
      </c>
      <c r="E1555" s="468">
        <v>3073</v>
      </c>
      <c r="F1555" s="468">
        <v>3189</v>
      </c>
      <c r="G1555" s="467" t="s">
        <v>450</v>
      </c>
      <c r="H1555" s="467" t="s">
        <v>451</v>
      </c>
      <c r="I1555" s="467" t="s">
        <v>421</v>
      </c>
      <c r="J1555" s="467" t="s">
        <v>63</v>
      </c>
      <c r="K1555" s="469" t="str">
        <f>HYPERLINK("https://okcountyrecords.com/detail/roger+mills/1908-000607","OKCountyRecords: 1908-000607")</f>
        <v>OKCountyRecords: 1908-000607</v>
      </c>
      <c r="L1555" s="467">
        <v>2</v>
      </c>
      <c r="M1555" s="467" t="s">
        <v>404</v>
      </c>
      <c r="N1555" s="470">
        <v>1</v>
      </c>
      <c r="O1555" s="471">
        <f t="shared" si="0"/>
        <v>160</v>
      </c>
      <c r="P1555" s="472">
        <f t="shared" si="1"/>
        <v>1</v>
      </c>
      <c r="Q1555" s="472">
        <f t="shared" si="2"/>
        <v>-1</v>
      </c>
      <c r="R1555" s="473">
        <f t="shared" si="3"/>
        <v>160</v>
      </c>
      <c r="S1555" s="467" t="str">
        <f t="shared" si="4"/>
        <v>Mineral; basis Conv Amt(dec). Gross=tract-map basis.</v>
      </c>
      <c r="T1555" s="489"/>
      <c r="U1555" s="490"/>
      <c r="V1555" s="450"/>
      <c r="W1555" s="450"/>
      <c r="X1555" s="450"/>
      <c r="Y1555" s="450"/>
      <c r="Z1555" s="450"/>
    </row>
    <row r="1556" spans="1:26" x14ac:dyDescent="0.25">
      <c r="A1556" s="467" t="s">
        <v>452</v>
      </c>
      <c r="B1556" s="467"/>
      <c r="C1556" s="467" t="s">
        <v>99</v>
      </c>
      <c r="D1556" s="467" t="s">
        <v>453</v>
      </c>
      <c r="E1556" s="468">
        <v>3118</v>
      </c>
      <c r="F1556" s="468">
        <v>3121</v>
      </c>
      <c r="G1556" s="467" t="s">
        <v>103</v>
      </c>
      <c r="H1556" s="467" t="s">
        <v>454</v>
      </c>
      <c r="I1556" s="467" t="s">
        <v>455</v>
      </c>
      <c r="J1556" s="467" t="s">
        <v>63</v>
      </c>
      <c r="K1556" s="469" t="str">
        <f>HYPERLINK("https://okcountyrecords.com/search/roger%20mills","OKCountyRecords search: Homestead FR0002/0448")</f>
        <v>OKCountyRecords search: Homestead FR0002/0448</v>
      </c>
      <c r="L1556" s="467">
        <v>1</v>
      </c>
      <c r="M1556" s="467" t="s">
        <v>404</v>
      </c>
      <c r="N1556" s="470"/>
      <c r="O1556" s="471">
        <f t="shared" si="0"/>
        <v>80</v>
      </c>
      <c r="P1556" s="472" t="str">
        <f t="shared" si="1"/>
        <v/>
      </c>
      <c r="Q1556" s="472" t="str">
        <f t="shared" si="2"/>
        <v/>
      </c>
      <c r="R1556" s="473" t="str">
        <f t="shared" si="3"/>
        <v/>
      </c>
      <c r="S1556" s="467" t="str">
        <f t="shared" si="4"/>
        <v>Mineral; NO AMOUNT-verify instrument. Gross=tract-map basis.</v>
      </c>
      <c r="T1556" s="474"/>
      <c r="U1556" s="474"/>
      <c r="V1556" s="450"/>
      <c r="W1556" s="450"/>
      <c r="X1556" s="450"/>
      <c r="Y1556" s="450"/>
      <c r="Z1556" s="450"/>
    </row>
    <row r="1557" spans="1:26" x14ac:dyDescent="0.25">
      <c r="A1557" s="467" t="s">
        <v>456</v>
      </c>
      <c r="B1557" s="467"/>
      <c r="C1557" s="467" t="s">
        <v>415</v>
      </c>
      <c r="D1557" s="467" t="s">
        <v>457</v>
      </c>
      <c r="E1557" s="468">
        <v>3320</v>
      </c>
      <c r="F1557" s="468">
        <v>11021</v>
      </c>
      <c r="G1557" s="467" t="s">
        <v>106</v>
      </c>
      <c r="H1557" s="467" t="s">
        <v>454</v>
      </c>
      <c r="I1557" s="467" t="s">
        <v>455</v>
      </c>
      <c r="J1557" s="467" t="s">
        <v>63</v>
      </c>
      <c r="K1557" s="469" t="str">
        <f>HYPERLINK("https://okcountyrecords.com/detail/roger+mills/1930-002914","OKCountyRecords: 1930-002914")</f>
        <v>OKCountyRecords: 1930-002914</v>
      </c>
      <c r="L1557" s="467">
        <v>1</v>
      </c>
      <c r="M1557" s="467" t="s">
        <v>404</v>
      </c>
      <c r="N1557" s="470">
        <v>1</v>
      </c>
      <c r="O1557" s="471">
        <f t="shared" si="0"/>
        <v>80</v>
      </c>
      <c r="P1557" s="472">
        <f t="shared" si="1"/>
        <v>1</v>
      </c>
      <c r="Q1557" s="472">
        <f t="shared" si="2"/>
        <v>-1</v>
      </c>
      <c r="R1557" s="473">
        <f t="shared" si="3"/>
        <v>80</v>
      </c>
      <c r="S1557" s="467" t="str">
        <f t="shared" si="4"/>
        <v>Mineral; basis Conv Amt(dec). Gross=tract-map basis.</v>
      </c>
      <c r="T1557" s="489"/>
      <c r="U1557" s="489"/>
      <c r="V1557" s="450"/>
      <c r="W1557" s="450"/>
      <c r="X1557" s="450"/>
      <c r="Y1557" s="450"/>
      <c r="Z1557" s="450"/>
    </row>
    <row r="1558" spans="1:26" x14ac:dyDescent="0.25">
      <c r="A1558" s="467" t="s">
        <v>458</v>
      </c>
      <c r="B1558" s="467"/>
      <c r="C1558" s="467" t="s">
        <v>415</v>
      </c>
      <c r="D1558" s="467" t="s">
        <v>459</v>
      </c>
      <c r="E1558" s="468">
        <v>3652</v>
      </c>
      <c r="F1558" s="468">
        <v>3652</v>
      </c>
      <c r="G1558" s="467" t="s">
        <v>106</v>
      </c>
      <c r="H1558" s="467" t="s">
        <v>431</v>
      </c>
      <c r="I1558" s="467" t="s">
        <v>432</v>
      </c>
      <c r="J1558" s="467" t="s">
        <v>63</v>
      </c>
      <c r="K1558" s="469" t="str">
        <f>HYPERLINK("https://okcountyrecords.com/detail/roger+mills/1909-002932","OKCountyRecords: 1909-002932")</f>
        <v>OKCountyRecords: 1909-002932</v>
      </c>
      <c r="L1558" s="467" t="s">
        <v>433</v>
      </c>
      <c r="M1558" s="467" t="s">
        <v>404</v>
      </c>
      <c r="N1558" s="476">
        <v>1</v>
      </c>
      <c r="O1558" s="471">
        <f t="shared" si="0"/>
        <v>80</v>
      </c>
      <c r="P1558" s="472">
        <f t="shared" si="1"/>
        <v>1</v>
      </c>
      <c r="Q1558" s="472">
        <f t="shared" si="2"/>
        <v>-1</v>
      </c>
      <c r="R1558" s="473">
        <f t="shared" si="3"/>
        <v>80</v>
      </c>
      <c r="S1558" s="467" t="str">
        <f t="shared" si="4"/>
        <v>Mineral; basis Conv Amt(dec). Gross=tract-map basis.</v>
      </c>
      <c r="T1558" s="489"/>
      <c r="U1558" s="490"/>
      <c r="V1558" s="450"/>
      <c r="W1558" s="450"/>
      <c r="X1558" s="450"/>
      <c r="Y1558" s="450"/>
      <c r="Z1558" s="450"/>
    </row>
    <row r="1559" spans="1:26" x14ac:dyDescent="0.25">
      <c r="A1559" s="467" t="s">
        <v>460</v>
      </c>
      <c r="B1559" s="467"/>
      <c r="C1559" s="467" t="s">
        <v>461</v>
      </c>
      <c r="D1559" s="467" t="s">
        <v>462</v>
      </c>
      <c r="E1559" s="468">
        <v>3734</v>
      </c>
      <c r="F1559" s="468">
        <v>7291</v>
      </c>
      <c r="G1559" s="467" t="s">
        <v>463</v>
      </c>
      <c r="H1559" s="467" t="s">
        <v>102</v>
      </c>
      <c r="I1559" s="467" t="s">
        <v>421</v>
      </c>
      <c r="J1559" s="467" t="s">
        <v>464</v>
      </c>
      <c r="K1559" s="469" t="str">
        <f>HYPERLINK("https://okcountyrecords.com/detail/roger+mills/1919-001437","OKCountyRecords: 1919-001437")</f>
        <v>OKCountyRecords: 1919-001437</v>
      </c>
      <c r="L1559" s="467">
        <v>2</v>
      </c>
      <c r="M1559" s="467" t="s">
        <v>465</v>
      </c>
      <c r="N1559" s="470"/>
      <c r="O1559" s="471">
        <f t="shared" si="0"/>
        <v>160</v>
      </c>
      <c r="P1559" s="472" t="str">
        <f t="shared" si="1"/>
        <v/>
      </c>
      <c r="Q1559" s="472" t="str">
        <f t="shared" si="2"/>
        <v/>
      </c>
      <c r="R1559" s="473" t="str">
        <f t="shared" si="3"/>
        <v/>
      </c>
      <c r="S1559" s="467" t="s">
        <v>466</v>
      </c>
      <c r="T1559" s="490" t="s">
        <v>467</v>
      </c>
      <c r="U1559" s="490" t="s">
        <v>468</v>
      </c>
      <c r="V1559" s="450"/>
      <c r="W1559" s="450"/>
      <c r="X1559" s="450"/>
      <c r="Y1559" s="450"/>
      <c r="Z1559" s="450"/>
    </row>
    <row r="1560" spans="1:26" x14ac:dyDescent="0.25">
      <c r="A1560" s="467" t="s">
        <v>469</v>
      </c>
      <c r="B1560" s="467"/>
      <c r="C1560" s="467" t="s">
        <v>408</v>
      </c>
      <c r="D1560" s="467" t="s">
        <v>470</v>
      </c>
      <c r="E1560" s="468">
        <v>4759</v>
      </c>
      <c r="F1560" s="468">
        <v>4759</v>
      </c>
      <c r="G1560" s="467" t="s">
        <v>471</v>
      </c>
      <c r="H1560" s="467" t="s">
        <v>472</v>
      </c>
      <c r="I1560" s="467" t="s">
        <v>432</v>
      </c>
      <c r="J1560" s="467" t="s">
        <v>63</v>
      </c>
      <c r="K1560" s="469" t="str">
        <f>HYPERLINK("https://okcountyrecords.com/detail/roger+mills/1913-000413","OKCountyRecords: 1913-000413")</f>
        <v>OKCountyRecords: 1913-000413</v>
      </c>
      <c r="L1560" s="467" t="s">
        <v>433</v>
      </c>
      <c r="M1560" s="467" t="s">
        <v>404</v>
      </c>
      <c r="N1560" s="476">
        <v>1</v>
      </c>
      <c r="O1560" s="471">
        <f t="shared" si="0"/>
        <v>80</v>
      </c>
      <c r="P1560" s="472">
        <f t="shared" si="1"/>
        <v>1</v>
      </c>
      <c r="Q1560" s="472">
        <f t="shared" si="2"/>
        <v>-1</v>
      </c>
      <c r="R1560" s="473">
        <f t="shared" si="3"/>
        <v>80</v>
      </c>
      <c r="S1560" s="467"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4"/>
      <c r="U1560" s="474"/>
      <c r="V1560" s="450"/>
      <c r="W1560" s="450"/>
      <c r="X1560" s="450"/>
      <c r="Y1560" s="450"/>
      <c r="Z1560" s="450"/>
    </row>
    <row r="1561" spans="1:26" x14ac:dyDescent="0.25">
      <c r="A1561" s="467" t="s">
        <v>473</v>
      </c>
      <c r="B1561" s="467"/>
      <c r="C1561" s="467" t="s">
        <v>408</v>
      </c>
      <c r="D1561" s="467" t="s">
        <v>474</v>
      </c>
      <c r="E1561" s="468">
        <v>5920</v>
      </c>
      <c r="F1561" s="468">
        <v>5925</v>
      </c>
      <c r="G1561" s="467" t="s">
        <v>475</v>
      </c>
      <c r="H1561" s="467" t="s">
        <v>476</v>
      </c>
      <c r="I1561" s="467" t="s">
        <v>455</v>
      </c>
      <c r="J1561" s="467" t="s">
        <v>63</v>
      </c>
      <c r="K1561" s="469" t="str">
        <f>HYPERLINK("https://okcountyrecords.com/detail/roger+mills/1916-000332","OKCountyRecords: 1916-000332")</f>
        <v>OKCountyRecords: 1916-000332</v>
      </c>
      <c r="L1561" s="467">
        <v>1</v>
      </c>
      <c r="M1561" s="467" t="s">
        <v>404</v>
      </c>
      <c r="N1561" s="470">
        <v>1</v>
      </c>
      <c r="O1561" s="471">
        <f t="shared" si="0"/>
        <v>80</v>
      </c>
      <c r="P1561" s="472">
        <f t="shared" si="1"/>
        <v>1</v>
      </c>
      <c r="Q1561" s="472">
        <f t="shared" si="2"/>
        <v>-1</v>
      </c>
      <c r="R1561" s="473">
        <f t="shared" si="3"/>
        <v>80</v>
      </c>
      <c r="S1561" s="467" t="str">
        <f t="shared" si="5"/>
        <v>Mineral; basis Conv Amt(dec). Gross=tract-map basis.</v>
      </c>
      <c r="T1561" s="474"/>
      <c r="U1561" s="474"/>
      <c r="V1561" s="450"/>
      <c r="W1561" s="450"/>
      <c r="X1561" s="450"/>
      <c r="Y1561" s="450"/>
      <c r="Z1561" s="450"/>
    </row>
    <row r="1562" spans="1:26" x14ac:dyDescent="0.25">
      <c r="A1562" s="467" t="s">
        <v>477</v>
      </c>
      <c r="B1562" s="467"/>
      <c r="C1562" s="467" t="s">
        <v>408</v>
      </c>
      <c r="D1562" s="467" t="s">
        <v>478</v>
      </c>
      <c r="E1562" s="468">
        <v>6568</v>
      </c>
      <c r="F1562" s="468">
        <v>6887</v>
      </c>
      <c r="G1562" s="467" t="s">
        <v>441</v>
      </c>
      <c r="H1562" s="467" t="s">
        <v>479</v>
      </c>
      <c r="I1562" s="467" t="s">
        <v>480</v>
      </c>
      <c r="J1562" s="467" t="s">
        <v>63</v>
      </c>
      <c r="K1562" s="469" t="str">
        <f>HYPERLINK("https://okcountyrecords.com/detail/roger+mills/1918-000943","OKCountyRecords: 1918-000943")</f>
        <v>OKCountyRecords: 1918-000943</v>
      </c>
      <c r="L1562" s="467" t="s">
        <v>438</v>
      </c>
      <c r="M1562" s="467" t="s">
        <v>404</v>
      </c>
      <c r="N1562" s="470">
        <v>1</v>
      </c>
      <c r="O1562" s="471">
        <f t="shared" si="0"/>
        <v>240</v>
      </c>
      <c r="P1562" s="472">
        <f t="shared" si="1"/>
        <v>1</v>
      </c>
      <c r="Q1562" s="472">
        <f t="shared" si="2"/>
        <v>-1</v>
      </c>
      <c r="R1562" s="473">
        <f t="shared" si="3"/>
        <v>240</v>
      </c>
      <c r="S1562" s="467" t="str">
        <f t="shared" si="5"/>
        <v>Mineral; basis Conv Amt(dec). Gross=tract-map basis.</v>
      </c>
      <c r="T1562" s="489"/>
      <c r="U1562" s="490"/>
      <c r="V1562" s="450"/>
      <c r="W1562" s="450"/>
      <c r="X1562" s="450"/>
      <c r="Y1562" s="450"/>
      <c r="Z1562" s="450"/>
    </row>
    <row r="1563" spans="1:26" x14ac:dyDescent="0.25">
      <c r="A1563" s="467" t="s">
        <v>481</v>
      </c>
      <c r="B1563" s="467"/>
      <c r="C1563" s="467" t="s">
        <v>408</v>
      </c>
      <c r="D1563" s="467" t="s">
        <v>482</v>
      </c>
      <c r="E1563" s="468">
        <v>7303</v>
      </c>
      <c r="F1563" s="468">
        <v>7291</v>
      </c>
      <c r="G1563" s="467" t="s">
        <v>483</v>
      </c>
      <c r="H1563" s="467" t="s">
        <v>484</v>
      </c>
      <c r="I1563" s="467" t="s">
        <v>485</v>
      </c>
      <c r="J1563" s="467" t="s">
        <v>63</v>
      </c>
      <c r="K1563" s="469" t="str">
        <f>HYPERLINK("https://okcountyrecords.com/detail/roger+mills/1919-000971","OKCountyRecords: 1919-000971")</f>
        <v>OKCountyRecords: 1919-000971</v>
      </c>
      <c r="L1563" s="467">
        <v>2</v>
      </c>
      <c r="M1563" s="467" t="s">
        <v>404</v>
      </c>
      <c r="N1563" s="470">
        <v>1</v>
      </c>
      <c r="O1563" s="471">
        <f t="shared" si="0"/>
        <v>160</v>
      </c>
      <c r="P1563" s="472">
        <f t="shared" si="1"/>
        <v>1</v>
      </c>
      <c r="Q1563" s="472">
        <f t="shared" si="2"/>
        <v>-1</v>
      </c>
      <c r="R1563" s="473">
        <f t="shared" si="3"/>
        <v>160</v>
      </c>
      <c r="S1563" s="467" t="str">
        <f t="shared" si="5"/>
        <v>Mineral; basis Conv Amt(dec). Gross=tract-map basis.</v>
      </c>
      <c r="T1563" s="489"/>
      <c r="U1563" s="490"/>
      <c r="V1563" s="450"/>
      <c r="W1563" s="450"/>
      <c r="X1563" s="450"/>
      <c r="Y1563" s="450"/>
      <c r="Z1563" s="450"/>
    </row>
    <row r="1564" spans="1:26" x14ac:dyDescent="0.25">
      <c r="A1564" s="467" t="s">
        <v>486</v>
      </c>
      <c r="B1564" s="467"/>
      <c r="C1564" s="467" t="s">
        <v>408</v>
      </c>
      <c r="D1564" s="467" t="s">
        <v>487</v>
      </c>
      <c r="E1564" s="468">
        <v>7682</v>
      </c>
      <c r="F1564" s="468">
        <v>7805</v>
      </c>
      <c r="G1564" s="467" t="s">
        <v>488</v>
      </c>
      <c r="H1564" s="467" t="s">
        <v>489</v>
      </c>
      <c r="I1564" s="467" t="s">
        <v>455</v>
      </c>
      <c r="J1564" s="467" t="s">
        <v>63</v>
      </c>
      <c r="K1564" s="469" t="str">
        <f>HYPERLINK("https://okcountyrecords.com/detail/roger+mills/1921-000501","OKCountyRecords: 1921-000501")</f>
        <v>OKCountyRecords: 1921-000501</v>
      </c>
      <c r="L1564" s="467">
        <v>1</v>
      </c>
      <c r="M1564" s="467" t="s">
        <v>404</v>
      </c>
      <c r="N1564" s="470">
        <v>1</v>
      </c>
      <c r="O1564" s="471">
        <f t="shared" si="0"/>
        <v>80</v>
      </c>
      <c r="P1564" s="472">
        <f t="shared" si="1"/>
        <v>1</v>
      </c>
      <c r="Q1564" s="472">
        <f t="shared" si="2"/>
        <v>-1</v>
      </c>
      <c r="R1564" s="473">
        <f t="shared" si="3"/>
        <v>80</v>
      </c>
      <c r="S1564" s="467" t="str">
        <f t="shared" si="5"/>
        <v>Mineral; basis Conv Amt(dec). Gross=tract-map basis.</v>
      </c>
      <c r="T1564" s="490"/>
      <c r="U1564" s="490"/>
      <c r="V1564" s="450"/>
      <c r="W1564" s="450"/>
      <c r="X1564" s="450"/>
      <c r="Y1564" s="450"/>
      <c r="Z1564" s="450"/>
    </row>
    <row r="1565" spans="1:26" x14ac:dyDescent="0.25">
      <c r="A1565" s="467" t="s">
        <v>490</v>
      </c>
      <c r="B1565" s="467"/>
      <c r="C1565" s="467" t="s">
        <v>408</v>
      </c>
      <c r="D1565" s="467" t="s">
        <v>491</v>
      </c>
      <c r="E1565" s="468">
        <v>7733</v>
      </c>
      <c r="F1565" s="468">
        <v>7805</v>
      </c>
      <c r="G1565" s="467" t="s">
        <v>492</v>
      </c>
      <c r="H1565" s="467" t="s">
        <v>493</v>
      </c>
      <c r="I1565" s="467" t="s">
        <v>455</v>
      </c>
      <c r="J1565" s="467" t="s">
        <v>63</v>
      </c>
      <c r="K1565" s="469" t="str">
        <f>HYPERLINK("https://okcountyrecords.com/detail/roger+mills/1921-000502","OKCountyRecords: 1921-000502")</f>
        <v>OKCountyRecords: 1921-000502</v>
      </c>
      <c r="L1565" s="467">
        <v>1</v>
      </c>
      <c r="M1565" s="467" t="s">
        <v>404</v>
      </c>
      <c r="N1565" s="470">
        <v>1</v>
      </c>
      <c r="O1565" s="471">
        <f t="shared" si="0"/>
        <v>80</v>
      </c>
      <c r="P1565" s="472">
        <f t="shared" si="1"/>
        <v>1</v>
      </c>
      <c r="Q1565" s="472">
        <f t="shared" si="2"/>
        <v>-1</v>
      </c>
      <c r="R1565" s="473">
        <f t="shared" si="3"/>
        <v>80</v>
      </c>
      <c r="S1565" s="467" t="str">
        <f t="shared" si="5"/>
        <v>Mineral; basis Conv Amt(dec). Gross=tract-map basis.</v>
      </c>
      <c r="T1565" s="489"/>
      <c r="U1565" s="489"/>
      <c r="V1565" s="450"/>
      <c r="W1565" s="450"/>
      <c r="X1565" s="450"/>
      <c r="Y1565" s="450"/>
      <c r="Z1565" s="450"/>
    </row>
    <row r="1566" spans="1:26" x14ac:dyDescent="0.25">
      <c r="A1566" s="467" t="s">
        <v>494</v>
      </c>
      <c r="B1566" s="467"/>
      <c r="C1566" s="467" t="s">
        <v>408</v>
      </c>
      <c r="D1566" s="467" t="s">
        <v>495</v>
      </c>
      <c r="E1566" s="468">
        <v>7905</v>
      </c>
      <c r="F1566" s="468">
        <v>8121</v>
      </c>
      <c r="G1566" s="467" t="s">
        <v>496</v>
      </c>
      <c r="H1566" s="467" t="s">
        <v>497</v>
      </c>
      <c r="I1566" s="467" t="s">
        <v>498</v>
      </c>
      <c r="J1566" s="467" t="s">
        <v>63</v>
      </c>
      <c r="K1566" s="469" t="str">
        <f>HYPERLINK("https://okcountyrecords.com/detail/roger+mills/1922-000463","OKCountyRecords: 1922-000463")</f>
        <v>OKCountyRecords: 1922-000463</v>
      </c>
      <c r="L1566" s="467" t="s">
        <v>433</v>
      </c>
      <c r="M1566" s="467" t="s">
        <v>404</v>
      </c>
      <c r="N1566" s="476">
        <v>1</v>
      </c>
      <c r="O1566" s="471">
        <f t="shared" si="0"/>
        <v>80</v>
      </c>
      <c r="P1566" s="472">
        <f t="shared" si="1"/>
        <v>1</v>
      </c>
      <c r="Q1566" s="472">
        <f t="shared" si="2"/>
        <v>-1</v>
      </c>
      <c r="R1566" s="473">
        <f t="shared" si="3"/>
        <v>80</v>
      </c>
      <c r="S1566" s="467" t="str">
        <f t="shared" si="5"/>
        <v>Mineral; basis Conv Amt(dec). Gross=tract-map basis.</v>
      </c>
      <c r="T1566" s="489"/>
      <c r="U1566" s="490"/>
      <c r="V1566" s="450"/>
      <c r="W1566" s="450"/>
      <c r="X1566" s="450"/>
      <c r="Y1566" s="450"/>
      <c r="Z1566" s="450"/>
    </row>
    <row r="1567" spans="1:26" x14ac:dyDescent="0.25">
      <c r="A1567" s="467" t="s">
        <v>499</v>
      </c>
      <c r="B1567" s="467"/>
      <c r="C1567" s="467" t="s">
        <v>461</v>
      </c>
      <c r="D1567" s="467" t="s">
        <v>500</v>
      </c>
      <c r="E1567" s="468">
        <v>8517</v>
      </c>
      <c r="F1567" s="468">
        <v>8518</v>
      </c>
      <c r="G1567" s="467" t="s">
        <v>501</v>
      </c>
      <c r="H1567" s="467" t="s">
        <v>102</v>
      </c>
      <c r="I1567" s="467" t="s">
        <v>238</v>
      </c>
      <c r="J1567" s="467" t="s">
        <v>8499</v>
      </c>
      <c r="K1567" s="469" t="str">
        <f>HYPERLINK("https://okcountyrecords.com/detail/roger+mills/1923-001306","OKCountyRecords: 1923-001306")</f>
        <v>OKCountyRecords: 1923-001306</v>
      </c>
      <c r="L1567" s="467" t="s">
        <v>502</v>
      </c>
      <c r="M1567" s="467" t="s">
        <v>465</v>
      </c>
      <c r="N1567" s="470"/>
      <c r="O1567" s="471">
        <f t="shared" si="0"/>
        <v>640</v>
      </c>
      <c r="P1567" s="472" t="str">
        <f t="shared" si="1"/>
        <v/>
      </c>
      <c r="Q1567" s="472" t="str">
        <f t="shared" si="2"/>
        <v/>
      </c>
      <c r="R1567" s="473" t="str">
        <f t="shared" si="3"/>
        <v/>
      </c>
      <c r="S1567" s="467" t="s">
        <v>503</v>
      </c>
      <c r="T1567" s="489" t="s">
        <v>467</v>
      </c>
      <c r="U1567" s="490" t="s">
        <v>504</v>
      </c>
      <c r="V1567" s="450"/>
      <c r="W1567" s="450"/>
      <c r="X1567" s="450"/>
      <c r="Y1567" s="450"/>
      <c r="Z1567" s="450"/>
    </row>
    <row r="1568" spans="1:26" x14ac:dyDescent="0.25">
      <c r="A1568" s="467" t="s">
        <v>506</v>
      </c>
      <c r="B1568" s="467"/>
      <c r="C1568" s="467" t="s">
        <v>408</v>
      </c>
      <c r="D1568" s="467" t="s">
        <v>507</v>
      </c>
      <c r="E1568" s="468">
        <v>9137</v>
      </c>
      <c r="F1568" s="468">
        <v>9137</v>
      </c>
      <c r="G1568" s="467" t="s">
        <v>508</v>
      </c>
      <c r="H1568" s="467" t="s">
        <v>509</v>
      </c>
      <c r="I1568" s="467" t="s">
        <v>480</v>
      </c>
      <c r="J1568" s="467" t="s">
        <v>63</v>
      </c>
      <c r="K1568" s="469" t="str">
        <f>HYPERLINK("https://okcountyrecords.com/detail/roger+mills/1925-000406","OKCountyRecords: 1925-000406")</f>
        <v>OKCountyRecords: 1925-000406</v>
      </c>
      <c r="L1568" s="467" t="s">
        <v>438</v>
      </c>
      <c r="M1568" s="467" t="s">
        <v>404</v>
      </c>
      <c r="N1568" s="470">
        <v>1</v>
      </c>
      <c r="O1568" s="471">
        <f t="shared" si="0"/>
        <v>240</v>
      </c>
      <c r="P1568" s="472">
        <f t="shared" si="1"/>
        <v>1</v>
      </c>
      <c r="Q1568" s="472">
        <f t="shared" si="2"/>
        <v>-1</v>
      </c>
      <c r="R1568" s="473">
        <f t="shared" si="3"/>
        <v>240</v>
      </c>
      <c r="S1568" s="467"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4"/>
      <c r="U1568" s="474"/>
      <c r="V1568" s="450"/>
      <c r="W1568" s="450"/>
      <c r="X1568" s="450"/>
      <c r="Y1568" s="450"/>
      <c r="Z1568" s="450"/>
    </row>
    <row r="1569" spans="1:26" x14ac:dyDescent="0.25">
      <c r="A1569" s="467" t="s">
        <v>510</v>
      </c>
      <c r="B1569" s="467"/>
      <c r="C1569" s="467" t="s">
        <v>408</v>
      </c>
      <c r="D1569" s="467" t="s">
        <v>511</v>
      </c>
      <c r="E1569" s="468">
        <v>10069</v>
      </c>
      <c r="F1569" s="468">
        <v>10077</v>
      </c>
      <c r="G1569" s="467" t="s">
        <v>512</v>
      </c>
      <c r="H1569" s="467" t="s">
        <v>513</v>
      </c>
      <c r="I1569" s="467" t="s">
        <v>514</v>
      </c>
      <c r="J1569" s="467" t="s">
        <v>8500</v>
      </c>
      <c r="K1569" s="469" t="str">
        <f>HYPERLINK("https://okcountyrecords.com/detail/roger+mills/1927-000712","OKCountyRecords: 1927-000712")</f>
        <v>OKCountyRecords: 1927-000712</v>
      </c>
      <c r="L1569" s="467">
        <v>1</v>
      </c>
      <c r="M1569" s="467" t="s">
        <v>404</v>
      </c>
      <c r="N1569" s="470">
        <f>1/2</f>
        <v>0.5</v>
      </c>
      <c r="O1569" s="471">
        <f t="shared" si="0"/>
        <v>80</v>
      </c>
      <c r="P1569" s="472">
        <f t="shared" si="1"/>
        <v>0.5</v>
      </c>
      <c r="Q1569" s="472">
        <f t="shared" si="2"/>
        <v>-0.5</v>
      </c>
      <c r="R1569" s="473">
        <f t="shared" si="3"/>
        <v>40</v>
      </c>
      <c r="S1569" s="467" t="str">
        <f t="shared" si="6"/>
        <v>Mineral; basis Conv Amt(dec). Gross=tract-map basis.</v>
      </c>
      <c r="T1569" s="489"/>
      <c r="U1569" s="489"/>
      <c r="V1569" s="450"/>
      <c r="W1569" s="450"/>
      <c r="X1569" s="450"/>
      <c r="Y1569" s="450"/>
      <c r="Z1569" s="450"/>
    </row>
    <row r="1570" spans="1:26" x14ac:dyDescent="0.25">
      <c r="A1570" s="467" t="s">
        <v>515</v>
      </c>
      <c r="B1570" s="467"/>
      <c r="C1570" s="467" t="s">
        <v>408</v>
      </c>
      <c r="D1570" s="467" t="s">
        <v>516</v>
      </c>
      <c r="E1570" s="468">
        <v>10069</v>
      </c>
      <c r="F1570" s="468">
        <v>10077</v>
      </c>
      <c r="G1570" s="467" t="s">
        <v>517</v>
      </c>
      <c r="H1570" s="467" t="s">
        <v>518</v>
      </c>
      <c r="I1570" s="467" t="s">
        <v>519</v>
      </c>
      <c r="J1570" s="467" t="s">
        <v>8500</v>
      </c>
      <c r="K1570" s="469" t="str">
        <f>HYPERLINK("https://okcountyrecords.com/detail/roger+mills/1927-000706","OKCountyRecords: 1927-000706")</f>
        <v>OKCountyRecords: 1927-000706</v>
      </c>
      <c r="L1570" s="467">
        <v>5</v>
      </c>
      <c r="M1570" s="467" t="s">
        <v>404</v>
      </c>
      <c r="N1570" s="470">
        <f>1/2</f>
        <v>0.5</v>
      </c>
      <c r="O1570" s="471">
        <f t="shared" si="0"/>
        <v>120</v>
      </c>
      <c r="P1570" s="472">
        <f t="shared" si="1"/>
        <v>0.5</v>
      </c>
      <c r="Q1570" s="472">
        <f t="shared" si="2"/>
        <v>-0.5</v>
      </c>
      <c r="R1570" s="473">
        <f t="shared" si="3"/>
        <v>60</v>
      </c>
      <c r="S1570" s="467" t="str">
        <f t="shared" si="6"/>
        <v>Mineral; basis Conv Amt(dec). Gross=tract-map basis.</v>
      </c>
      <c r="T1570" s="489"/>
      <c r="U1570" s="490"/>
      <c r="V1570" s="450"/>
      <c r="W1570" s="450"/>
      <c r="X1570" s="450"/>
      <c r="Y1570" s="450"/>
      <c r="Z1570" s="450"/>
    </row>
    <row r="1571" spans="1:26" x14ac:dyDescent="0.25">
      <c r="A1571" s="467" t="s">
        <v>520</v>
      </c>
      <c r="B1571" s="467"/>
      <c r="C1571" s="467" t="s">
        <v>521</v>
      </c>
      <c r="D1571" s="467" t="s">
        <v>522</v>
      </c>
      <c r="E1571" s="468">
        <v>11098</v>
      </c>
      <c r="F1571" s="468">
        <v>11237</v>
      </c>
      <c r="G1571" s="467" t="s">
        <v>523</v>
      </c>
      <c r="H1571" s="467" t="s">
        <v>524</v>
      </c>
      <c r="I1571" s="467" t="s">
        <v>231</v>
      </c>
      <c r="J1571" s="467" t="s">
        <v>525</v>
      </c>
      <c r="K1571" s="469" t="str">
        <f>HYPERLINK("https://okcountyrecords.com/detail/roger+mills/1930-001789","OKCountyRecords: 1930-001789")</f>
        <v>OKCountyRecords: 1930-001789</v>
      </c>
      <c r="L1571" s="467" t="s">
        <v>502</v>
      </c>
      <c r="M1571" s="467" t="s">
        <v>465</v>
      </c>
      <c r="N1571" s="470"/>
      <c r="O1571" s="471">
        <f t="shared" si="0"/>
        <v>640</v>
      </c>
      <c r="P1571" s="472" t="str">
        <f t="shared" si="1"/>
        <v/>
      </c>
      <c r="Q1571" s="472" t="str">
        <f t="shared" si="2"/>
        <v/>
      </c>
      <c r="R1571" s="473" t="str">
        <f t="shared" si="3"/>
        <v/>
      </c>
      <c r="S1571" s="467" t="str">
        <f t="shared" si="6"/>
        <v>Other (non-mineral; excluded from mineral NMA). All-section coverage. Gross=tract-map basis.</v>
      </c>
      <c r="T1571" s="489"/>
      <c r="U1571" s="489"/>
      <c r="V1571" s="450"/>
      <c r="W1571" s="450"/>
      <c r="X1571" s="450"/>
      <c r="Y1571" s="450"/>
      <c r="Z1571" s="450"/>
    </row>
    <row r="1572" spans="1:26" x14ac:dyDescent="0.25">
      <c r="A1572" s="467" t="s">
        <v>527</v>
      </c>
      <c r="B1572" s="467"/>
      <c r="C1572" s="467" t="s">
        <v>521</v>
      </c>
      <c r="D1572" s="467" t="s">
        <v>528</v>
      </c>
      <c r="E1572" s="468">
        <v>11098</v>
      </c>
      <c r="F1572" s="468">
        <v>11237</v>
      </c>
      <c r="G1572" s="467" t="s">
        <v>529</v>
      </c>
      <c r="H1572" s="467" t="s">
        <v>524</v>
      </c>
      <c r="I1572" s="467" t="s">
        <v>530</v>
      </c>
      <c r="J1572" s="467" t="s">
        <v>531</v>
      </c>
      <c r="K1572" s="469" t="str">
        <f>HYPERLINK("https://okcountyrecords.com/detail/roger+mills/1930-001819","OKCountyRecords: 1930-001819")</f>
        <v>OKCountyRecords: 1930-001819</v>
      </c>
      <c r="L1572" s="467" t="s">
        <v>502</v>
      </c>
      <c r="M1572" s="467" t="s">
        <v>465</v>
      </c>
      <c r="N1572" s="470"/>
      <c r="O1572" s="471">
        <f t="shared" si="0"/>
        <v>640</v>
      </c>
      <c r="P1572" s="472" t="str">
        <f t="shared" si="1"/>
        <v/>
      </c>
      <c r="Q1572" s="472" t="str">
        <f t="shared" si="2"/>
        <v/>
      </c>
      <c r="R1572" s="473" t="str">
        <f t="shared" si="3"/>
        <v/>
      </c>
      <c r="S1572" s="467" t="str">
        <f t="shared" si="6"/>
        <v>Other (non-mineral; excluded from mineral NMA). All-section coverage. Gross=tract-map basis.</v>
      </c>
      <c r="T1572" s="489"/>
      <c r="U1572" s="489"/>
      <c r="V1572" s="450"/>
      <c r="W1572" s="450"/>
      <c r="X1572" s="450"/>
      <c r="Y1572" s="450"/>
      <c r="Z1572" s="450"/>
    </row>
    <row r="1573" spans="1:26" x14ac:dyDescent="0.25">
      <c r="A1573" s="467" t="s">
        <v>532</v>
      </c>
      <c r="B1573" s="467"/>
      <c r="C1573" s="467" t="s">
        <v>533</v>
      </c>
      <c r="D1573" s="467" t="s">
        <v>534</v>
      </c>
      <c r="E1573" s="468">
        <v>11290</v>
      </c>
      <c r="F1573" s="468">
        <v>11578</v>
      </c>
      <c r="G1573" s="467" t="s">
        <v>535</v>
      </c>
      <c r="H1573" s="467" t="s">
        <v>536</v>
      </c>
      <c r="I1573" s="467" t="s">
        <v>432</v>
      </c>
      <c r="J1573" s="467" t="s">
        <v>63</v>
      </c>
      <c r="K1573" s="469" t="str">
        <f>HYPERLINK("https://okcountyrecords.com/detail/roger+mills/1931-000994","OKCountyRecords: 1931-000994")</f>
        <v>OKCountyRecords: 1931-000994</v>
      </c>
      <c r="L1573" s="467" t="s">
        <v>433</v>
      </c>
      <c r="M1573" s="467" t="s">
        <v>404</v>
      </c>
      <c r="N1573" s="476">
        <v>1</v>
      </c>
      <c r="O1573" s="471">
        <f t="shared" si="0"/>
        <v>80</v>
      </c>
      <c r="P1573" s="472">
        <f t="shared" si="1"/>
        <v>1</v>
      </c>
      <c r="Q1573" s="472">
        <f t="shared" si="2"/>
        <v>-1</v>
      </c>
      <c r="R1573" s="473">
        <f t="shared" si="3"/>
        <v>80</v>
      </c>
      <c r="S1573" s="467" t="str">
        <f t="shared" si="6"/>
        <v>Mineral; basis Conv Amt(dec). Gross=tract-map basis.</v>
      </c>
      <c r="T1573" s="490"/>
      <c r="U1573" s="490"/>
      <c r="V1573" s="450"/>
      <c r="W1573" s="450"/>
      <c r="X1573" s="450"/>
      <c r="Y1573" s="450"/>
      <c r="Z1573" s="450"/>
    </row>
    <row r="1574" spans="1:26" x14ac:dyDescent="0.25">
      <c r="A1574" s="467" t="s">
        <v>537</v>
      </c>
      <c r="B1574" s="467"/>
      <c r="C1574" s="467" t="s">
        <v>408</v>
      </c>
      <c r="D1574" s="467" t="s">
        <v>538</v>
      </c>
      <c r="E1574" s="468">
        <v>11395</v>
      </c>
      <c r="F1574" s="468">
        <v>11395</v>
      </c>
      <c r="G1574" s="467" t="s">
        <v>539</v>
      </c>
      <c r="H1574" s="467" t="s">
        <v>540</v>
      </c>
      <c r="I1574" s="467" t="s">
        <v>541</v>
      </c>
      <c r="J1574" s="467" t="s">
        <v>63</v>
      </c>
      <c r="K1574" s="469" t="str">
        <f>HYPERLINK("https://okcountyrecords.com/detail/roger+mills/1931-000573","OKCountyRecords: 1931-000573")</f>
        <v>OKCountyRecords: 1931-000573</v>
      </c>
      <c r="L1574" s="467" t="s">
        <v>542</v>
      </c>
      <c r="M1574" s="467" t="s">
        <v>404</v>
      </c>
      <c r="N1574" s="470">
        <v>1</v>
      </c>
      <c r="O1574" s="471">
        <f t="shared" si="0"/>
        <v>0</v>
      </c>
      <c r="P1574" s="472">
        <f t="shared" si="1"/>
        <v>1</v>
      </c>
      <c r="Q1574" s="472">
        <f t="shared" si="2"/>
        <v>-1</v>
      </c>
      <c r="R1574" s="473">
        <f t="shared" si="3"/>
        <v>0</v>
      </c>
      <c r="S1574" s="467" t="str">
        <f t="shared" si="6"/>
        <v>Mineral; basis Conv Amt(dec). Gross acres unresolved. Gross=tract-map basis.</v>
      </c>
      <c r="T1574" s="490"/>
      <c r="U1574" s="490"/>
      <c r="V1574" s="450"/>
      <c r="W1574" s="450"/>
      <c r="X1574" s="450"/>
      <c r="Y1574" s="450"/>
      <c r="Z1574" s="450"/>
    </row>
    <row r="1575" spans="1:26" x14ac:dyDescent="0.25">
      <c r="A1575" s="467" t="s">
        <v>544</v>
      </c>
      <c r="B1575" s="467"/>
      <c r="C1575" s="467" t="s">
        <v>545</v>
      </c>
      <c r="D1575" s="467" t="s">
        <v>546</v>
      </c>
      <c r="E1575" s="468">
        <v>12035</v>
      </c>
      <c r="F1575" s="468">
        <v>12035</v>
      </c>
      <c r="G1575" s="467" t="s">
        <v>540</v>
      </c>
      <c r="H1575" s="467" t="s">
        <v>547</v>
      </c>
      <c r="I1575" s="467" t="s">
        <v>548</v>
      </c>
      <c r="J1575" s="467" t="s">
        <v>63</v>
      </c>
      <c r="K1575" s="469" t="str">
        <f>HYPERLINK("https://okcountyrecords.com/detail/roger+mills/1932-000511","OKCountyRecords: 1932-000511")</f>
        <v>OKCountyRecords: 1932-000511</v>
      </c>
      <c r="L1575" s="467" t="s">
        <v>542</v>
      </c>
      <c r="M1575" s="467" t="s">
        <v>404</v>
      </c>
      <c r="N1575" s="470">
        <v>1</v>
      </c>
      <c r="O1575" s="471">
        <f t="shared" si="0"/>
        <v>0</v>
      </c>
      <c r="P1575" s="472">
        <f t="shared" si="1"/>
        <v>1</v>
      </c>
      <c r="Q1575" s="472">
        <f t="shared" si="2"/>
        <v>-1</v>
      </c>
      <c r="R1575" s="473">
        <f t="shared" si="3"/>
        <v>0</v>
      </c>
      <c r="S1575" s="467" t="str">
        <f t="shared" si="6"/>
        <v>Mineral; basis Conv Amt(dec). Gross acres unresolved. Gross=tract-map basis.</v>
      </c>
      <c r="T1575" s="490"/>
      <c r="U1575" s="490"/>
      <c r="V1575" s="450"/>
      <c r="W1575" s="450"/>
      <c r="X1575" s="450"/>
      <c r="Y1575" s="450"/>
      <c r="Z1575" s="450"/>
    </row>
    <row r="1576" spans="1:26" x14ac:dyDescent="0.25">
      <c r="A1576" s="467" t="s">
        <v>549</v>
      </c>
      <c r="B1576" s="467"/>
      <c r="C1576" s="467" t="s">
        <v>550</v>
      </c>
      <c r="D1576" s="467" t="s">
        <v>551</v>
      </c>
      <c r="E1576" s="468">
        <v>12655</v>
      </c>
      <c r="F1576" s="468">
        <v>38695</v>
      </c>
      <c r="G1576" s="467" t="s">
        <v>552</v>
      </c>
      <c r="H1576" s="467" t="s">
        <v>553</v>
      </c>
      <c r="I1576" s="467" t="s">
        <v>455</v>
      </c>
      <c r="J1576" s="467" t="s">
        <v>63</v>
      </c>
      <c r="K1576" s="469" t="str">
        <f>HYPERLINK("https://okcountyrecords.com/detail/roger+mills/2005-008386","OKCountyRecords: 2005-008386")</f>
        <v>OKCountyRecords: 2005-008386</v>
      </c>
      <c r="L1576" s="467">
        <v>1</v>
      </c>
      <c r="M1576" s="467" t="s">
        <v>404</v>
      </c>
      <c r="N1576" s="470">
        <v>1</v>
      </c>
      <c r="O1576" s="471">
        <f t="shared" si="0"/>
        <v>80</v>
      </c>
      <c r="P1576" s="472">
        <f t="shared" si="1"/>
        <v>1</v>
      </c>
      <c r="Q1576" s="472">
        <f t="shared" si="2"/>
        <v>-1</v>
      </c>
      <c r="R1576" s="473">
        <f t="shared" si="3"/>
        <v>80</v>
      </c>
      <c r="S1576" s="467" t="str">
        <f t="shared" si="6"/>
        <v>Mineral; basis Conv Amt(dec). Gross=tract-map basis.</v>
      </c>
      <c r="T1576" s="489"/>
      <c r="U1576" s="490"/>
      <c r="V1576" s="450"/>
      <c r="W1576" s="450"/>
      <c r="X1576" s="450"/>
      <c r="Y1576" s="450"/>
      <c r="Z1576" s="450"/>
    </row>
    <row r="1577" spans="1:26" x14ac:dyDescent="0.25">
      <c r="A1577" s="467" t="s">
        <v>554</v>
      </c>
      <c r="B1577" s="467"/>
      <c r="C1577" s="467" t="s">
        <v>533</v>
      </c>
      <c r="D1577" s="467" t="s">
        <v>555</v>
      </c>
      <c r="E1577" s="468">
        <v>12836</v>
      </c>
      <c r="F1577" s="468">
        <v>12844</v>
      </c>
      <c r="G1577" s="467" t="s">
        <v>556</v>
      </c>
      <c r="H1577" s="467" t="s">
        <v>557</v>
      </c>
      <c r="I1577" s="467" t="s">
        <v>455</v>
      </c>
      <c r="J1577" s="467" t="s">
        <v>63</v>
      </c>
      <c r="K1577" s="469" t="str">
        <f>HYPERLINK("https://okcountyrecords.com/detail/roger+mills/1935-000201","OKCountyRecords: 1935-000201")</f>
        <v>OKCountyRecords: 1935-000201</v>
      </c>
      <c r="L1577" s="467">
        <v>1</v>
      </c>
      <c r="M1577" s="467" t="s">
        <v>404</v>
      </c>
      <c r="N1577" s="470">
        <v>1</v>
      </c>
      <c r="O1577" s="471">
        <f t="shared" si="0"/>
        <v>80</v>
      </c>
      <c r="P1577" s="472">
        <f t="shared" si="1"/>
        <v>1</v>
      </c>
      <c r="Q1577" s="472">
        <f t="shared" si="2"/>
        <v>-1</v>
      </c>
      <c r="R1577" s="473">
        <f t="shared" si="3"/>
        <v>80</v>
      </c>
      <c r="S1577" s="467" t="str">
        <f t="shared" si="6"/>
        <v>Mineral; basis Conv Amt(dec). Gross=tract-map basis.</v>
      </c>
      <c r="T1577" s="489"/>
      <c r="U1577" s="489"/>
      <c r="V1577" s="450"/>
      <c r="W1577" s="450"/>
      <c r="X1577" s="450"/>
      <c r="Y1577" s="450"/>
      <c r="Z1577" s="450"/>
    </row>
    <row r="1578" spans="1:26" x14ac:dyDescent="0.25">
      <c r="A1578" s="467" t="s">
        <v>558</v>
      </c>
      <c r="B1578" s="467"/>
      <c r="C1578" s="467" t="s">
        <v>545</v>
      </c>
      <c r="D1578" s="467" t="s">
        <v>559</v>
      </c>
      <c r="E1578" s="468">
        <v>13094</v>
      </c>
      <c r="F1578" s="468">
        <v>13121</v>
      </c>
      <c r="G1578" s="467" t="s">
        <v>539</v>
      </c>
      <c r="H1578" s="467" t="s">
        <v>560</v>
      </c>
      <c r="I1578" s="467" t="s">
        <v>561</v>
      </c>
      <c r="J1578" s="467" t="s">
        <v>63</v>
      </c>
      <c r="K1578" s="469" t="str">
        <f>HYPERLINK("https://okcountyrecords.com/detail/roger+mills/1935-000554","OKCountyRecords: 1935-000554")</f>
        <v>OKCountyRecords: 1935-000554</v>
      </c>
      <c r="L1578" s="467" t="s">
        <v>542</v>
      </c>
      <c r="M1578" s="467" t="s">
        <v>404</v>
      </c>
      <c r="N1578" s="470">
        <v>1</v>
      </c>
      <c r="O1578" s="471">
        <f t="shared" si="0"/>
        <v>0</v>
      </c>
      <c r="P1578" s="472">
        <f t="shared" si="1"/>
        <v>1</v>
      </c>
      <c r="Q1578" s="472">
        <f t="shared" si="2"/>
        <v>-1</v>
      </c>
      <c r="R1578" s="473">
        <f t="shared" si="3"/>
        <v>0</v>
      </c>
      <c r="S1578" s="467" t="str">
        <f t="shared" si="6"/>
        <v>Mineral; basis Conv Amt(dec). Gross acres unresolved. Gross=tract-map basis.</v>
      </c>
      <c r="T1578" s="490"/>
      <c r="U1578" s="490"/>
      <c r="V1578" s="450"/>
      <c r="W1578" s="450"/>
      <c r="X1578" s="450"/>
      <c r="Y1578" s="450"/>
      <c r="Z1578" s="450"/>
    </row>
    <row r="1579" spans="1:26" x14ac:dyDescent="0.25">
      <c r="A1579" s="467" t="s">
        <v>562</v>
      </c>
      <c r="B1579" s="467"/>
      <c r="C1579" s="467" t="s">
        <v>545</v>
      </c>
      <c r="D1579" s="467" t="s">
        <v>563</v>
      </c>
      <c r="E1579" s="468">
        <v>13545</v>
      </c>
      <c r="F1579" s="468">
        <v>13545</v>
      </c>
      <c r="G1579" s="467" t="s">
        <v>564</v>
      </c>
      <c r="H1579" s="467" t="s">
        <v>560</v>
      </c>
      <c r="I1579" s="467" t="s">
        <v>455</v>
      </c>
      <c r="J1579" s="467" t="s">
        <v>565</v>
      </c>
      <c r="K1579" s="469" t="str">
        <f>HYPERLINK("https://okcountyrecords.com/detail/roger+mills/1937-000416","OKCountyRecords: 1937-000416")</f>
        <v>OKCountyRecords: 1937-000416</v>
      </c>
      <c r="L1579" s="467">
        <v>1</v>
      </c>
      <c r="M1579" s="467" t="s">
        <v>404</v>
      </c>
      <c r="N1579" s="470">
        <v>1</v>
      </c>
      <c r="O1579" s="471">
        <f t="shared" si="0"/>
        <v>80</v>
      </c>
      <c r="P1579" s="472">
        <f t="shared" si="1"/>
        <v>1</v>
      </c>
      <c r="Q1579" s="472">
        <f t="shared" si="2"/>
        <v>-1</v>
      </c>
      <c r="R1579" s="473">
        <f t="shared" si="3"/>
        <v>80</v>
      </c>
      <c r="S1579" s="467" t="str">
        <f t="shared" si="6"/>
        <v>Mineral; basis Conv Amt(dec). Gross=tract-map basis.</v>
      </c>
      <c r="T1579" s="489"/>
      <c r="U1579" s="489"/>
      <c r="V1579" s="450"/>
      <c r="W1579" s="450"/>
      <c r="X1579" s="450"/>
      <c r="Y1579" s="450"/>
      <c r="Z1579" s="450"/>
    </row>
    <row r="1580" spans="1:26" x14ac:dyDescent="0.25">
      <c r="A1580" s="467" t="s">
        <v>566</v>
      </c>
      <c r="B1580" s="467"/>
      <c r="C1580" s="467" t="s">
        <v>461</v>
      </c>
      <c r="D1580" s="467" t="s">
        <v>567</v>
      </c>
      <c r="E1580" s="468">
        <v>13938</v>
      </c>
      <c r="F1580" s="468">
        <v>13924</v>
      </c>
      <c r="G1580" s="467" t="s">
        <v>568</v>
      </c>
      <c r="H1580" s="467" t="s">
        <v>102</v>
      </c>
      <c r="I1580" s="467" t="s">
        <v>569</v>
      </c>
      <c r="J1580" s="467" t="s">
        <v>570</v>
      </c>
      <c r="K1580" s="469" t="str">
        <f>HYPERLINK("https://okcountyrecords.com/detail/roger+mills/1938-000632","OKCountyRecords: 1938-000632")</f>
        <v>OKCountyRecords: 1938-000632</v>
      </c>
      <c r="L1580" s="467" t="s">
        <v>502</v>
      </c>
      <c r="M1580" s="467" t="s">
        <v>465</v>
      </c>
      <c r="N1580" s="470"/>
      <c r="O1580" s="471">
        <f t="shared" si="0"/>
        <v>640</v>
      </c>
      <c r="P1580" s="472" t="str">
        <f t="shared" si="1"/>
        <v/>
      </c>
      <c r="Q1580" s="472" t="str">
        <f t="shared" si="2"/>
        <v/>
      </c>
      <c r="R1580" s="473" t="str">
        <f t="shared" si="3"/>
        <v/>
      </c>
      <c r="S1580" s="467" t="s">
        <v>503</v>
      </c>
      <c r="T1580" s="489" t="s">
        <v>467</v>
      </c>
      <c r="U1580" s="490" t="s">
        <v>504</v>
      </c>
      <c r="V1580" s="450"/>
      <c r="W1580" s="450"/>
      <c r="X1580" s="450"/>
      <c r="Y1580" s="450"/>
      <c r="Z1580" s="450"/>
    </row>
    <row r="1581" spans="1:26" x14ac:dyDescent="0.25">
      <c r="A1581" s="467" t="s">
        <v>571</v>
      </c>
      <c r="B1581" s="467"/>
      <c r="C1581" s="467" t="s">
        <v>533</v>
      </c>
      <c r="D1581" s="467" t="s">
        <v>572</v>
      </c>
      <c r="E1581" s="468">
        <v>14235</v>
      </c>
      <c r="F1581" s="468">
        <v>14289</v>
      </c>
      <c r="G1581" s="467" t="s">
        <v>573</v>
      </c>
      <c r="H1581" s="467" t="s">
        <v>557</v>
      </c>
      <c r="I1581" s="467" t="s">
        <v>514</v>
      </c>
      <c r="J1581" s="467" t="s">
        <v>8501</v>
      </c>
      <c r="K1581" s="469" t="str">
        <f>HYPERLINK("https://okcountyrecords.com/detail/roger+mills/1939-001120","OKCountyRecords: 1939-001120")</f>
        <v>OKCountyRecords: 1939-001120</v>
      </c>
      <c r="L1581" s="467">
        <v>1</v>
      </c>
      <c r="M1581" s="467" t="s">
        <v>404</v>
      </c>
      <c r="N1581" s="470">
        <v>1</v>
      </c>
      <c r="O1581" s="471">
        <f t="shared" si="0"/>
        <v>80</v>
      </c>
      <c r="P1581" s="472">
        <f t="shared" si="1"/>
        <v>1</v>
      </c>
      <c r="Q1581" s="472">
        <f t="shared" si="2"/>
        <v>-1</v>
      </c>
      <c r="R1581" s="473">
        <f t="shared" si="3"/>
        <v>80</v>
      </c>
      <c r="S1581" s="467"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89"/>
      <c r="U1581" s="489"/>
      <c r="V1581" s="450"/>
      <c r="W1581" s="450"/>
      <c r="X1581" s="450"/>
      <c r="Y1581" s="450"/>
      <c r="Z1581" s="450"/>
    </row>
    <row r="1582" spans="1:26" x14ac:dyDescent="0.25">
      <c r="A1582" s="467" t="s">
        <v>574</v>
      </c>
      <c r="B1582" s="467"/>
      <c r="C1582" s="467" t="s">
        <v>575</v>
      </c>
      <c r="D1582" s="467" t="s">
        <v>576</v>
      </c>
      <c r="E1582" s="468">
        <v>15490</v>
      </c>
      <c r="F1582" s="468">
        <v>15490</v>
      </c>
      <c r="G1582" s="467" t="s">
        <v>577</v>
      </c>
      <c r="H1582" s="467" t="s">
        <v>578</v>
      </c>
      <c r="I1582" s="467" t="s">
        <v>579</v>
      </c>
      <c r="J1582" s="467" t="s">
        <v>580</v>
      </c>
      <c r="K1582" s="469" t="str">
        <f>HYPERLINK("https://okcountyrecords.com/detail/roger+mills/1942-000630","OKCountyRecords: 1942-000630")</f>
        <v>OKCountyRecords: 1942-000630</v>
      </c>
      <c r="L1582" s="467">
        <v>5</v>
      </c>
      <c r="M1582" s="467" t="s">
        <v>404</v>
      </c>
      <c r="N1582" s="470">
        <v>1</v>
      </c>
      <c r="O1582" s="471">
        <f t="shared" si="0"/>
        <v>120</v>
      </c>
      <c r="P1582" s="472">
        <f t="shared" si="1"/>
        <v>1</v>
      </c>
      <c r="Q1582" s="472">
        <f t="shared" si="2"/>
        <v>-1</v>
      </c>
      <c r="R1582" s="473">
        <f t="shared" si="3"/>
        <v>120</v>
      </c>
      <c r="S1582" s="467" t="str">
        <f t="shared" si="7"/>
        <v>Mineral; basis Conv Amt(dec). Gross=tract-map basis.</v>
      </c>
      <c r="T1582" s="489"/>
      <c r="U1582" s="490"/>
      <c r="V1582" s="450"/>
      <c r="W1582" s="450"/>
      <c r="X1582" s="450"/>
      <c r="Y1582" s="450"/>
      <c r="Z1582" s="450"/>
    </row>
    <row r="1583" spans="1:26" x14ac:dyDescent="0.25">
      <c r="A1583" s="467" t="s">
        <v>581</v>
      </c>
      <c r="B1583" s="467"/>
      <c r="C1583" s="467" t="s">
        <v>545</v>
      </c>
      <c r="D1583" s="467" t="s">
        <v>582</v>
      </c>
      <c r="E1583" s="468">
        <v>16434</v>
      </c>
      <c r="F1583" s="468">
        <v>16508</v>
      </c>
      <c r="G1583" s="467" t="s">
        <v>583</v>
      </c>
      <c r="H1583" s="467" t="s">
        <v>560</v>
      </c>
      <c r="I1583" s="467" t="s">
        <v>432</v>
      </c>
      <c r="J1583" s="467" t="s">
        <v>63</v>
      </c>
      <c r="K1583" s="469" t="str">
        <f>HYPERLINK("https://okcountyrecords.com/detail/roger+mills/1945-000171","OKCountyRecords: 1945-000171")</f>
        <v>OKCountyRecords: 1945-000171</v>
      </c>
      <c r="L1583" s="467" t="s">
        <v>433</v>
      </c>
      <c r="M1583" s="467" t="s">
        <v>404</v>
      </c>
      <c r="N1583" s="476">
        <v>1</v>
      </c>
      <c r="O1583" s="471">
        <f t="shared" si="0"/>
        <v>80</v>
      </c>
      <c r="P1583" s="472">
        <f t="shared" si="1"/>
        <v>1</v>
      </c>
      <c r="Q1583" s="472">
        <f t="shared" si="2"/>
        <v>-1</v>
      </c>
      <c r="R1583" s="473">
        <f t="shared" si="3"/>
        <v>80</v>
      </c>
      <c r="S1583" s="467" t="str">
        <f t="shared" si="7"/>
        <v>Mineral; basis Conv Amt(dec). Gross=tract-map basis.</v>
      </c>
      <c r="T1583" s="490"/>
      <c r="U1583" s="490"/>
      <c r="V1583" s="450"/>
      <c r="W1583" s="450"/>
      <c r="X1583" s="450"/>
      <c r="Y1583" s="450"/>
      <c r="Z1583" s="450"/>
    </row>
    <row r="1584" spans="1:26" x14ac:dyDescent="0.25">
      <c r="A1584" s="467" t="s">
        <v>584</v>
      </c>
      <c r="B1584" s="467"/>
      <c r="C1584" s="467" t="s">
        <v>585</v>
      </c>
      <c r="D1584" s="467" t="s">
        <v>586</v>
      </c>
      <c r="E1584" s="468">
        <v>16439</v>
      </c>
      <c r="F1584" s="468">
        <v>16439</v>
      </c>
      <c r="G1584" s="467" t="s">
        <v>587</v>
      </c>
      <c r="H1584" s="467" t="s">
        <v>588</v>
      </c>
      <c r="I1584" s="467" t="s">
        <v>589</v>
      </c>
      <c r="J1584" s="467" t="s">
        <v>63</v>
      </c>
      <c r="K1584" s="469" t="str">
        <f>HYPERLINK("https://okcountyrecords.com/detail/roger+mills/1945-000816","OKCountyRecords: 1945-000816")</f>
        <v>OKCountyRecords: 1945-000816</v>
      </c>
      <c r="L1584" s="467" t="s">
        <v>433</v>
      </c>
      <c r="M1584" s="467" t="s">
        <v>404</v>
      </c>
      <c r="N1584" s="476">
        <v>1</v>
      </c>
      <c r="O1584" s="471">
        <f t="shared" si="0"/>
        <v>80</v>
      </c>
      <c r="P1584" s="472">
        <f t="shared" si="1"/>
        <v>1</v>
      </c>
      <c r="Q1584" s="472">
        <f t="shared" si="2"/>
        <v>-1</v>
      </c>
      <c r="R1584" s="473">
        <f t="shared" si="3"/>
        <v>80</v>
      </c>
      <c r="S1584" s="467" t="str">
        <f t="shared" si="7"/>
        <v>Mineral; basis Conv Amt(dec). Gross=tract-map basis.</v>
      </c>
      <c r="T1584" s="474"/>
      <c r="U1584" s="474"/>
      <c r="V1584" s="450"/>
      <c r="W1584" s="450"/>
      <c r="X1584" s="450"/>
      <c r="Y1584" s="450"/>
      <c r="Z1584" s="450"/>
    </row>
    <row r="1585" spans="1:26" x14ac:dyDescent="0.25">
      <c r="A1585" s="467" t="s">
        <v>590</v>
      </c>
      <c r="B1585" s="467"/>
      <c r="C1585" s="467" t="s">
        <v>591</v>
      </c>
      <c r="D1585" s="467" t="s">
        <v>592</v>
      </c>
      <c r="E1585" s="468">
        <v>17950</v>
      </c>
      <c r="F1585" s="468">
        <v>17991</v>
      </c>
      <c r="G1585" s="467" t="s">
        <v>593</v>
      </c>
      <c r="H1585" s="467" t="s">
        <v>594</v>
      </c>
      <c r="I1585" s="467" t="s">
        <v>530</v>
      </c>
      <c r="J1585" s="467" t="s">
        <v>595</v>
      </c>
      <c r="K1585" s="469" t="str">
        <f>HYPERLINK("https://okcountyrecords.com/detail/roger+mills/1949-002138","OKCountyRecords: 1949-002138")</f>
        <v>OKCountyRecords: 1949-002138</v>
      </c>
      <c r="L1585" s="467" t="s">
        <v>502</v>
      </c>
      <c r="M1585" s="467" t="s">
        <v>465</v>
      </c>
      <c r="N1585" s="470"/>
      <c r="O1585" s="471">
        <f t="shared" si="0"/>
        <v>640</v>
      </c>
      <c r="P1585" s="472" t="str">
        <f t="shared" si="1"/>
        <v/>
      </c>
      <c r="Q1585" s="472" t="str">
        <f t="shared" si="2"/>
        <v/>
      </c>
      <c r="R1585" s="473" t="str">
        <f t="shared" si="3"/>
        <v/>
      </c>
      <c r="S1585" s="467" t="str">
        <f t="shared" si="7"/>
        <v>Other (non-mineral; excluded from mineral NMA). All-section coverage. Gross=tract-map basis.</v>
      </c>
      <c r="T1585" s="489"/>
      <c r="U1585" s="489"/>
      <c r="V1585" s="450"/>
      <c r="W1585" s="450"/>
      <c r="X1585" s="450"/>
      <c r="Y1585" s="450"/>
      <c r="Z1585" s="450"/>
    </row>
    <row r="1586" spans="1:26" x14ac:dyDescent="0.25">
      <c r="A1586" s="467" t="s">
        <v>596</v>
      </c>
      <c r="B1586" s="467"/>
      <c r="C1586" s="467" t="s">
        <v>545</v>
      </c>
      <c r="D1586" s="467" t="s">
        <v>597</v>
      </c>
      <c r="E1586" s="468">
        <v>17950</v>
      </c>
      <c r="F1586" s="468">
        <v>18112</v>
      </c>
      <c r="G1586" s="467" t="s">
        <v>598</v>
      </c>
      <c r="H1586" s="467" t="s">
        <v>599</v>
      </c>
      <c r="I1586" s="467" t="s">
        <v>600</v>
      </c>
      <c r="J1586" s="467" t="s">
        <v>601</v>
      </c>
      <c r="K1586" s="469" t="str">
        <f>HYPERLINK("https://okcountyrecords.com/detail/roger+mills/1949-000814","OKCountyRecords: 1949-000814")</f>
        <v>OKCountyRecords: 1949-000814</v>
      </c>
      <c r="L1586" s="467" t="s">
        <v>602</v>
      </c>
      <c r="M1586" s="467" t="s">
        <v>404</v>
      </c>
      <c r="N1586" s="476">
        <f>1/2</f>
        <v>0.5</v>
      </c>
      <c r="O1586" s="471">
        <f t="shared" si="0"/>
        <v>440</v>
      </c>
      <c r="P1586" s="472">
        <f t="shared" si="1"/>
        <v>0.5</v>
      </c>
      <c r="Q1586" s="472">
        <f t="shared" si="2"/>
        <v>-0.5</v>
      </c>
      <c r="R1586" s="473">
        <f t="shared" si="3"/>
        <v>220</v>
      </c>
      <c r="S1586" s="467" t="str">
        <f t="shared" si="7"/>
        <v>Mineral; basis Conv Amt(dec). Gross=tract-map basis.</v>
      </c>
      <c r="T1586" s="490"/>
      <c r="U1586" s="490"/>
      <c r="V1586" s="450"/>
      <c r="W1586" s="450"/>
      <c r="X1586" s="450"/>
      <c r="Y1586" s="450"/>
      <c r="Z1586" s="450"/>
    </row>
    <row r="1587" spans="1:26" x14ac:dyDescent="0.25">
      <c r="A1587" s="467" t="s">
        <v>603</v>
      </c>
      <c r="B1587" s="467"/>
      <c r="C1587" s="467" t="s">
        <v>604</v>
      </c>
      <c r="D1587" s="467" t="s">
        <v>605</v>
      </c>
      <c r="E1587" s="468">
        <v>17986</v>
      </c>
      <c r="F1587" s="468">
        <v>17986</v>
      </c>
      <c r="G1587" s="467" t="s">
        <v>606</v>
      </c>
      <c r="H1587" s="467" t="s">
        <v>102</v>
      </c>
      <c r="I1587" s="467" t="s">
        <v>607</v>
      </c>
      <c r="J1587" s="467" t="s">
        <v>608</v>
      </c>
      <c r="K1587" s="469" t="str">
        <f>HYPERLINK("https://okcountyrecords.com/detail/roger+mills/1949-002129","OKCountyRecords: 1949-002129")</f>
        <v>OKCountyRecords: 1949-002129</v>
      </c>
      <c r="L1587" s="467" t="s">
        <v>502</v>
      </c>
      <c r="M1587" s="467" t="s">
        <v>465</v>
      </c>
      <c r="N1587" s="470">
        <v>0</v>
      </c>
      <c r="O1587" s="471">
        <f t="shared" si="0"/>
        <v>640</v>
      </c>
      <c r="P1587" s="472" t="str">
        <f t="shared" si="1"/>
        <v/>
      </c>
      <c r="Q1587" s="472" t="str">
        <f t="shared" si="2"/>
        <v/>
      </c>
      <c r="R1587" s="473" t="str">
        <f t="shared" si="3"/>
        <v/>
      </c>
      <c r="S1587" s="467" t="s">
        <v>503</v>
      </c>
      <c r="T1587" s="489" t="s">
        <v>467</v>
      </c>
      <c r="U1587" s="489" t="s">
        <v>504</v>
      </c>
      <c r="V1587" s="450"/>
      <c r="W1587" s="450"/>
      <c r="X1587" s="450"/>
      <c r="Y1587" s="450"/>
      <c r="Z1587" s="450"/>
    </row>
    <row r="1588" spans="1:26" x14ac:dyDescent="0.25">
      <c r="A1588" s="467" t="s">
        <v>609</v>
      </c>
      <c r="B1588" s="467"/>
      <c r="C1588" s="467" t="s">
        <v>545</v>
      </c>
      <c r="D1588" s="467" t="s">
        <v>610</v>
      </c>
      <c r="E1588" s="468">
        <v>18015</v>
      </c>
      <c r="F1588" s="468">
        <v>18095</v>
      </c>
      <c r="G1588" s="467" t="s">
        <v>611</v>
      </c>
      <c r="H1588" s="467" t="s">
        <v>599</v>
      </c>
      <c r="I1588" s="467" t="s">
        <v>612</v>
      </c>
      <c r="J1588" s="467" t="s">
        <v>63</v>
      </c>
      <c r="K1588" s="469" t="str">
        <f>HYPERLINK("https://okcountyrecords.com/detail/roger+mills/1949-000809","OKCountyRecords: 1949-000809")</f>
        <v>OKCountyRecords: 1949-000809</v>
      </c>
      <c r="L1588" s="467" t="s">
        <v>613</v>
      </c>
      <c r="M1588" s="467" t="s">
        <v>404</v>
      </c>
      <c r="N1588" s="470">
        <v>1</v>
      </c>
      <c r="O1588" s="471">
        <f t="shared" si="0"/>
        <v>440</v>
      </c>
      <c r="P1588" s="472">
        <f t="shared" si="1"/>
        <v>1</v>
      </c>
      <c r="Q1588" s="472">
        <f t="shared" si="2"/>
        <v>-1</v>
      </c>
      <c r="R1588" s="473">
        <f t="shared" si="3"/>
        <v>440</v>
      </c>
      <c r="S1588" s="467"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90"/>
      <c r="U1588" s="490"/>
      <c r="V1588" s="450"/>
      <c r="W1588" s="450"/>
      <c r="X1588" s="450"/>
      <c r="Y1588" s="450"/>
      <c r="Z1588" s="450"/>
    </row>
    <row r="1589" spans="1:26" x14ac:dyDescent="0.25">
      <c r="A1589" s="467" t="s">
        <v>614</v>
      </c>
      <c r="B1589" s="467"/>
      <c r="C1589" s="467" t="s">
        <v>533</v>
      </c>
      <c r="D1589" s="467" t="s">
        <v>615</v>
      </c>
      <c r="E1589" s="468">
        <v>18056</v>
      </c>
      <c r="F1589" s="468">
        <v>18084</v>
      </c>
      <c r="G1589" s="467" t="s">
        <v>616</v>
      </c>
      <c r="H1589" s="467" t="s">
        <v>594</v>
      </c>
      <c r="I1589" s="467" t="s">
        <v>617</v>
      </c>
      <c r="J1589" s="467" t="s">
        <v>8502</v>
      </c>
      <c r="K1589" s="469" t="str">
        <f>HYPERLINK("https://okcountyrecords.com/detail/roger+mills/1949-003394","OKCountyRecords: 1949-003394")</f>
        <v>OKCountyRecords: 1949-003394</v>
      </c>
      <c r="L1589" s="467" t="s">
        <v>438</v>
      </c>
      <c r="M1589" s="467" t="s">
        <v>404</v>
      </c>
      <c r="N1589" s="470">
        <v>1</v>
      </c>
      <c r="O1589" s="471">
        <f t="shared" si="0"/>
        <v>240</v>
      </c>
      <c r="P1589" s="472">
        <f t="shared" si="1"/>
        <v>1</v>
      </c>
      <c r="Q1589" s="472">
        <f t="shared" si="2"/>
        <v>-1</v>
      </c>
      <c r="R1589" s="473">
        <f t="shared" si="3"/>
        <v>240</v>
      </c>
      <c r="S1589" s="467" t="str">
        <f t="shared" si="8"/>
        <v>Mineral; basis Conv Amt(dec). Gross=tract-map basis.</v>
      </c>
      <c r="T1589" s="474"/>
      <c r="U1589" s="474"/>
      <c r="V1589" s="450"/>
      <c r="W1589" s="450"/>
      <c r="X1589" s="450"/>
      <c r="Y1589" s="450"/>
      <c r="Z1589" s="450"/>
    </row>
    <row r="1590" spans="1:26" x14ac:dyDescent="0.25">
      <c r="A1590" s="467" t="s">
        <v>618</v>
      </c>
      <c r="B1590" s="467"/>
      <c r="C1590" s="467" t="s">
        <v>619</v>
      </c>
      <c r="D1590" s="467" t="s">
        <v>620</v>
      </c>
      <c r="E1590" s="468">
        <v>18170</v>
      </c>
      <c r="F1590" s="468">
        <v>18170</v>
      </c>
      <c r="G1590" s="467" t="s">
        <v>621</v>
      </c>
      <c r="H1590" s="467" t="s">
        <v>622</v>
      </c>
      <c r="I1590" s="467" t="s">
        <v>623</v>
      </c>
      <c r="J1590" s="467" t="s">
        <v>624</v>
      </c>
      <c r="K1590" s="469" t="str">
        <f>HYPERLINK("https://okcountyrecords.com/detail/roger+mills/1949-001867","OKCountyRecords: 1949-001867")</f>
        <v>OKCountyRecords: 1949-001867</v>
      </c>
      <c r="L1590" s="467" t="s">
        <v>625</v>
      </c>
      <c r="M1590" s="467" t="s">
        <v>404</v>
      </c>
      <c r="N1590" s="476">
        <f>IF(O1590&gt;0,20/O1590,"")</f>
        <v>7.1428571428571425E-2</v>
      </c>
      <c r="O1590" s="471">
        <f t="shared" si="0"/>
        <v>280</v>
      </c>
      <c r="P1590" s="472">
        <f t="shared" si="1"/>
        <v>7.1428571428571425E-2</v>
      </c>
      <c r="Q1590" s="472">
        <f t="shared" si="2"/>
        <v>-7.1428571428571425E-2</v>
      </c>
      <c r="R1590" s="473">
        <f t="shared" si="3"/>
        <v>20</v>
      </c>
      <c r="S1590" s="467" t="str">
        <f t="shared" si="8"/>
        <v>Mineral; basis Conv Amt(dec). Gross=tract-map basis.</v>
      </c>
      <c r="T1590" s="474"/>
      <c r="U1590" s="474" t="s">
        <v>626</v>
      </c>
      <c r="V1590" s="450"/>
      <c r="W1590" s="450"/>
      <c r="X1590" s="450"/>
      <c r="Y1590" s="450"/>
      <c r="Z1590" s="450"/>
    </row>
    <row r="1591" spans="1:26" x14ac:dyDescent="0.25">
      <c r="A1591" s="467" t="s">
        <v>627</v>
      </c>
      <c r="B1591" s="467"/>
      <c r="C1591" s="467" t="s">
        <v>545</v>
      </c>
      <c r="D1591" s="467" t="s">
        <v>628</v>
      </c>
      <c r="E1591" s="468">
        <v>18420</v>
      </c>
      <c r="F1591" s="468">
        <v>18420</v>
      </c>
      <c r="G1591" s="467" t="s">
        <v>621</v>
      </c>
      <c r="H1591" s="467" t="s">
        <v>599</v>
      </c>
      <c r="I1591" s="467" t="s">
        <v>623</v>
      </c>
      <c r="J1591" s="467" t="s">
        <v>629</v>
      </c>
      <c r="K1591" s="469" t="str">
        <f>HYPERLINK("https://okcountyrecords.com/detail/roger+mills/1950-000383","OKCountyRecords: 1950-000383")</f>
        <v>OKCountyRecords: 1950-000383</v>
      </c>
      <c r="L1591" s="467" t="s">
        <v>625</v>
      </c>
      <c r="M1591" s="467" t="s">
        <v>404</v>
      </c>
      <c r="N1591" s="476">
        <v>1</v>
      </c>
      <c r="O1591" s="471">
        <f t="shared" si="0"/>
        <v>280</v>
      </c>
      <c r="P1591" s="472">
        <f t="shared" si="1"/>
        <v>1</v>
      </c>
      <c r="Q1591" s="472">
        <f t="shared" si="2"/>
        <v>-1</v>
      </c>
      <c r="R1591" s="473">
        <f t="shared" si="3"/>
        <v>280</v>
      </c>
      <c r="S1591" s="467" t="str">
        <f t="shared" si="8"/>
        <v>Mineral; basis Conv Amt(dec). Gross=tract-map basis.</v>
      </c>
      <c r="T1591" s="474"/>
      <c r="U1591" s="474"/>
      <c r="V1591" s="450"/>
      <c r="W1591" s="450"/>
      <c r="X1591" s="450"/>
      <c r="Y1591" s="450"/>
      <c r="Z1591" s="450"/>
    </row>
    <row r="1592" spans="1:26" x14ac:dyDescent="0.25">
      <c r="A1592" s="467" t="s">
        <v>630</v>
      </c>
      <c r="B1592" s="467"/>
      <c r="C1592" s="467" t="s">
        <v>545</v>
      </c>
      <c r="D1592" s="467" t="s">
        <v>631</v>
      </c>
      <c r="E1592" s="468">
        <v>19396</v>
      </c>
      <c r="F1592" s="468">
        <v>19396</v>
      </c>
      <c r="G1592" s="467" t="s">
        <v>632</v>
      </c>
      <c r="H1592" s="467" t="s">
        <v>633</v>
      </c>
      <c r="I1592" s="467" t="s">
        <v>634</v>
      </c>
      <c r="J1592" s="467" t="s">
        <v>63</v>
      </c>
      <c r="K1592" s="469" t="str">
        <f>HYPERLINK("https://okcountyrecords.com/detail/roger+mills/1953-000493","OKCountyRecords: 1953-000493")</f>
        <v>OKCountyRecords: 1953-000493</v>
      </c>
      <c r="L1592" s="467" t="s">
        <v>635</v>
      </c>
      <c r="M1592" s="467" t="s">
        <v>404</v>
      </c>
      <c r="N1592" s="476">
        <v>1</v>
      </c>
      <c r="O1592" s="471">
        <f t="shared" si="0"/>
        <v>480</v>
      </c>
      <c r="P1592" s="472">
        <f t="shared" si="1"/>
        <v>1</v>
      </c>
      <c r="Q1592" s="472">
        <f t="shared" si="2"/>
        <v>-1</v>
      </c>
      <c r="R1592" s="473">
        <f t="shared" si="3"/>
        <v>480</v>
      </c>
      <c r="S1592" s="467" t="str">
        <f t="shared" si="8"/>
        <v>Mineral; basis Conv Amt(dec). Gross=tract-map basis.</v>
      </c>
      <c r="T1592" s="474"/>
      <c r="U1592" s="474"/>
      <c r="V1592" s="450"/>
      <c r="W1592" s="450"/>
      <c r="X1592" s="450"/>
      <c r="Y1592" s="450"/>
      <c r="Z1592" s="450"/>
    </row>
    <row r="1593" spans="1:26" x14ac:dyDescent="0.25">
      <c r="A1593" s="467" t="s">
        <v>636</v>
      </c>
      <c r="B1593" s="467"/>
      <c r="C1593" s="467" t="s">
        <v>545</v>
      </c>
      <c r="D1593" s="467" t="s">
        <v>637</v>
      </c>
      <c r="E1593" s="468">
        <v>19414</v>
      </c>
      <c r="F1593" s="468">
        <v>19417</v>
      </c>
      <c r="G1593" s="467" t="s">
        <v>638</v>
      </c>
      <c r="H1593" s="467" t="s">
        <v>639</v>
      </c>
      <c r="I1593" s="467" t="s">
        <v>612</v>
      </c>
      <c r="J1593" s="467" t="s">
        <v>640</v>
      </c>
      <c r="K1593" s="469" t="str">
        <f>HYPERLINK("https://okcountyrecords.com/detail/roger+mills/1953-000498","OKCountyRecords: 1953-000498")</f>
        <v>OKCountyRecords: 1953-000498</v>
      </c>
      <c r="L1593" s="467" t="s">
        <v>613</v>
      </c>
      <c r="M1593" s="467" t="s">
        <v>404</v>
      </c>
      <c r="N1593" s="470">
        <f>IF(O1593&gt;0,75/O1593,"")</f>
        <v>0.17045454545454544</v>
      </c>
      <c r="O1593" s="471">
        <f t="shared" si="0"/>
        <v>440</v>
      </c>
      <c r="P1593" s="472">
        <f t="shared" si="1"/>
        <v>0.17045454545454544</v>
      </c>
      <c r="Q1593" s="472">
        <f t="shared" si="2"/>
        <v>-0.17045454545454544</v>
      </c>
      <c r="R1593" s="473">
        <f t="shared" si="3"/>
        <v>75</v>
      </c>
      <c r="S1593" s="467" t="str">
        <f t="shared" si="8"/>
        <v>Mineral; basis Conv Amt(dec). Gross=tract-map basis.</v>
      </c>
      <c r="T1593" s="489" t="s">
        <v>641</v>
      </c>
      <c r="U1593" s="490" t="s">
        <v>642</v>
      </c>
      <c r="V1593" s="450"/>
      <c r="W1593" s="450"/>
      <c r="X1593" s="450"/>
      <c r="Y1593" s="450"/>
      <c r="Z1593" s="450"/>
    </row>
    <row r="1594" spans="1:26" x14ac:dyDescent="0.25">
      <c r="A1594" s="467" t="s">
        <v>643</v>
      </c>
      <c r="B1594" s="467"/>
      <c r="C1594" s="467" t="s">
        <v>591</v>
      </c>
      <c r="D1594" s="467" t="s">
        <v>644</v>
      </c>
      <c r="E1594" s="468">
        <v>20844</v>
      </c>
      <c r="F1594" s="468">
        <v>20876</v>
      </c>
      <c r="G1594" s="467" t="s">
        <v>645</v>
      </c>
      <c r="H1594" s="467" t="s">
        <v>646</v>
      </c>
      <c r="I1594" s="467" t="s">
        <v>530</v>
      </c>
      <c r="J1594" s="467" t="s">
        <v>647</v>
      </c>
      <c r="K1594" s="469" t="str">
        <f>HYPERLINK("https://okcountyrecords.com/detail/roger+mills/1957-001086","OKCountyRecords: 1957-001086")</f>
        <v>OKCountyRecords: 1957-001086</v>
      </c>
      <c r="L1594" s="467" t="s">
        <v>502</v>
      </c>
      <c r="M1594" s="467" t="s">
        <v>465</v>
      </c>
      <c r="N1594" s="470"/>
      <c r="O1594" s="471">
        <f t="shared" si="0"/>
        <v>640</v>
      </c>
      <c r="P1594" s="472" t="str">
        <f t="shared" si="1"/>
        <v/>
      </c>
      <c r="Q1594" s="472" t="str">
        <f t="shared" si="2"/>
        <v/>
      </c>
      <c r="R1594" s="473" t="str">
        <f t="shared" si="3"/>
        <v/>
      </c>
      <c r="S1594" s="467" t="str">
        <f t="shared" si="8"/>
        <v>Other (non-mineral; excluded from mineral NMA). All-section coverage. Gross=tract-map basis.</v>
      </c>
      <c r="T1594" s="490"/>
      <c r="U1594" s="490"/>
      <c r="V1594" s="450"/>
      <c r="W1594" s="450"/>
      <c r="X1594" s="450"/>
      <c r="Y1594" s="450"/>
      <c r="Z1594" s="450"/>
    </row>
    <row r="1595" spans="1:26" x14ac:dyDescent="0.25">
      <c r="A1595" s="467" t="s">
        <v>648</v>
      </c>
      <c r="B1595" s="467"/>
      <c r="C1595" s="467" t="s">
        <v>649</v>
      </c>
      <c r="D1595" s="467" t="s">
        <v>650</v>
      </c>
      <c r="E1595" s="468">
        <v>21957</v>
      </c>
      <c r="F1595" s="468">
        <v>21969</v>
      </c>
      <c r="G1595" s="467" t="s">
        <v>651</v>
      </c>
      <c r="H1595" s="467" t="s">
        <v>102</v>
      </c>
      <c r="I1595" s="467" t="s">
        <v>530</v>
      </c>
      <c r="J1595" s="467" t="s">
        <v>652</v>
      </c>
      <c r="K1595" s="469" t="str">
        <f>HYPERLINK("https://okcountyrecords.com/detail/roger+mills/1960-000414","OKCountyRecords: 1960-000414")</f>
        <v>OKCountyRecords: 1960-000414</v>
      </c>
      <c r="L1595" s="467" t="s">
        <v>502</v>
      </c>
      <c r="M1595" s="467" t="s">
        <v>404</v>
      </c>
      <c r="N1595" s="470"/>
      <c r="O1595" s="471">
        <f t="shared" si="0"/>
        <v>640</v>
      </c>
      <c r="P1595" s="472" t="str">
        <f t="shared" si="1"/>
        <v/>
      </c>
      <c r="Q1595" s="472" t="str">
        <f t="shared" si="2"/>
        <v/>
      </c>
      <c r="R1595" s="473" t="str">
        <f t="shared" si="3"/>
        <v/>
      </c>
      <c r="S1595" s="467" t="s">
        <v>653</v>
      </c>
      <c r="T1595" s="490" t="s">
        <v>467</v>
      </c>
      <c r="U1595" s="490" t="s">
        <v>654</v>
      </c>
      <c r="V1595" s="450"/>
      <c r="W1595" s="450"/>
      <c r="X1595" s="450"/>
      <c r="Y1595" s="450"/>
      <c r="Z1595" s="450"/>
    </row>
    <row r="1596" spans="1:26" x14ac:dyDescent="0.25">
      <c r="A1596" s="467" t="s">
        <v>655</v>
      </c>
      <c r="B1596" s="467"/>
      <c r="C1596" s="467" t="s">
        <v>619</v>
      </c>
      <c r="D1596" s="467" t="s">
        <v>656</v>
      </c>
      <c r="E1596" s="468">
        <v>22906</v>
      </c>
      <c r="F1596" s="468">
        <v>22906</v>
      </c>
      <c r="G1596" s="467" t="s">
        <v>657</v>
      </c>
      <c r="H1596" s="467" t="s">
        <v>658</v>
      </c>
      <c r="I1596" s="467" t="s">
        <v>269</v>
      </c>
      <c r="J1596" s="467" t="s">
        <v>8503</v>
      </c>
      <c r="K1596" s="469" t="str">
        <f>HYPERLINK("https://okcountyrecords.com/detail/roger+mills/1962-001145","OKCountyRecords: 1962-001145")</f>
        <v>OKCountyRecords: 1962-001145</v>
      </c>
      <c r="L1596" s="467" t="s">
        <v>613</v>
      </c>
      <c r="M1596" s="467" t="s">
        <v>404</v>
      </c>
      <c r="N1596" s="470">
        <f>IF(O1596&gt;0,55/O1596,"")</f>
        <v>0.125</v>
      </c>
      <c r="O1596" s="471">
        <f t="shared" si="0"/>
        <v>440</v>
      </c>
      <c r="P1596" s="472">
        <f t="shared" si="1"/>
        <v>0.125</v>
      </c>
      <c r="Q1596" s="472">
        <f t="shared" si="2"/>
        <v>-0.125</v>
      </c>
      <c r="R1596" s="473">
        <f t="shared" si="3"/>
        <v>55</v>
      </c>
      <c r="S1596" s="467"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4"/>
      <c r="U1596" s="474" t="s">
        <v>659</v>
      </c>
      <c r="V1596" s="450"/>
      <c r="W1596" s="450"/>
      <c r="X1596" s="450"/>
      <c r="Y1596" s="450"/>
      <c r="Z1596" s="450"/>
    </row>
    <row r="1597" spans="1:26" x14ac:dyDescent="0.25">
      <c r="A1597" s="467" t="s">
        <v>660</v>
      </c>
      <c r="B1597" s="467"/>
      <c r="C1597" s="467" t="s">
        <v>619</v>
      </c>
      <c r="D1597" s="467" t="s">
        <v>661</v>
      </c>
      <c r="E1597" s="468">
        <v>22906</v>
      </c>
      <c r="F1597" s="468">
        <v>22906</v>
      </c>
      <c r="G1597" s="467" t="s">
        <v>662</v>
      </c>
      <c r="H1597" s="467" t="s">
        <v>663</v>
      </c>
      <c r="I1597" s="467" t="s">
        <v>269</v>
      </c>
      <c r="J1597" s="467" t="s">
        <v>664</v>
      </c>
      <c r="K1597" s="469" t="str">
        <f>HYPERLINK("https://okcountyrecords.com/detail/roger+mills/1962-001141","OKCountyRecords: 1962-001141")</f>
        <v>OKCountyRecords: 1962-001141</v>
      </c>
      <c r="L1597" s="467" t="s">
        <v>613</v>
      </c>
      <c r="M1597" s="467" t="s">
        <v>404</v>
      </c>
      <c r="N1597" s="470">
        <f>IF(O1597&gt;0,75/O1597,"")</f>
        <v>0.17045454545454544</v>
      </c>
      <c r="O1597" s="471">
        <f t="shared" si="0"/>
        <v>440</v>
      </c>
      <c r="P1597" s="472">
        <f t="shared" si="1"/>
        <v>0.17045454545454544</v>
      </c>
      <c r="Q1597" s="472">
        <f t="shared" si="2"/>
        <v>-0.17045454545454544</v>
      </c>
      <c r="R1597" s="473">
        <f t="shared" si="3"/>
        <v>75</v>
      </c>
      <c r="S1597" s="467" t="str">
        <f t="shared" si="9"/>
        <v>Mineral; basis Conv Amt(dec). Gross=tract-map basis.</v>
      </c>
      <c r="T1597" s="474"/>
      <c r="U1597" s="474" t="s">
        <v>642</v>
      </c>
      <c r="V1597" s="450"/>
      <c r="W1597" s="450"/>
      <c r="X1597" s="450"/>
      <c r="Y1597" s="450"/>
      <c r="Z1597" s="450"/>
    </row>
    <row r="1598" spans="1:26" x14ac:dyDescent="0.25">
      <c r="A1598" s="467" t="s">
        <v>665</v>
      </c>
      <c r="B1598" s="467"/>
      <c r="C1598" s="467" t="s">
        <v>619</v>
      </c>
      <c r="D1598" s="467" t="s">
        <v>666</v>
      </c>
      <c r="E1598" s="468">
        <v>22938</v>
      </c>
      <c r="F1598" s="468">
        <v>22938</v>
      </c>
      <c r="G1598" s="467" t="s">
        <v>663</v>
      </c>
      <c r="H1598" s="467" t="s">
        <v>225</v>
      </c>
      <c r="I1598" s="467" t="s">
        <v>269</v>
      </c>
      <c r="J1598" s="467" t="s">
        <v>667</v>
      </c>
      <c r="K1598" s="469" t="str">
        <f>HYPERLINK("https://okcountyrecords.com/detail/roger+mills/1962-001389","OKCountyRecords: 1962-001389")</f>
        <v>OKCountyRecords: 1962-001389</v>
      </c>
      <c r="L1598" s="467" t="s">
        <v>613</v>
      </c>
      <c r="M1598" s="467" t="s">
        <v>404</v>
      </c>
      <c r="N1598" s="470">
        <f>IF(O1598&gt;0,10/O1598,"")</f>
        <v>2.2727272727272728E-2</v>
      </c>
      <c r="O1598" s="471">
        <f t="shared" si="0"/>
        <v>440</v>
      </c>
      <c r="P1598" s="472">
        <f t="shared" si="1"/>
        <v>2.2727272727272728E-2</v>
      </c>
      <c r="Q1598" s="472">
        <f t="shared" si="2"/>
        <v>-2.2727272727272728E-2</v>
      </c>
      <c r="R1598" s="473">
        <f t="shared" si="3"/>
        <v>10</v>
      </c>
      <c r="S1598" s="467" t="str">
        <f t="shared" si="9"/>
        <v>Mineral; basis Conv Amt(dec). Gross=tract-map basis.</v>
      </c>
      <c r="T1598" s="474"/>
      <c r="U1598" s="474" t="s">
        <v>668</v>
      </c>
      <c r="V1598" s="450"/>
      <c r="W1598" s="450"/>
      <c r="X1598" s="450"/>
      <c r="Y1598" s="450"/>
      <c r="Z1598" s="450"/>
    </row>
    <row r="1599" spans="1:26" x14ac:dyDescent="0.25">
      <c r="A1599" s="467" t="s">
        <v>669</v>
      </c>
      <c r="B1599" s="467"/>
      <c r="C1599" s="467" t="s">
        <v>619</v>
      </c>
      <c r="D1599" s="467" t="s">
        <v>670</v>
      </c>
      <c r="E1599" s="468">
        <v>22938</v>
      </c>
      <c r="F1599" s="468">
        <v>22938</v>
      </c>
      <c r="G1599" s="467" t="s">
        <v>663</v>
      </c>
      <c r="H1599" s="467" t="s">
        <v>671</v>
      </c>
      <c r="I1599" s="467" t="s">
        <v>269</v>
      </c>
      <c r="J1599" s="467" t="s">
        <v>667</v>
      </c>
      <c r="K1599" s="469" t="str">
        <f>HYPERLINK("https://okcountyrecords.com/detail/roger+mills/1962-001390","OKCountyRecords: 1962-001390")</f>
        <v>OKCountyRecords: 1962-001390</v>
      </c>
      <c r="L1599" s="467" t="s">
        <v>613</v>
      </c>
      <c r="M1599" s="467" t="s">
        <v>404</v>
      </c>
      <c r="N1599" s="470">
        <f>IF(O1599&gt;0,10/O1599,"")</f>
        <v>2.2727272727272728E-2</v>
      </c>
      <c r="O1599" s="471">
        <f t="shared" si="0"/>
        <v>440</v>
      </c>
      <c r="P1599" s="472">
        <f t="shared" si="1"/>
        <v>2.2727272727272728E-2</v>
      </c>
      <c r="Q1599" s="472">
        <f t="shared" si="2"/>
        <v>-2.2727272727272728E-2</v>
      </c>
      <c r="R1599" s="473">
        <f t="shared" si="3"/>
        <v>10</v>
      </c>
      <c r="S1599" s="467" t="str">
        <f t="shared" si="9"/>
        <v>Mineral; basis Conv Amt(dec). Gross=tract-map basis.</v>
      </c>
      <c r="T1599" s="474"/>
      <c r="U1599" s="474" t="s">
        <v>668</v>
      </c>
      <c r="V1599" s="450"/>
      <c r="W1599" s="450"/>
      <c r="X1599" s="450"/>
      <c r="Y1599" s="450"/>
      <c r="Z1599" s="450"/>
    </row>
    <row r="1600" spans="1:26" x14ac:dyDescent="0.25">
      <c r="A1600" s="467" t="s">
        <v>672</v>
      </c>
      <c r="B1600" s="467"/>
      <c r="C1600" s="467" t="s">
        <v>673</v>
      </c>
      <c r="D1600" s="467" t="s">
        <v>674</v>
      </c>
      <c r="E1600" s="468">
        <v>24709</v>
      </c>
      <c r="F1600" s="468">
        <v>24750</v>
      </c>
      <c r="G1600" s="467" t="s">
        <v>675</v>
      </c>
      <c r="H1600" s="467" t="s">
        <v>676</v>
      </c>
      <c r="I1600" s="467" t="s">
        <v>677</v>
      </c>
      <c r="J1600" s="467" t="s">
        <v>678</v>
      </c>
      <c r="K1600" s="469" t="str">
        <f>HYPERLINK("https://okcountyrecords.com/detail/roger+mills/1967-002816","OKCountyRecords: 1967-002816")</f>
        <v>OKCountyRecords: 1967-002816</v>
      </c>
      <c r="L1600" s="467" t="s">
        <v>438</v>
      </c>
      <c r="M1600" s="467" t="s">
        <v>404</v>
      </c>
      <c r="N1600" s="470">
        <v>1</v>
      </c>
      <c r="O1600" s="471">
        <f t="shared" si="0"/>
        <v>240</v>
      </c>
      <c r="P1600" s="472">
        <f t="shared" si="1"/>
        <v>1</v>
      </c>
      <c r="Q1600" s="472">
        <f t="shared" si="2"/>
        <v>-1</v>
      </c>
      <c r="R1600" s="473">
        <f t="shared" si="3"/>
        <v>240</v>
      </c>
      <c r="S1600" s="467" t="str">
        <f t="shared" si="9"/>
        <v>Mineral; basis Conv Amt(dec). Gross=tract-map basis.</v>
      </c>
      <c r="T1600" s="489"/>
      <c r="U1600" s="490"/>
      <c r="V1600" s="450"/>
      <c r="W1600" s="450"/>
      <c r="X1600" s="450"/>
      <c r="Y1600" s="450"/>
      <c r="Z1600" s="450"/>
    </row>
    <row r="1601" spans="1:26" x14ac:dyDescent="0.25">
      <c r="A1601" s="467" t="s">
        <v>679</v>
      </c>
      <c r="B1601" s="467"/>
      <c r="C1601" s="467" t="s">
        <v>680</v>
      </c>
      <c r="D1601" s="467" t="s">
        <v>681</v>
      </c>
      <c r="E1601" s="468">
        <v>25176</v>
      </c>
      <c r="F1601" s="468">
        <v>25176</v>
      </c>
      <c r="G1601" s="467" t="s">
        <v>682</v>
      </c>
      <c r="H1601" s="467" t="s">
        <v>683</v>
      </c>
      <c r="I1601" s="467" t="s">
        <v>231</v>
      </c>
      <c r="J1601" s="467" t="s">
        <v>746</v>
      </c>
      <c r="K1601" s="469" t="str">
        <f>HYPERLINK("https://okcountyrecords.com/detail/roger+mills/1968-003144","OKCountyRecords: 1968-003144")</f>
        <v>OKCountyRecords: 1968-003144</v>
      </c>
      <c r="L1601" s="467" t="s">
        <v>502</v>
      </c>
      <c r="M1601" s="467" t="s">
        <v>465</v>
      </c>
      <c r="N1601" s="470"/>
      <c r="O1601" s="471">
        <f t="shared" si="0"/>
        <v>640</v>
      </c>
      <c r="P1601" s="472" t="str">
        <f t="shared" si="1"/>
        <v/>
      </c>
      <c r="Q1601" s="472" t="str">
        <f t="shared" si="2"/>
        <v/>
      </c>
      <c r="R1601" s="473" t="str">
        <f t="shared" si="3"/>
        <v/>
      </c>
      <c r="S1601" s="467" t="str">
        <f t="shared" si="9"/>
        <v>Other (non-mineral; excluded from mineral NMA). All-section coverage. Gross=tract-map basis.</v>
      </c>
      <c r="T1601" s="474"/>
      <c r="U1601" s="474"/>
      <c r="V1601" s="450"/>
      <c r="W1601" s="450"/>
      <c r="X1601" s="450"/>
      <c r="Y1601" s="450"/>
      <c r="Z1601" s="450"/>
    </row>
    <row r="1602" spans="1:26" x14ac:dyDescent="0.25">
      <c r="A1602" s="467" t="s">
        <v>686</v>
      </c>
      <c r="B1602" s="467"/>
      <c r="C1602" s="467" t="s">
        <v>680</v>
      </c>
      <c r="D1602" s="467" t="s">
        <v>687</v>
      </c>
      <c r="E1602" s="468">
        <v>25905</v>
      </c>
      <c r="F1602" s="468">
        <v>25905</v>
      </c>
      <c r="G1602" s="467" t="s">
        <v>688</v>
      </c>
      <c r="H1602" s="467" t="s">
        <v>689</v>
      </c>
      <c r="I1602" s="467" t="s">
        <v>231</v>
      </c>
      <c r="J1602" s="467" t="s">
        <v>746</v>
      </c>
      <c r="K1602" s="469" t="str">
        <f>HYPERLINK("https://okcountyrecords.com/detail/roger+mills/1970-003015","OKCountyRecords: 1970-003015")</f>
        <v>OKCountyRecords: 1970-003015</v>
      </c>
      <c r="L1602" s="467" t="s">
        <v>502</v>
      </c>
      <c r="M1602" s="467" t="s">
        <v>465</v>
      </c>
      <c r="N1602" s="470"/>
      <c r="O1602" s="471">
        <f t="shared" si="0"/>
        <v>640</v>
      </c>
      <c r="P1602" s="472" t="str">
        <f t="shared" si="1"/>
        <v/>
      </c>
      <c r="Q1602" s="472" t="str">
        <f t="shared" si="2"/>
        <v/>
      </c>
      <c r="R1602" s="473" t="str">
        <f t="shared" si="3"/>
        <v/>
      </c>
      <c r="S1602" s="467" t="str">
        <f t="shared" si="9"/>
        <v>Other (non-mineral; excluded from mineral NMA). All-section coverage. Gross=tract-map basis.</v>
      </c>
      <c r="T1602" s="474"/>
      <c r="U1602" s="474"/>
      <c r="V1602" s="450"/>
      <c r="W1602" s="450"/>
      <c r="X1602" s="450"/>
      <c r="Y1602" s="450"/>
      <c r="Z1602" s="450"/>
    </row>
    <row r="1603" spans="1:26" x14ac:dyDescent="0.25">
      <c r="A1603" s="467" t="s">
        <v>691</v>
      </c>
      <c r="B1603" s="467"/>
      <c r="C1603" s="467" t="s">
        <v>619</v>
      </c>
      <c r="D1603" s="467" t="s">
        <v>692</v>
      </c>
      <c r="E1603" s="468">
        <v>27163</v>
      </c>
      <c r="F1603" s="468">
        <v>27163</v>
      </c>
      <c r="G1603" s="467" t="s">
        <v>693</v>
      </c>
      <c r="H1603" s="467" t="s">
        <v>694</v>
      </c>
      <c r="I1603" s="467" t="s">
        <v>623</v>
      </c>
      <c r="J1603" s="467" t="s">
        <v>695</v>
      </c>
      <c r="K1603" s="469" t="str">
        <f>HYPERLINK("https://okcountyrecords.com/detail/roger+mills/1974-001639","OKCountyRecords: 1974-001639")</f>
        <v>OKCountyRecords: 1974-001639</v>
      </c>
      <c r="L1603" s="467" t="s">
        <v>625</v>
      </c>
      <c r="M1603" s="467" t="s">
        <v>404</v>
      </c>
      <c r="N1603" s="476">
        <f>60/260</f>
        <v>0.23076923076923078</v>
      </c>
      <c r="O1603" s="471">
        <f t="shared" si="0"/>
        <v>280</v>
      </c>
      <c r="P1603" s="472">
        <f t="shared" si="1"/>
        <v>0.23076923076923078</v>
      </c>
      <c r="Q1603" s="472">
        <f t="shared" si="2"/>
        <v>-0.23076923076923078</v>
      </c>
      <c r="R1603" s="473">
        <f t="shared" si="3"/>
        <v>64.615384615384613</v>
      </c>
      <c r="S1603" s="467" t="str">
        <f t="shared" si="9"/>
        <v>Mineral; basis Conv Amt(dec). Gross=tract-map basis.</v>
      </c>
      <c r="T1603" s="489"/>
      <c r="U1603" s="489"/>
      <c r="V1603" s="450"/>
      <c r="W1603" s="450"/>
      <c r="X1603" s="450"/>
      <c r="Y1603" s="450"/>
      <c r="Z1603" s="450"/>
    </row>
    <row r="1604" spans="1:26" x14ac:dyDescent="0.25">
      <c r="A1604" s="467" t="s">
        <v>696</v>
      </c>
      <c r="B1604" s="467"/>
      <c r="C1604" s="467" t="s">
        <v>619</v>
      </c>
      <c r="D1604" s="467" t="s">
        <v>697</v>
      </c>
      <c r="E1604" s="468">
        <v>27171</v>
      </c>
      <c r="F1604" s="468">
        <v>27171</v>
      </c>
      <c r="G1604" s="467" t="s">
        <v>694</v>
      </c>
      <c r="H1604" s="467" t="s">
        <v>698</v>
      </c>
      <c r="I1604" s="467" t="s">
        <v>623</v>
      </c>
      <c r="J1604" s="467" t="s">
        <v>699</v>
      </c>
      <c r="K1604" s="469" t="str">
        <f>HYPERLINK("https://okcountyrecords.com/detail/roger+mills/1974-001700","OKCountyRecords: 1974-001700")</f>
        <v>OKCountyRecords: 1974-001700</v>
      </c>
      <c r="L1604" s="467" t="s">
        <v>625</v>
      </c>
      <c r="M1604" s="467" t="s">
        <v>404</v>
      </c>
      <c r="N1604" s="476">
        <f>40/260</f>
        <v>0.15384615384615385</v>
      </c>
      <c r="O1604" s="471">
        <f t="shared" si="0"/>
        <v>280</v>
      </c>
      <c r="P1604" s="472">
        <f t="shared" si="1"/>
        <v>0.15384615384615385</v>
      </c>
      <c r="Q1604" s="472">
        <f t="shared" si="2"/>
        <v>-0.15384615384615385</v>
      </c>
      <c r="R1604" s="473">
        <f t="shared" si="3"/>
        <v>43.07692307692308</v>
      </c>
      <c r="S1604" s="467" t="str">
        <f t="shared" si="9"/>
        <v>Mineral; basis Conv Amt(dec). Gross=tract-map basis.</v>
      </c>
      <c r="T1604" s="489"/>
      <c r="U1604" s="489"/>
      <c r="V1604" s="450"/>
      <c r="W1604" s="450"/>
      <c r="X1604" s="450"/>
      <c r="Y1604" s="450"/>
      <c r="Z1604" s="450"/>
    </row>
    <row r="1605" spans="1:26" x14ac:dyDescent="0.25">
      <c r="A1605" s="467" t="s">
        <v>700</v>
      </c>
      <c r="B1605" s="467"/>
      <c r="C1605" s="467" t="s">
        <v>619</v>
      </c>
      <c r="D1605" s="467" t="s">
        <v>701</v>
      </c>
      <c r="E1605" s="468">
        <v>27207</v>
      </c>
      <c r="F1605" s="468">
        <v>27207</v>
      </c>
      <c r="G1605" s="467" t="s">
        <v>694</v>
      </c>
      <c r="H1605" s="467" t="s">
        <v>702</v>
      </c>
      <c r="I1605" s="467" t="s">
        <v>623</v>
      </c>
      <c r="J1605" s="467" t="s">
        <v>703</v>
      </c>
      <c r="K1605" s="469" t="str">
        <f>HYPERLINK("https://okcountyrecords.com/detail/roger+mills/1974-002044","OKCountyRecords: 1974-002044")</f>
        <v>OKCountyRecords: 1974-002044</v>
      </c>
      <c r="L1605" s="467" t="s">
        <v>625</v>
      </c>
      <c r="M1605" s="467" t="s">
        <v>404</v>
      </c>
      <c r="N1605" s="476">
        <f>10/260</f>
        <v>3.8461538461538464E-2</v>
      </c>
      <c r="O1605" s="471">
        <f t="shared" si="0"/>
        <v>280</v>
      </c>
      <c r="P1605" s="472">
        <f t="shared" si="1"/>
        <v>3.8461538461538464E-2</v>
      </c>
      <c r="Q1605" s="472">
        <f t="shared" si="2"/>
        <v>-3.8461538461538464E-2</v>
      </c>
      <c r="R1605" s="473">
        <f t="shared" si="3"/>
        <v>10.76923076923077</v>
      </c>
      <c r="S1605" s="467" t="str">
        <f t="shared" si="9"/>
        <v>Mineral; basis Conv Amt(dec). Gross=tract-map basis.</v>
      </c>
      <c r="T1605" s="489"/>
      <c r="U1605" s="489"/>
      <c r="V1605" s="450"/>
      <c r="W1605" s="450"/>
      <c r="X1605" s="450"/>
      <c r="Y1605" s="450"/>
      <c r="Z1605" s="450"/>
    </row>
    <row r="1606" spans="1:26" x14ac:dyDescent="0.25">
      <c r="A1606" s="467" t="s">
        <v>704</v>
      </c>
      <c r="B1606" s="467"/>
      <c r="C1606" s="467" t="s">
        <v>619</v>
      </c>
      <c r="D1606" s="467" t="s">
        <v>705</v>
      </c>
      <c r="E1606" s="468">
        <v>27481</v>
      </c>
      <c r="F1606" s="468">
        <v>27481</v>
      </c>
      <c r="G1606" s="467" t="s">
        <v>694</v>
      </c>
      <c r="H1606" s="467" t="s">
        <v>706</v>
      </c>
      <c r="I1606" s="467" t="s">
        <v>623</v>
      </c>
      <c r="J1606" s="467" t="s">
        <v>703</v>
      </c>
      <c r="K1606" s="469" t="str">
        <f>HYPERLINK("https://okcountyrecords.com/detail/roger+mills/1975-000869","OKCountyRecords: 1975-000869")</f>
        <v>OKCountyRecords: 1975-000869</v>
      </c>
      <c r="L1606" s="467" t="s">
        <v>625</v>
      </c>
      <c r="M1606" s="467" t="s">
        <v>404</v>
      </c>
      <c r="N1606" s="476">
        <f>10/260</f>
        <v>3.8461538461538464E-2</v>
      </c>
      <c r="O1606" s="471">
        <f t="shared" si="0"/>
        <v>280</v>
      </c>
      <c r="P1606" s="472">
        <f t="shared" si="1"/>
        <v>3.8461538461538464E-2</v>
      </c>
      <c r="Q1606" s="472">
        <f t="shared" si="2"/>
        <v>-3.8461538461538464E-2</v>
      </c>
      <c r="R1606" s="473">
        <f t="shared" si="3"/>
        <v>10.76923076923077</v>
      </c>
      <c r="S1606" s="467" t="str">
        <f t="shared" si="9"/>
        <v>Mineral; basis Conv Amt(dec). Gross=tract-map basis.</v>
      </c>
      <c r="T1606" s="489"/>
      <c r="U1606" s="489"/>
      <c r="V1606" s="450"/>
      <c r="W1606" s="450"/>
      <c r="X1606" s="450"/>
      <c r="Y1606" s="450"/>
      <c r="Z1606" s="450"/>
    </row>
    <row r="1607" spans="1:26" x14ac:dyDescent="0.25">
      <c r="A1607" s="467" t="s">
        <v>707</v>
      </c>
      <c r="B1607" s="467"/>
      <c r="C1607" s="467" t="s">
        <v>545</v>
      </c>
      <c r="D1607" s="467" t="s">
        <v>708</v>
      </c>
      <c r="E1607" s="468">
        <v>28005</v>
      </c>
      <c r="F1607" s="468">
        <v>28005</v>
      </c>
      <c r="G1607" s="467" t="s">
        <v>709</v>
      </c>
      <c r="H1607" s="467" t="s">
        <v>710</v>
      </c>
      <c r="I1607" s="467" t="s">
        <v>711</v>
      </c>
      <c r="J1607" s="467" t="s">
        <v>63</v>
      </c>
      <c r="K1607" s="469" t="str">
        <f>HYPERLINK("https://okcountyrecords.com/detail/roger+mills/1976-003251","OKCountyRecords: 1976-003251")</f>
        <v>OKCountyRecords: 1976-003251</v>
      </c>
      <c r="L1607" s="467" t="s">
        <v>403</v>
      </c>
      <c r="M1607" s="467" t="s">
        <v>404</v>
      </c>
      <c r="N1607" s="470">
        <v>1</v>
      </c>
      <c r="O1607" s="471">
        <f t="shared" si="0"/>
        <v>200</v>
      </c>
      <c r="P1607" s="472">
        <f t="shared" si="1"/>
        <v>1</v>
      </c>
      <c r="Q1607" s="472">
        <f t="shared" si="2"/>
        <v>-1</v>
      </c>
      <c r="R1607" s="473">
        <f t="shared" si="3"/>
        <v>200</v>
      </c>
      <c r="S1607" s="467" t="str">
        <f t="shared" si="9"/>
        <v>Mineral; basis Conv Amt(dec). Gross=tract-map basis.</v>
      </c>
      <c r="T1607" s="489" t="s">
        <v>467</v>
      </c>
      <c r="U1607" s="489" t="s">
        <v>712</v>
      </c>
      <c r="V1607" s="450"/>
      <c r="W1607" s="450"/>
      <c r="X1607" s="450"/>
      <c r="Y1607" s="450"/>
      <c r="Z1607" s="450"/>
    </row>
    <row r="1608" spans="1:26" x14ac:dyDescent="0.25">
      <c r="A1608" s="467" t="s">
        <v>713</v>
      </c>
      <c r="B1608" s="467"/>
      <c r="C1608" s="467" t="s">
        <v>714</v>
      </c>
      <c r="D1608" s="467" t="s">
        <v>715</v>
      </c>
      <c r="E1608" s="468">
        <v>28445</v>
      </c>
      <c r="F1608" s="468">
        <v>28445</v>
      </c>
      <c r="G1608" s="467" t="s">
        <v>710</v>
      </c>
      <c r="H1608" s="467" t="s">
        <v>716</v>
      </c>
      <c r="I1608" s="467" t="s">
        <v>711</v>
      </c>
      <c r="J1608" s="467" t="s">
        <v>63</v>
      </c>
      <c r="K1608" s="469" t="str">
        <f>HYPERLINK("https://okcountyrecords.com/detail/roger+mills/1977-007503","OKCountyRecords: 1977-007503")</f>
        <v>OKCountyRecords: 1977-007503</v>
      </c>
      <c r="L1608" s="467" t="s">
        <v>403</v>
      </c>
      <c r="M1608" s="467" t="s">
        <v>404</v>
      </c>
      <c r="N1608" s="470">
        <v>1</v>
      </c>
      <c r="O1608" s="471">
        <f t="shared" si="0"/>
        <v>200</v>
      </c>
      <c r="P1608" s="472">
        <f t="shared" si="1"/>
        <v>1</v>
      </c>
      <c r="Q1608" s="472">
        <f t="shared" si="2"/>
        <v>-1</v>
      </c>
      <c r="R1608" s="473">
        <f t="shared" si="3"/>
        <v>200</v>
      </c>
      <c r="S1608" s="467" t="str">
        <f t="shared" si="9"/>
        <v>Mineral; basis Conv Amt(dec). Gross=tract-map basis.</v>
      </c>
      <c r="T1608" s="489" t="s">
        <v>467</v>
      </c>
      <c r="U1608" s="489" t="s">
        <v>717</v>
      </c>
      <c r="V1608" s="450"/>
      <c r="W1608" s="450"/>
      <c r="X1608" s="450"/>
      <c r="Y1608" s="450"/>
      <c r="Z1608" s="450"/>
    </row>
    <row r="1609" spans="1:26" x14ac:dyDescent="0.25">
      <c r="A1609" s="467" t="s">
        <v>718</v>
      </c>
      <c r="B1609" s="467"/>
      <c r="C1609" s="467" t="s">
        <v>619</v>
      </c>
      <c r="D1609" s="467" t="s">
        <v>719</v>
      </c>
      <c r="E1609" s="468">
        <v>28583</v>
      </c>
      <c r="F1609" s="468">
        <v>28583</v>
      </c>
      <c r="G1609" s="467" t="s">
        <v>720</v>
      </c>
      <c r="H1609" s="467" t="s">
        <v>721</v>
      </c>
      <c r="I1609" s="467" t="s">
        <v>722</v>
      </c>
      <c r="J1609" s="467" t="s">
        <v>723</v>
      </c>
      <c r="K1609" s="469" t="str">
        <f>HYPERLINK("https://okcountyrecords.com/detail/roger+mills/1978-002576","OKCountyRecords: 1978-002576")</f>
        <v>OKCountyRecords: 1978-002576</v>
      </c>
      <c r="L1609" s="467">
        <v>2</v>
      </c>
      <c r="M1609" s="467" t="s">
        <v>404</v>
      </c>
      <c r="N1609" s="470">
        <f t="shared" ref="N1609:N1616" si="10">40/791.47</f>
        <v>5.0538870708934008E-2</v>
      </c>
      <c r="O1609" s="471">
        <f t="shared" si="0"/>
        <v>160</v>
      </c>
      <c r="P1609" s="472">
        <f t="shared" si="1"/>
        <v>5.0538870708934008E-2</v>
      </c>
      <c r="Q1609" s="472">
        <f t="shared" si="2"/>
        <v>-5.0538870708934008E-2</v>
      </c>
      <c r="R1609" s="473">
        <f t="shared" si="3"/>
        <v>8.0862193134294422</v>
      </c>
      <c r="S1609" s="467" t="str">
        <f t="shared" si="9"/>
        <v>Mineral; basis Conv Amt(dec). Gross=tract-map basis.</v>
      </c>
      <c r="T1609" s="489"/>
      <c r="U1609" s="489"/>
      <c r="V1609" s="450"/>
      <c r="W1609" s="450"/>
      <c r="X1609" s="450"/>
      <c r="Y1609" s="450"/>
      <c r="Z1609" s="450"/>
    </row>
    <row r="1610" spans="1:26" x14ac:dyDescent="0.25">
      <c r="A1610" s="467" t="s">
        <v>724</v>
      </c>
      <c r="B1610" s="467"/>
      <c r="C1610" s="467" t="s">
        <v>619</v>
      </c>
      <c r="D1610" s="467" t="s">
        <v>725</v>
      </c>
      <c r="E1610" s="468">
        <v>28583</v>
      </c>
      <c r="F1610" s="468">
        <v>28583</v>
      </c>
      <c r="G1610" s="467" t="s">
        <v>720</v>
      </c>
      <c r="H1610" s="467" t="s">
        <v>726</v>
      </c>
      <c r="I1610" s="467" t="s">
        <v>722</v>
      </c>
      <c r="J1610" s="467" t="s">
        <v>723</v>
      </c>
      <c r="K1610" s="469" t="str">
        <f>HYPERLINK("https://okcountyrecords.com/detail/roger+mills/1978-002579","OKCountyRecords: 1978-002579")</f>
        <v>OKCountyRecords: 1978-002579</v>
      </c>
      <c r="L1610" s="467">
        <v>2</v>
      </c>
      <c r="M1610" s="467" t="s">
        <v>404</v>
      </c>
      <c r="N1610" s="470">
        <f t="shared" si="10"/>
        <v>5.0538870708934008E-2</v>
      </c>
      <c r="O1610" s="471">
        <f t="shared" ref="O1610:O1673" si="11">IF($L1610="","",IF(ISNUMBER(SEARCH("all",$L1610)),640,(ISNUMBER(SEARCH("1",$L1610)))*80+(ISNUMBER(SEARCH("2",$L1610)))*160+(ISNUMBER(SEARCH("3",$L1610)))*40+(ISNUMBER(SEARCH("4",$L1610)))*80+(ISNUMBER(SEARCH("5",$L1610)))*120+(ISNUMBER(SEARCH("6",$L1610)))*80+(ISNUMBER(SEARCH("7",$L1610)))*40+(ISNUMBER(SEARCH("8",$L1610)))*40))</f>
        <v>160</v>
      </c>
      <c r="P1610" s="472">
        <f t="shared" ref="P1610:P1673" si="12">IF($M1610&lt;&gt;"Mineral","",IF(ISNUMBER($N1610),$N1610,IF(OR(ISNUMBER(SEARCH("surface",$J1610)),ISNUMBER(SEARCH("reserv",$J1610)),ISNUMBER(SEARCH("less and except",$J1610))),0,"")))</f>
        <v>5.0538870708934008E-2</v>
      </c>
      <c r="Q1610" s="472">
        <f t="shared" ref="Q1610:Q1673" si="13">IF($P1610="","",-$P1610)</f>
        <v>-5.0538870708934008E-2</v>
      </c>
      <c r="R1610" s="473">
        <f t="shared" ref="R1610:R1673" si="14">IF($P1610="","",$O1610*$P1610)</f>
        <v>8.0862193134294422</v>
      </c>
      <c r="S1610" s="467" t="str">
        <f t="shared" si="9"/>
        <v>Mineral; basis Conv Amt(dec). Gross=tract-map basis.</v>
      </c>
      <c r="T1610" s="489"/>
      <c r="U1610" s="489"/>
      <c r="V1610" s="450"/>
      <c r="W1610" s="450"/>
      <c r="X1610" s="450"/>
      <c r="Y1610" s="450"/>
      <c r="Z1610" s="450"/>
    </row>
    <row r="1611" spans="1:26" x14ac:dyDescent="0.25">
      <c r="A1611" s="467" t="s">
        <v>727</v>
      </c>
      <c r="B1611" s="467"/>
      <c r="C1611" s="467" t="s">
        <v>619</v>
      </c>
      <c r="D1611" s="467" t="s">
        <v>728</v>
      </c>
      <c r="E1611" s="468">
        <v>28583</v>
      </c>
      <c r="F1611" s="468">
        <v>28583</v>
      </c>
      <c r="G1611" s="467" t="s">
        <v>720</v>
      </c>
      <c r="H1611" s="467" t="s">
        <v>355</v>
      </c>
      <c r="I1611" s="467" t="s">
        <v>722</v>
      </c>
      <c r="J1611" s="467" t="s">
        <v>723</v>
      </c>
      <c r="K1611" s="469" t="str">
        <f>HYPERLINK("https://okcountyrecords.com/detail/roger+mills/1978-002580","OKCountyRecords: 1978-002580")</f>
        <v>OKCountyRecords: 1978-002580</v>
      </c>
      <c r="L1611" s="467">
        <v>2</v>
      </c>
      <c r="M1611" s="467" t="s">
        <v>404</v>
      </c>
      <c r="N1611" s="470">
        <f t="shared" si="10"/>
        <v>5.0538870708934008E-2</v>
      </c>
      <c r="O1611" s="471">
        <f t="shared" si="11"/>
        <v>160</v>
      </c>
      <c r="P1611" s="472">
        <f t="shared" si="12"/>
        <v>5.0538870708934008E-2</v>
      </c>
      <c r="Q1611" s="472">
        <f t="shared" si="13"/>
        <v>-5.0538870708934008E-2</v>
      </c>
      <c r="R1611" s="473">
        <f t="shared" si="14"/>
        <v>8.0862193134294422</v>
      </c>
      <c r="S1611" s="467" t="str">
        <f t="shared" si="9"/>
        <v>Mineral; basis Conv Amt(dec). Gross=tract-map basis.</v>
      </c>
      <c r="T1611" s="489"/>
      <c r="U1611" s="489"/>
      <c r="V1611" s="450"/>
      <c r="W1611" s="450"/>
      <c r="X1611" s="450"/>
      <c r="Y1611" s="450"/>
      <c r="Z1611" s="450"/>
    </row>
    <row r="1612" spans="1:26" x14ac:dyDescent="0.25">
      <c r="A1612" s="467" t="s">
        <v>729</v>
      </c>
      <c r="B1612" s="467"/>
      <c r="C1612" s="467" t="s">
        <v>619</v>
      </c>
      <c r="D1612" s="467" t="s">
        <v>730</v>
      </c>
      <c r="E1612" s="468">
        <v>28583</v>
      </c>
      <c r="F1612" s="468">
        <v>28583</v>
      </c>
      <c r="G1612" s="467" t="s">
        <v>720</v>
      </c>
      <c r="H1612" s="467" t="s">
        <v>731</v>
      </c>
      <c r="I1612" s="467" t="s">
        <v>722</v>
      </c>
      <c r="J1612" s="467" t="s">
        <v>723</v>
      </c>
      <c r="K1612" s="469" t="str">
        <f>HYPERLINK("https://okcountyrecords.com/detail/roger+mills/1978-002581","OKCountyRecords: 1978-002581")</f>
        <v>OKCountyRecords: 1978-002581</v>
      </c>
      <c r="L1612" s="467">
        <v>2</v>
      </c>
      <c r="M1612" s="467" t="s">
        <v>404</v>
      </c>
      <c r="N1612" s="470">
        <f t="shared" si="10"/>
        <v>5.0538870708934008E-2</v>
      </c>
      <c r="O1612" s="471">
        <f t="shared" si="11"/>
        <v>160</v>
      </c>
      <c r="P1612" s="472">
        <f t="shared" si="12"/>
        <v>5.0538870708934008E-2</v>
      </c>
      <c r="Q1612" s="472">
        <f t="shared" si="13"/>
        <v>-5.0538870708934008E-2</v>
      </c>
      <c r="R1612" s="473">
        <f t="shared" si="14"/>
        <v>8.0862193134294422</v>
      </c>
      <c r="S1612" s="467" t="str">
        <f t="shared" si="9"/>
        <v>Mineral; basis Conv Amt(dec). Gross=tract-map basis.</v>
      </c>
      <c r="T1612" s="489"/>
      <c r="U1612" s="489"/>
      <c r="V1612" s="450"/>
      <c r="W1612" s="450"/>
      <c r="X1612" s="450"/>
      <c r="Y1612" s="450"/>
      <c r="Z1612" s="450"/>
    </row>
    <row r="1613" spans="1:26" x14ac:dyDescent="0.25">
      <c r="A1613" s="467" t="s">
        <v>732</v>
      </c>
      <c r="B1613" s="467"/>
      <c r="C1613" s="467" t="s">
        <v>619</v>
      </c>
      <c r="D1613" s="467" t="s">
        <v>733</v>
      </c>
      <c r="E1613" s="468">
        <v>28583</v>
      </c>
      <c r="F1613" s="468">
        <v>28583</v>
      </c>
      <c r="G1613" s="467" t="s">
        <v>720</v>
      </c>
      <c r="H1613" s="467" t="s">
        <v>214</v>
      </c>
      <c r="I1613" s="467" t="s">
        <v>722</v>
      </c>
      <c r="J1613" s="467" t="s">
        <v>723</v>
      </c>
      <c r="K1613" s="469" t="str">
        <f>HYPERLINK("https://okcountyrecords.com/detail/roger+mills/1978-002582","OKCountyRecords: 1978-002582")</f>
        <v>OKCountyRecords: 1978-002582</v>
      </c>
      <c r="L1613" s="467">
        <v>2</v>
      </c>
      <c r="M1613" s="467" t="s">
        <v>404</v>
      </c>
      <c r="N1613" s="470">
        <f t="shared" si="10"/>
        <v>5.0538870708934008E-2</v>
      </c>
      <c r="O1613" s="471">
        <f t="shared" si="11"/>
        <v>160</v>
      </c>
      <c r="P1613" s="472">
        <f t="shared" si="12"/>
        <v>5.0538870708934008E-2</v>
      </c>
      <c r="Q1613" s="472">
        <f t="shared" si="13"/>
        <v>-5.0538870708934008E-2</v>
      </c>
      <c r="R1613" s="473">
        <f t="shared" si="14"/>
        <v>8.0862193134294422</v>
      </c>
      <c r="S1613" s="467" t="str">
        <f t="shared" si="9"/>
        <v>Mineral; basis Conv Amt(dec). Gross=tract-map basis.</v>
      </c>
      <c r="T1613" s="489"/>
      <c r="U1613" s="489"/>
      <c r="V1613" s="450"/>
      <c r="W1613" s="450"/>
      <c r="X1613" s="450"/>
      <c r="Y1613" s="450"/>
      <c r="Z1613" s="450"/>
    </row>
    <row r="1614" spans="1:26" x14ac:dyDescent="0.25">
      <c r="A1614" s="467" t="s">
        <v>734</v>
      </c>
      <c r="B1614" s="467"/>
      <c r="C1614" s="467" t="s">
        <v>619</v>
      </c>
      <c r="D1614" s="467" t="s">
        <v>735</v>
      </c>
      <c r="E1614" s="468">
        <v>28583</v>
      </c>
      <c r="F1614" s="468">
        <v>28583</v>
      </c>
      <c r="G1614" s="467" t="s">
        <v>720</v>
      </c>
      <c r="H1614" s="467" t="s">
        <v>736</v>
      </c>
      <c r="I1614" s="467" t="s">
        <v>722</v>
      </c>
      <c r="J1614" s="467" t="s">
        <v>723</v>
      </c>
      <c r="K1614" s="469" t="str">
        <f>HYPERLINK("https://okcountyrecords.com/detail/roger+mills/1978-002583","OKCountyRecords: 1978-002583")</f>
        <v>OKCountyRecords: 1978-002583</v>
      </c>
      <c r="L1614" s="467">
        <v>2</v>
      </c>
      <c r="M1614" s="467" t="s">
        <v>404</v>
      </c>
      <c r="N1614" s="470">
        <f t="shared" si="10"/>
        <v>5.0538870708934008E-2</v>
      </c>
      <c r="O1614" s="471">
        <f t="shared" si="11"/>
        <v>160</v>
      </c>
      <c r="P1614" s="472">
        <f t="shared" si="12"/>
        <v>5.0538870708934008E-2</v>
      </c>
      <c r="Q1614" s="472">
        <f t="shared" si="13"/>
        <v>-5.0538870708934008E-2</v>
      </c>
      <c r="R1614" s="473">
        <f t="shared" si="14"/>
        <v>8.0862193134294422</v>
      </c>
      <c r="S1614" s="467" t="str">
        <f t="shared" si="9"/>
        <v>Mineral; basis Conv Amt(dec). Gross=tract-map basis.</v>
      </c>
      <c r="T1614" s="489"/>
      <c r="U1614" s="489"/>
      <c r="V1614" s="450"/>
      <c r="W1614" s="450"/>
      <c r="X1614" s="450"/>
      <c r="Y1614" s="450"/>
      <c r="Z1614" s="450"/>
    </row>
    <row r="1615" spans="1:26" x14ac:dyDescent="0.25">
      <c r="A1615" s="467" t="s">
        <v>737</v>
      </c>
      <c r="B1615" s="467"/>
      <c r="C1615" s="467" t="s">
        <v>619</v>
      </c>
      <c r="D1615" s="467" t="s">
        <v>738</v>
      </c>
      <c r="E1615" s="468">
        <v>28583</v>
      </c>
      <c r="F1615" s="468">
        <v>28583</v>
      </c>
      <c r="G1615" s="467" t="s">
        <v>720</v>
      </c>
      <c r="H1615" s="467" t="s">
        <v>739</v>
      </c>
      <c r="I1615" s="467" t="s">
        <v>722</v>
      </c>
      <c r="J1615" s="467" t="s">
        <v>723</v>
      </c>
      <c r="K1615" s="469" t="str">
        <f>HYPERLINK("https://okcountyrecords.com/detail/roger+mills/1978-002585","OKCountyRecords: 1978-002585")</f>
        <v>OKCountyRecords: 1978-002585</v>
      </c>
      <c r="L1615" s="467">
        <v>2</v>
      </c>
      <c r="M1615" s="467" t="s">
        <v>404</v>
      </c>
      <c r="N1615" s="470">
        <f t="shared" si="10"/>
        <v>5.0538870708934008E-2</v>
      </c>
      <c r="O1615" s="471">
        <f t="shared" si="11"/>
        <v>160</v>
      </c>
      <c r="P1615" s="472">
        <f t="shared" si="12"/>
        <v>5.0538870708934008E-2</v>
      </c>
      <c r="Q1615" s="472">
        <f t="shared" si="13"/>
        <v>-5.0538870708934008E-2</v>
      </c>
      <c r="R1615" s="473">
        <f t="shared" si="14"/>
        <v>8.0862193134294422</v>
      </c>
      <c r="S1615" s="467" t="str">
        <f t="shared" si="9"/>
        <v>Mineral; basis Conv Amt(dec). Gross=tract-map basis.</v>
      </c>
      <c r="T1615" s="489"/>
      <c r="U1615" s="489"/>
      <c r="V1615" s="450"/>
      <c r="W1615" s="450"/>
      <c r="X1615" s="450"/>
      <c r="Y1615" s="450"/>
      <c r="Z1615" s="450"/>
    </row>
    <row r="1616" spans="1:26" x14ac:dyDescent="0.25">
      <c r="A1616" s="467" t="s">
        <v>740</v>
      </c>
      <c r="B1616" s="467"/>
      <c r="C1616" s="467" t="s">
        <v>619</v>
      </c>
      <c r="D1616" s="467" t="s">
        <v>741</v>
      </c>
      <c r="E1616" s="468">
        <v>28584</v>
      </c>
      <c r="F1616" s="468">
        <v>28584</v>
      </c>
      <c r="G1616" s="467" t="s">
        <v>720</v>
      </c>
      <c r="H1616" s="467" t="s">
        <v>353</v>
      </c>
      <c r="I1616" s="467" t="s">
        <v>722</v>
      </c>
      <c r="J1616" s="467" t="s">
        <v>723</v>
      </c>
      <c r="K1616" s="469" t="str">
        <f>HYPERLINK("https://okcountyrecords.com/detail/roger+mills/1978-002584","OKCountyRecords: 1978-002584")</f>
        <v>OKCountyRecords: 1978-002584</v>
      </c>
      <c r="L1616" s="467">
        <v>2</v>
      </c>
      <c r="M1616" s="467" t="s">
        <v>404</v>
      </c>
      <c r="N1616" s="470">
        <f t="shared" si="10"/>
        <v>5.0538870708934008E-2</v>
      </c>
      <c r="O1616" s="471">
        <f t="shared" si="11"/>
        <v>160</v>
      </c>
      <c r="P1616" s="472">
        <f t="shared" si="12"/>
        <v>5.0538870708934008E-2</v>
      </c>
      <c r="Q1616" s="472">
        <f t="shared" si="13"/>
        <v>-5.0538870708934008E-2</v>
      </c>
      <c r="R1616" s="473">
        <f t="shared" si="14"/>
        <v>8.0862193134294422</v>
      </c>
      <c r="S1616" s="467" t="str">
        <f t="shared" si="9"/>
        <v>Mineral; basis Conv Amt(dec). Gross=tract-map basis.</v>
      </c>
      <c r="T1616" s="489"/>
      <c r="U1616" s="489"/>
      <c r="V1616" s="450"/>
      <c r="W1616" s="450"/>
      <c r="X1616" s="450"/>
      <c r="Y1616" s="450"/>
      <c r="Z1616" s="450"/>
    </row>
    <row r="1617" spans="1:26" x14ac:dyDescent="0.25">
      <c r="A1617" s="467" t="s">
        <v>742</v>
      </c>
      <c r="B1617" s="467"/>
      <c r="C1617" s="467" t="s">
        <v>680</v>
      </c>
      <c r="D1617" s="467" t="s">
        <v>743</v>
      </c>
      <c r="E1617" s="468">
        <v>28711</v>
      </c>
      <c r="F1617" s="468">
        <v>28711</v>
      </c>
      <c r="G1617" s="467" t="s">
        <v>744</v>
      </c>
      <c r="H1617" s="467" t="s">
        <v>745</v>
      </c>
      <c r="I1617" s="467" t="s">
        <v>231</v>
      </c>
      <c r="J1617" s="467" t="s">
        <v>746</v>
      </c>
      <c r="K1617" s="469" t="str">
        <f>HYPERLINK("https://okcountyrecords.com/detail/roger+mills/1978-005886","OKCountyRecords: 1978-005886")</f>
        <v>OKCountyRecords: 1978-005886</v>
      </c>
      <c r="L1617" s="467" t="s">
        <v>502</v>
      </c>
      <c r="M1617" s="467" t="s">
        <v>465</v>
      </c>
      <c r="N1617" s="470"/>
      <c r="O1617" s="471">
        <f t="shared" si="11"/>
        <v>640</v>
      </c>
      <c r="P1617" s="472" t="str">
        <f t="shared" si="12"/>
        <v/>
      </c>
      <c r="Q1617" s="472" t="str">
        <f t="shared" si="13"/>
        <v/>
      </c>
      <c r="R1617" s="473" t="str">
        <f t="shared" si="14"/>
        <v/>
      </c>
      <c r="S1617" s="467" t="str">
        <f t="shared" si="9"/>
        <v>Other (non-mineral; excluded from mineral NMA). All-section coverage. Gross=tract-map basis.</v>
      </c>
      <c r="T1617" s="489"/>
      <c r="U1617" s="489"/>
      <c r="V1617" s="450"/>
      <c r="W1617" s="450"/>
      <c r="X1617" s="450"/>
      <c r="Y1617" s="450"/>
      <c r="Z1617" s="450"/>
    </row>
    <row r="1618" spans="1:26" x14ac:dyDescent="0.25">
      <c r="A1618" s="467" t="s">
        <v>748</v>
      </c>
      <c r="B1618" s="467"/>
      <c r="C1618" s="467" t="s">
        <v>585</v>
      </c>
      <c r="D1618" s="467" t="s">
        <v>749</v>
      </c>
      <c r="E1618" s="468">
        <v>28961</v>
      </c>
      <c r="F1618" s="468">
        <v>28961</v>
      </c>
      <c r="G1618" s="467" t="s">
        <v>750</v>
      </c>
      <c r="H1618" s="467" t="s">
        <v>751</v>
      </c>
      <c r="I1618" s="467" t="s">
        <v>752</v>
      </c>
      <c r="J1618" s="467" t="s">
        <v>753</v>
      </c>
      <c r="K1618" s="469" t="str">
        <f>HYPERLINK("https://okcountyrecords.com/detail/roger+mills/1979-002206","OKCountyRecords: 1979-002206")</f>
        <v>OKCountyRecords: 1979-002206</v>
      </c>
      <c r="L1618" s="467" t="s">
        <v>403</v>
      </c>
      <c r="M1618" s="467" t="s">
        <v>404</v>
      </c>
      <c r="N1618" s="470">
        <f>IF(O1618&gt;0,46/O1618,"")</f>
        <v>0.23</v>
      </c>
      <c r="O1618" s="471">
        <f t="shared" si="11"/>
        <v>200</v>
      </c>
      <c r="P1618" s="472">
        <f t="shared" si="12"/>
        <v>0.23</v>
      </c>
      <c r="Q1618" s="472">
        <f t="shared" si="13"/>
        <v>-0.23</v>
      </c>
      <c r="R1618" s="473">
        <f t="shared" si="14"/>
        <v>46</v>
      </c>
      <c r="S1618" s="467" t="str">
        <f t="shared" si="9"/>
        <v>Mineral; basis Conv Amt(dec). Gross=tract-map basis.</v>
      </c>
      <c r="T1618" s="489"/>
      <c r="U1618" s="489" t="s">
        <v>754</v>
      </c>
      <c r="V1618" s="450"/>
      <c r="W1618" s="450"/>
      <c r="X1618" s="450"/>
      <c r="Y1618" s="450"/>
      <c r="Z1618" s="450"/>
    </row>
    <row r="1619" spans="1:26" x14ac:dyDescent="0.25">
      <c r="A1619" s="467" t="s">
        <v>755</v>
      </c>
      <c r="B1619" s="467"/>
      <c r="C1619" s="467" t="s">
        <v>756</v>
      </c>
      <c r="D1619" s="467" t="s">
        <v>757</v>
      </c>
      <c r="E1619" s="468">
        <v>28961</v>
      </c>
      <c r="F1619" s="468">
        <v>28961</v>
      </c>
      <c r="G1619" s="467" t="s">
        <v>758</v>
      </c>
      <c r="H1619" s="467" t="s">
        <v>759</v>
      </c>
      <c r="I1619" s="467" t="s">
        <v>530</v>
      </c>
      <c r="J1619" s="467" t="s">
        <v>760</v>
      </c>
      <c r="K1619" s="469" t="str">
        <f>HYPERLINK("https://okcountyrecords.com/detail/roger+mills/1979-002207","OKCountyRecords: 1979-002207")</f>
        <v>OKCountyRecords: 1979-002207</v>
      </c>
      <c r="L1619" s="467" t="s">
        <v>502</v>
      </c>
      <c r="M1619" s="467" t="s">
        <v>465</v>
      </c>
      <c r="N1619" s="470"/>
      <c r="O1619" s="471">
        <f t="shared" si="11"/>
        <v>640</v>
      </c>
      <c r="P1619" s="472" t="str">
        <f t="shared" si="12"/>
        <v/>
      </c>
      <c r="Q1619" s="472" t="str">
        <f t="shared" si="13"/>
        <v/>
      </c>
      <c r="R1619" s="473" t="str">
        <f t="shared" si="14"/>
        <v/>
      </c>
      <c r="S1619" s="467" t="str">
        <f t="shared" si="9"/>
        <v>Other (non-mineral; excluded from mineral NMA). All-section coverage. Gross=tract-map basis.</v>
      </c>
      <c r="T1619" s="490"/>
      <c r="U1619" s="490"/>
      <c r="V1619" s="450"/>
      <c r="W1619" s="450"/>
      <c r="X1619" s="450"/>
      <c r="Y1619" s="450"/>
      <c r="Z1619" s="450"/>
    </row>
    <row r="1620" spans="1:26" x14ac:dyDescent="0.25">
      <c r="A1620" s="467" t="s">
        <v>761</v>
      </c>
      <c r="B1620" s="467"/>
      <c r="C1620" s="467" t="s">
        <v>619</v>
      </c>
      <c r="D1620" s="467" t="s">
        <v>762</v>
      </c>
      <c r="E1620" s="468">
        <v>29094</v>
      </c>
      <c r="F1620" s="468">
        <v>29094</v>
      </c>
      <c r="G1620" s="467" t="s">
        <v>353</v>
      </c>
      <c r="H1620" s="467" t="s">
        <v>763</v>
      </c>
      <c r="I1620" s="467" t="s">
        <v>722</v>
      </c>
      <c r="J1620" s="467" t="s">
        <v>764</v>
      </c>
      <c r="K1620" s="469" t="str">
        <f>HYPERLINK("https://okcountyrecords.com/detail/roger+mills/1979-004881","OKCountyRecords: 1979-004881")</f>
        <v>OKCountyRecords: 1979-004881</v>
      </c>
      <c r="L1620" s="467">
        <v>2</v>
      </c>
      <c r="M1620" s="467" t="s">
        <v>404</v>
      </c>
      <c r="N1620" s="470">
        <f>10/791.47</f>
        <v>1.2634717677233502E-2</v>
      </c>
      <c r="O1620" s="471">
        <f t="shared" si="11"/>
        <v>160</v>
      </c>
      <c r="P1620" s="472">
        <f t="shared" si="12"/>
        <v>1.2634717677233502E-2</v>
      </c>
      <c r="Q1620" s="472">
        <f t="shared" si="13"/>
        <v>-1.2634717677233502E-2</v>
      </c>
      <c r="R1620" s="473">
        <f t="shared" si="14"/>
        <v>2.0215548283573606</v>
      </c>
      <c r="S1620" s="467" t="str">
        <f t="shared" si="9"/>
        <v>Mineral; basis Conv Amt(dec). Gross=tract-map basis.</v>
      </c>
      <c r="T1620" s="489"/>
      <c r="U1620" s="489"/>
      <c r="V1620" s="450"/>
      <c r="W1620" s="450"/>
      <c r="X1620" s="450"/>
      <c r="Y1620" s="450"/>
      <c r="Z1620" s="450"/>
    </row>
    <row r="1621" spans="1:26" x14ac:dyDescent="0.25">
      <c r="A1621" s="467" t="s">
        <v>765</v>
      </c>
      <c r="B1621" s="467"/>
      <c r="C1621" s="467" t="s">
        <v>680</v>
      </c>
      <c r="D1621" s="467" t="s">
        <v>766</v>
      </c>
      <c r="E1621" s="468">
        <v>29102</v>
      </c>
      <c r="F1621" s="468">
        <v>29102</v>
      </c>
      <c r="G1621" s="467" t="s">
        <v>221</v>
      </c>
      <c r="H1621" s="467" t="s">
        <v>767</v>
      </c>
      <c r="I1621" s="467" t="s">
        <v>530</v>
      </c>
      <c r="J1621" s="467" t="s">
        <v>746</v>
      </c>
      <c r="K1621" s="469" t="str">
        <f>HYPERLINK("https://okcountyrecords.com/detail/roger+mills/1979-005006","OKCountyRecords: 1979-005006")</f>
        <v>OKCountyRecords: 1979-005006</v>
      </c>
      <c r="L1621" s="467" t="s">
        <v>502</v>
      </c>
      <c r="M1621" s="467" t="s">
        <v>465</v>
      </c>
      <c r="N1621" s="470"/>
      <c r="O1621" s="471">
        <f t="shared" si="11"/>
        <v>640</v>
      </c>
      <c r="P1621" s="472" t="str">
        <f t="shared" si="12"/>
        <v/>
      </c>
      <c r="Q1621" s="472" t="str">
        <f t="shared" si="13"/>
        <v/>
      </c>
      <c r="R1621" s="473" t="str">
        <f t="shared" si="14"/>
        <v/>
      </c>
      <c r="S1621" s="467" t="str">
        <f t="shared" si="9"/>
        <v>Other (non-mineral; excluded from mineral NMA). All-section coverage. Gross=tract-map basis.</v>
      </c>
      <c r="T1621" s="489"/>
      <c r="U1621" s="489"/>
      <c r="V1621" s="450"/>
      <c r="W1621" s="450"/>
      <c r="X1621" s="450"/>
      <c r="Y1621" s="450"/>
      <c r="Z1621" s="450"/>
    </row>
    <row r="1622" spans="1:26" x14ac:dyDescent="0.25">
      <c r="A1622" s="467" t="s">
        <v>769</v>
      </c>
      <c r="B1622" s="467"/>
      <c r="C1622" s="467" t="s">
        <v>680</v>
      </c>
      <c r="D1622" s="467" t="s">
        <v>770</v>
      </c>
      <c r="E1622" s="468">
        <v>29102</v>
      </c>
      <c r="F1622" s="468">
        <v>29102</v>
      </c>
      <c r="G1622" s="467" t="s">
        <v>221</v>
      </c>
      <c r="H1622" s="467" t="s">
        <v>767</v>
      </c>
      <c r="I1622" s="467" t="s">
        <v>530</v>
      </c>
      <c r="J1622" s="467" t="s">
        <v>746</v>
      </c>
      <c r="K1622" s="469" t="str">
        <f>HYPERLINK("https://okcountyrecords.com/detail/roger+mills/1979-005007","OKCountyRecords: 1979-005007")</f>
        <v>OKCountyRecords: 1979-005007</v>
      </c>
      <c r="L1622" s="467" t="s">
        <v>502</v>
      </c>
      <c r="M1622" s="467" t="s">
        <v>465</v>
      </c>
      <c r="N1622" s="470"/>
      <c r="O1622" s="471">
        <f t="shared" si="11"/>
        <v>640</v>
      </c>
      <c r="P1622" s="472" t="str">
        <f t="shared" si="12"/>
        <v/>
      </c>
      <c r="Q1622" s="472" t="str">
        <f t="shared" si="13"/>
        <v/>
      </c>
      <c r="R1622" s="473" t="str">
        <f t="shared" si="14"/>
        <v/>
      </c>
      <c r="S1622" s="467" t="str">
        <f t="shared" si="9"/>
        <v>Other (non-mineral; excluded from mineral NMA). All-section coverage. Gross=tract-map basis.</v>
      </c>
      <c r="T1622" s="489"/>
      <c r="U1622" s="489"/>
      <c r="V1622" s="450"/>
      <c r="W1622" s="450"/>
      <c r="X1622" s="450"/>
      <c r="Y1622" s="450"/>
      <c r="Z1622" s="450"/>
    </row>
    <row r="1623" spans="1:26" x14ac:dyDescent="0.25">
      <c r="A1623" s="467" t="s">
        <v>772</v>
      </c>
      <c r="B1623" s="467"/>
      <c r="C1623" s="467" t="s">
        <v>619</v>
      </c>
      <c r="D1623" s="467" t="s">
        <v>773</v>
      </c>
      <c r="E1623" s="468">
        <v>29126</v>
      </c>
      <c r="F1623" s="468">
        <v>29132</v>
      </c>
      <c r="G1623" s="467" t="s">
        <v>774</v>
      </c>
      <c r="H1623" s="467" t="s">
        <v>775</v>
      </c>
      <c r="I1623" s="467" t="s">
        <v>776</v>
      </c>
      <c r="J1623" s="467" t="s">
        <v>777</v>
      </c>
      <c r="K1623" s="469" t="str">
        <f>HYPERLINK("https://okcountyrecords.com/detail/roger+mills/1979-005655","OKCountyRecords: 1979-005655")</f>
        <v>OKCountyRecords: 1979-005655</v>
      </c>
      <c r="L1623" s="467" t="s">
        <v>778</v>
      </c>
      <c r="M1623" s="467" t="s">
        <v>404</v>
      </c>
      <c r="N1623" s="470">
        <v>1</v>
      </c>
      <c r="O1623" s="471">
        <f t="shared" si="11"/>
        <v>200</v>
      </c>
      <c r="P1623" s="472">
        <f t="shared" si="12"/>
        <v>1</v>
      </c>
      <c r="Q1623" s="472">
        <f t="shared" si="13"/>
        <v>-1</v>
      </c>
      <c r="R1623" s="473">
        <f t="shared" si="14"/>
        <v>200</v>
      </c>
      <c r="S1623" s="467" t="str">
        <f t="shared" si="9"/>
        <v>Mineral; basis Conv Amt(dec). Gross=tract-map basis.</v>
      </c>
      <c r="T1623" s="490"/>
      <c r="U1623" s="490"/>
      <c r="V1623" s="450"/>
      <c r="W1623" s="450"/>
      <c r="X1623" s="450"/>
      <c r="Y1623" s="450"/>
      <c r="Z1623" s="450"/>
    </row>
    <row r="1624" spans="1:26" x14ac:dyDescent="0.25">
      <c r="A1624" s="467" t="s">
        <v>779</v>
      </c>
      <c r="B1624" s="467"/>
      <c r="C1624" s="467" t="s">
        <v>521</v>
      </c>
      <c r="D1624" s="467" t="s">
        <v>780</v>
      </c>
      <c r="E1624" s="468">
        <v>29172</v>
      </c>
      <c r="F1624" s="468">
        <v>29172</v>
      </c>
      <c r="G1624" s="467" t="s">
        <v>781</v>
      </c>
      <c r="H1624" s="467" t="s">
        <v>782</v>
      </c>
      <c r="I1624" s="467" t="s">
        <v>722</v>
      </c>
      <c r="J1624" s="467" t="s">
        <v>783</v>
      </c>
      <c r="K1624" s="469" t="str">
        <f>HYPERLINK("https://okcountyrecords.com/detail/roger+mills/1979-006593","OKCountyRecords: 1979-006593")</f>
        <v>OKCountyRecords: 1979-006593</v>
      </c>
      <c r="L1624" s="467">
        <v>2</v>
      </c>
      <c r="M1624" s="467" t="s">
        <v>465</v>
      </c>
      <c r="N1624" s="470"/>
      <c r="O1624" s="471">
        <f t="shared" si="11"/>
        <v>160</v>
      </c>
      <c r="P1624" s="472" t="str">
        <f t="shared" si="12"/>
        <v/>
      </c>
      <c r="Q1624" s="472" t="str">
        <f t="shared" si="13"/>
        <v/>
      </c>
      <c r="R1624" s="473" t="str">
        <f t="shared" si="14"/>
        <v/>
      </c>
      <c r="S1624" s="467" t="str">
        <f t="shared" si="9"/>
        <v>Other (non-mineral; excluded from mineral NMA). Gross=tract-map basis.</v>
      </c>
      <c r="T1624" s="489"/>
      <c r="U1624" s="489"/>
      <c r="V1624" s="450"/>
      <c r="W1624" s="450"/>
      <c r="X1624" s="450"/>
      <c r="Y1624" s="450"/>
      <c r="Z1624" s="450"/>
    </row>
    <row r="1625" spans="1:26" x14ac:dyDescent="0.25">
      <c r="A1625" s="467" t="s">
        <v>784</v>
      </c>
      <c r="B1625" s="467"/>
      <c r="C1625" s="467" t="s">
        <v>619</v>
      </c>
      <c r="D1625" s="467" t="s">
        <v>785</v>
      </c>
      <c r="E1625" s="468">
        <v>29675</v>
      </c>
      <c r="F1625" s="468">
        <v>29675</v>
      </c>
      <c r="G1625" s="467" t="s">
        <v>221</v>
      </c>
      <c r="H1625" s="467" t="s">
        <v>786</v>
      </c>
      <c r="I1625" s="467" t="s">
        <v>332</v>
      </c>
      <c r="J1625" s="467" t="s">
        <v>787</v>
      </c>
      <c r="K1625" s="469" t="str">
        <f>HYPERLINK("https://okcountyrecords.com/detail/roger+mills/1981-003445","OKCountyRecords: 1981-003445")</f>
        <v>OKCountyRecords: 1981-003445</v>
      </c>
      <c r="L1625" s="467">
        <v>4</v>
      </c>
      <c r="M1625" s="467" t="s">
        <v>404</v>
      </c>
      <c r="N1625" s="470">
        <f>IF(O1625&gt;0,11/O1625,"")</f>
        <v>0.13750000000000001</v>
      </c>
      <c r="O1625" s="471">
        <f t="shared" si="11"/>
        <v>80</v>
      </c>
      <c r="P1625" s="472">
        <f t="shared" si="12"/>
        <v>0.13750000000000001</v>
      </c>
      <c r="Q1625" s="472">
        <f t="shared" si="13"/>
        <v>-0.13750000000000001</v>
      </c>
      <c r="R1625" s="473">
        <f t="shared" si="14"/>
        <v>11</v>
      </c>
      <c r="S1625" s="467"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89" t="s">
        <v>641</v>
      </c>
      <c r="U1625" s="489" t="s">
        <v>788</v>
      </c>
      <c r="V1625" s="450"/>
      <c r="W1625" s="450"/>
      <c r="X1625" s="450"/>
      <c r="Y1625" s="450"/>
      <c r="Z1625" s="450"/>
    </row>
    <row r="1626" spans="1:26" x14ac:dyDescent="0.25">
      <c r="A1626" s="467" t="s">
        <v>789</v>
      </c>
      <c r="B1626" s="467"/>
      <c r="C1626" s="467" t="s">
        <v>619</v>
      </c>
      <c r="D1626" s="467" t="s">
        <v>790</v>
      </c>
      <c r="E1626" s="468">
        <v>29714</v>
      </c>
      <c r="F1626" s="468">
        <v>29714</v>
      </c>
      <c r="G1626" s="467" t="s">
        <v>791</v>
      </c>
      <c r="H1626" s="467" t="s">
        <v>792</v>
      </c>
      <c r="I1626" s="467" t="s">
        <v>623</v>
      </c>
      <c r="J1626" s="467" t="s">
        <v>703</v>
      </c>
      <c r="K1626" s="469" t="str">
        <f>HYPERLINK("https://okcountyrecords.com/detail/roger+mills/1981-005180","OKCountyRecords: 1981-005180")</f>
        <v>OKCountyRecords: 1981-005180</v>
      </c>
      <c r="L1626" s="467" t="s">
        <v>625</v>
      </c>
      <c r="M1626" s="467" t="s">
        <v>404</v>
      </c>
      <c r="N1626" s="476">
        <f>10/260</f>
        <v>3.8461538461538464E-2</v>
      </c>
      <c r="O1626" s="471">
        <f t="shared" si="11"/>
        <v>280</v>
      </c>
      <c r="P1626" s="472">
        <f t="shared" si="12"/>
        <v>3.8461538461538464E-2</v>
      </c>
      <c r="Q1626" s="472">
        <f t="shared" si="13"/>
        <v>-3.8461538461538464E-2</v>
      </c>
      <c r="R1626" s="473">
        <f t="shared" si="14"/>
        <v>10.76923076923077</v>
      </c>
      <c r="S1626" s="467"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89"/>
      <c r="U1626" s="489"/>
      <c r="V1626" s="450"/>
      <c r="W1626" s="450"/>
      <c r="X1626" s="450"/>
      <c r="Y1626" s="450"/>
      <c r="Z1626" s="450"/>
    </row>
    <row r="1627" spans="1:26" x14ac:dyDescent="0.25">
      <c r="A1627" s="467" t="s">
        <v>793</v>
      </c>
      <c r="B1627" s="467"/>
      <c r="C1627" s="467" t="s">
        <v>619</v>
      </c>
      <c r="D1627" s="467" t="s">
        <v>794</v>
      </c>
      <c r="E1627" s="468">
        <v>29714</v>
      </c>
      <c r="F1627" s="468">
        <v>29714</v>
      </c>
      <c r="G1627" s="467" t="s">
        <v>792</v>
      </c>
      <c r="H1627" s="467" t="s">
        <v>795</v>
      </c>
      <c r="I1627" s="467" t="s">
        <v>623</v>
      </c>
      <c r="J1627" s="467" t="s">
        <v>796</v>
      </c>
      <c r="K1627" s="469" t="str">
        <f>HYPERLINK("https://okcountyrecords.com/detail/roger+mills/1981-005181","OKCountyRecords: 1981-005181")</f>
        <v>OKCountyRecords: 1981-005181</v>
      </c>
      <c r="L1627" s="467" t="s">
        <v>625</v>
      </c>
      <c r="M1627" s="467" t="s">
        <v>404</v>
      </c>
      <c r="N1627" s="476">
        <f>5/260</f>
        <v>1.9230769230769232E-2</v>
      </c>
      <c r="O1627" s="471">
        <f t="shared" si="11"/>
        <v>280</v>
      </c>
      <c r="P1627" s="472">
        <f t="shared" si="12"/>
        <v>1.9230769230769232E-2</v>
      </c>
      <c r="Q1627" s="472">
        <f t="shared" si="13"/>
        <v>-1.9230769230769232E-2</v>
      </c>
      <c r="R1627" s="473">
        <f t="shared" si="14"/>
        <v>5.384615384615385</v>
      </c>
      <c r="S1627" s="467"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89"/>
      <c r="U1627" s="489"/>
      <c r="V1627" s="450"/>
      <c r="W1627" s="450"/>
      <c r="X1627" s="450"/>
      <c r="Y1627" s="450"/>
      <c r="Z1627" s="450"/>
    </row>
    <row r="1628" spans="1:26" x14ac:dyDescent="0.25">
      <c r="A1628" s="467" t="s">
        <v>797</v>
      </c>
      <c r="B1628" s="467"/>
      <c r="C1628" s="467" t="s">
        <v>619</v>
      </c>
      <c r="D1628" s="467" t="s">
        <v>798</v>
      </c>
      <c r="E1628" s="468">
        <v>29767</v>
      </c>
      <c r="F1628" s="468">
        <v>29767</v>
      </c>
      <c r="G1628" s="467" t="s">
        <v>786</v>
      </c>
      <c r="H1628" s="467" t="s">
        <v>799</v>
      </c>
      <c r="I1628" s="467" t="s">
        <v>332</v>
      </c>
      <c r="J1628" s="467" t="s">
        <v>800</v>
      </c>
      <c r="K1628" s="469" t="str">
        <f>HYPERLINK("https://okcountyrecords.com/detail/roger+mills/1981-007481","OKCountyRecords: 1981-007481")</f>
        <v>OKCountyRecords: 1981-007481</v>
      </c>
      <c r="L1628" s="467">
        <v>4</v>
      </c>
      <c r="M1628" s="467" t="s">
        <v>404</v>
      </c>
      <c r="N1628" s="470">
        <f>IF(O1628&gt;0,10.725/O1628,"")</f>
        <v>0.1340625</v>
      </c>
      <c r="O1628" s="471">
        <f t="shared" si="11"/>
        <v>80</v>
      </c>
      <c r="P1628" s="472">
        <f t="shared" si="12"/>
        <v>0.1340625</v>
      </c>
      <c r="Q1628" s="472">
        <f t="shared" si="13"/>
        <v>-0.1340625</v>
      </c>
      <c r="R1628" s="473">
        <f t="shared" si="14"/>
        <v>10.725</v>
      </c>
      <c r="S1628" s="467"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89" t="s">
        <v>641</v>
      </c>
      <c r="U1628" s="489" t="s">
        <v>801</v>
      </c>
      <c r="V1628" s="450"/>
      <c r="W1628" s="450"/>
      <c r="X1628" s="450"/>
      <c r="Y1628" s="450"/>
      <c r="Z1628" s="450"/>
    </row>
    <row r="1629" spans="1:26" x14ac:dyDescent="0.25">
      <c r="A1629" s="467" t="s">
        <v>802</v>
      </c>
      <c r="B1629" s="467"/>
      <c r="C1629" s="467" t="s">
        <v>619</v>
      </c>
      <c r="D1629" s="467" t="s">
        <v>803</v>
      </c>
      <c r="E1629" s="468">
        <v>29812</v>
      </c>
      <c r="F1629" s="468">
        <v>29812</v>
      </c>
      <c r="G1629" s="467" t="s">
        <v>786</v>
      </c>
      <c r="H1629" s="467" t="s">
        <v>804</v>
      </c>
      <c r="I1629" s="467" t="s">
        <v>332</v>
      </c>
      <c r="J1629" s="467" t="s">
        <v>805</v>
      </c>
      <c r="K1629" s="469" t="str">
        <f>HYPERLINK("https://okcountyrecords.com/detail/roger+mills/1981-009501","OKCountyRecords: 1981-009501")</f>
        <v>OKCountyRecords: 1981-009501</v>
      </c>
      <c r="L1629" s="467">
        <v>4</v>
      </c>
      <c r="M1629" s="467" t="s">
        <v>404</v>
      </c>
      <c r="N1629" s="470">
        <f>IF(O1629&gt;0,0.55/O1629,"")</f>
        <v>6.8750000000000009E-3</v>
      </c>
      <c r="O1629" s="471">
        <f t="shared" si="11"/>
        <v>80</v>
      </c>
      <c r="P1629" s="472">
        <f t="shared" si="12"/>
        <v>6.8750000000000009E-3</v>
      </c>
      <c r="Q1629" s="472">
        <f t="shared" si="13"/>
        <v>-6.8750000000000009E-3</v>
      </c>
      <c r="R1629" s="473">
        <f t="shared" si="14"/>
        <v>0.55000000000000004</v>
      </c>
      <c r="S1629" s="467"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89" t="s">
        <v>641</v>
      </c>
      <c r="U1629" s="489" t="s">
        <v>806</v>
      </c>
      <c r="V1629" s="450"/>
      <c r="W1629" s="450"/>
      <c r="X1629" s="450"/>
      <c r="Y1629" s="450"/>
      <c r="Z1629" s="450"/>
    </row>
    <row r="1630" spans="1:26" x14ac:dyDescent="0.25">
      <c r="A1630" s="467" t="s">
        <v>807</v>
      </c>
      <c r="B1630" s="467"/>
      <c r="C1630" s="467" t="s">
        <v>619</v>
      </c>
      <c r="D1630" s="467" t="s">
        <v>808</v>
      </c>
      <c r="E1630" s="468">
        <v>30054</v>
      </c>
      <c r="F1630" s="468">
        <v>30054</v>
      </c>
      <c r="G1630" s="467" t="s">
        <v>698</v>
      </c>
      <c r="H1630" s="467" t="s">
        <v>809</v>
      </c>
      <c r="I1630" s="467" t="s">
        <v>623</v>
      </c>
      <c r="J1630" s="467" t="s">
        <v>699</v>
      </c>
      <c r="K1630" s="469" t="str">
        <f>HYPERLINK("https://okcountyrecords.com/detail/roger+mills/1982-004342","OKCountyRecords: 1982-004342")</f>
        <v>OKCountyRecords: 1982-004342</v>
      </c>
      <c r="L1630" s="467" t="s">
        <v>625</v>
      </c>
      <c r="M1630" s="467" t="s">
        <v>404</v>
      </c>
      <c r="N1630" s="476">
        <f>40/260</f>
        <v>0.15384615384615385</v>
      </c>
      <c r="O1630" s="471">
        <f t="shared" si="11"/>
        <v>280</v>
      </c>
      <c r="P1630" s="472">
        <f t="shared" si="12"/>
        <v>0.15384615384615385</v>
      </c>
      <c r="Q1630" s="472">
        <f t="shared" si="13"/>
        <v>-0.15384615384615385</v>
      </c>
      <c r="R1630" s="473">
        <f t="shared" si="14"/>
        <v>43.07692307692308</v>
      </c>
      <c r="S1630" s="467"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89"/>
      <c r="U1630" s="489"/>
      <c r="V1630" s="450"/>
      <c r="W1630" s="450"/>
      <c r="X1630" s="450"/>
      <c r="Y1630" s="450"/>
      <c r="Z1630" s="450"/>
    </row>
    <row r="1631" spans="1:26" x14ac:dyDescent="0.25">
      <c r="A1631" s="467" t="s">
        <v>810</v>
      </c>
      <c r="B1631" s="467"/>
      <c r="C1631" s="467" t="s">
        <v>756</v>
      </c>
      <c r="D1631" s="467" t="s">
        <v>811</v>
      </c>
      <c r="E1631" s="468">
        <v>30061</v>
      </c>
      <c r="F1631" s="468">
        <v>30061</v>
      </c>
      <c r="G1631" s="467" t="s">
        <v>812</v>
      </c>
      <c r="H1631" s="467" t="s">
        <v>646</v>
      </c>
      <c r="I1631" s="467" t="s">
        <v>530</v>
      </c>
      <c r="J1631" s="467" t="s">
        <v>760</v>
      </c>
      <c r="K1631" s="469" t="str">
        <f>HYPERLINK("https://okcountyrecords.com/detail/roger+mills/1982-004658","OKCountyRecords: 1982-004658")</f>
        <v>OKCountyRecords: 1982-004658</v>
      </c>
      <c r="L1631" s="467" t="s">
        <v>502</v>
      </c>
      <c r="M1631" s="467" t="s">
        <v>465</v>
      </c>
      <c r="N1631" s="470"/>
      <c r="O1631" s="471">
        <f t="shared" si="11"/>
        <v>640</v>
      </c>
      <c r="P1631" s="472" t="str">
        <f t="shared" si="12"/>
        <v/>
      </c>
      <c r="Q1631" s="472" t="str">
        <f t="shared" si="13"/>
        <v/>
      </c>
      <c r="R1631" s="473" t="str">
        <f t="shared" si="14"/>
        <v/>
      </c>
      <c r="S1631" s="467"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90"/>
      <c r="U1631" s="490"/>
      <c r="V1631" s="450"/>
      <c r="W1631" s="450"/>
      <c r="X1631" s="450"/>
      <c r="Y1631" s="450"/>
      <c r="Z1631" s="450"/>
    </row>
    <row r="1632" spans="1:26" x14ac:dyDescent="0.25">
      <c r="A1632" s="467" t="s">
        <v>813</v>
      </c>
      <c r="B1632" s="467"/>
      <c r="C1632" s="467" t="s">
        <v>619</v>
      </c>
      <c r="D1632" s="467" t="s">
        <v>814</v>
      </c>
      <c r="E1632" s="468">
        <v>30081</v>
      </c>
      <c r="F1632" s="468">
        <v>30081</v>
      </c>
      <c r="G1632" s="467" t="s">
        <v>786</v>
      </c>
      <c r="H1632" s="467" t="s">
        <v>799</v>
      </c>
      <c r="I1632" s="467" t="s">
        <v>332</v>
      </c>
      <c r="J1632" s="467" t="s">
        <v>815</v>
      </c>
      <c r="K1632" s="469" t="str">
        <f>HYPERLINK("https://okcountyrecords.com/detail/roger+mills/1982-005352","OKCountyRecords: 1982-005352")</f>
        <v>OKCountyRecords: 1982-005352</v>
      </c>
      <c r="L1632" s="467">
        <v>4</v>
      </c>
      <c r="M1632" s="467" t="s">
        <v>404</v>
      </c>
      <c r="N1632" s="470">
        <f>IF(O1632&gt;0,0.22/O1632,"")</f>
        <v>2.7499999999999998E-3</v>
      </c>
      <c r="O1632" s="471">
        <f t="shared" si="11"/>
        <v>80</v>
      </c>
      <c r="P1632" s="472">
        <f t="shared" si="12"/>
        <v>2.7499999999999998E-3</v>
      </c>
      <c r="Q1632" s="472">
        <f t="shared" si="13"/>
        <v>-2.7499999999999998E-3</v>
      </c>
      <c r="R1632" s="473">
        <f t="shared" si="14"/>
        <v>0.21999999999999997</v>
      </c>
      <c r="S1632" s="467"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89" t="s">
        <v>641</v>
      </c>
      <c r="U1632" s="489" t="s">
        <v>816</v>
      </c>
      <c r="V1632" s="450"/>
      <c r="W1632" s="450"/>
      <c r="X1632" s="450"/>
      <c r="Y1632" s="450"/>
      <c r="Z1632" s="450"/>
    </row>
    <row r="1633" spans="1:26" x14ac:dyDescent="0.25">
      <c r="A1633" s="467" t="s">
        <v>817</v>
      </c>
      <c r="B1633" s="467"/>
      <c r="C1633" s="467" t="s">
        <v>604</v>
      </c>
      <c r="D1633" s="467" t="s">
        <v>818</v>
      </c>
      <c r="E1633" s="468">
        <v>30099</v>
      </c>
      <c r="F1633" s="468">
        <v>30099</v>
      </c>
      <c r="G1633" s="467" t="s">
        <v>819</v>
      </c>
      <c r="H1633" s="467" t="s">
        <v>102</v>
      </c>
      <c r="I1633" s="467" t="s">
        <v>231</v>
      </c>
      <c r="J1633" s="467" t="s">
        <v>760</v>
      </c>
      <c r="K1633" s="469" t="str">
        <f>HYPERLINK("https://okcountyrecords.com/detail/roger+mills/1982-006217","OKCountyRecords: 1982-006217")</f>
        <v>OKCountyRecords: 1982-006217</v>
      </c>
      <c r="L1633" s="467" t="s">
        <v>502</v>
      </c>
      <c r="M1633" s="467" t="s">
        <v>465</v>
      </c>
      <c r="N1633" s="470"/>
      <c r="O1633" s="471">
        <f t="shared" si="11"/>
        <v>640</v>
      </c>
      <c r="P1633" s="472" t="str">
        <f t="shared" si="12"/>
        <v/>
      </c>
      <c r="Q1633" s="472" t="str">
        <f t="shared" si="13"/>
        <v/>
      </c>
      <c r="R1633" s="473" t="str">
        <f t="shared" si="14"/>
        <v/>
      </c>
      <c r="S1633" s="467" t="s">
        <v>503</v>
      </c>
      <c r="T1633" s="489" t="s">
        <v>467</v>
      </c>
      <c r="U1633" s="490" t="s">
        <v>504</v>
      </c>
      <c r="V1633" s="450"/>
      <c r="W1633" s="450"/>
      <c r="X1633" s="450"/>
      <c r="Y1633" s="450"/>
      <c r="Z1633" s="450"/>
    </row>
    <row r="1634" spans="1:26" x14ac:dyDescent="0.25">
      <c r="A1634" s="467" t="s">
        <v>820</v>
      </c>
      <c r="B1634" s="467"/>
      <c r="C1634" s="467" t="s">
        <v>604</v>
      </c>
      <c r="D1634" s="467" t="s">
        <v>821</v>
      </c>
      <c r="E1634" s="468">
        <v>30099</v>
      </c>
      <c r="F1634" s="468">
        <v>30099</v>
      </c>
      <c r="G1634" s="467" t="s">
        <v>819</v>
      </c>
      <c r="H1634" s="467" t="s">
        <v>102</v>
      </c>
      <c r="I1634" s="467" t="s">
        <v>231</v>
      </c>
      <c r="J1634" s="467" t="s">
        <v>760</v>
      </c>
      <c r="K1634" s="469" t="str">
        <f>HYPERLINK("https://okcountyrecords.com/detail/roger+mills/1982-006218","OKCountyRecords: 1982-006218")</f>
        <v>OKCountyRecords: 1982-006218</v>
      </c>
      <c r="L1634" s="467" t="s">
        <v>502</v>
      </c>
      <c r="M1634" s="467" t="s">
        <v>465</v>
      </c>
      <c r="N1634" s="470"/>
      <c r="O1634" s="471">
        <f t="shared" si="11"/>
        <v>640</v>
      </c>
      <c r="P1634" s="472" t="str">
        <f t="shared" si="12"/>
        <v/>
      </c>
      <c r="Q1634" s="472" t="str">
        <f t="shared" si="13"/>
        <v/>
      </c>
      <c r="R1634" s="473" t="str">
        <f t="shared" si="14"/>
        <v/>
      </c>
      <c r="S1634" s="467" t="s">
        <v>503</v>
      </c>
      <c r="T1634" s="489" t="s">
        <v>467</v>
      </c>
      <c r="U1634" s="490" t="s">
        <v>504</v>
      </c>
      <c r="V1634" s="450"/>
      <c r="W1634" s="450"/>
      <c r="X1634" s="450"/>
      <c r="Y1634" s="450"/>
      <c r="Z1634" s="450"/>
    </row>
    <row r="1635" spans="1:26" x14ac:dyDescent="0.25">
      <c r="A1635" s="467" t="s">
        <v>822</v>
      </c>
      <c r="B1635" s="467"/>
      <c r="C1635" s="467" t="s">
        <v>619</v>
      </c>
      <c r="D1635" s="467" t="s">
        <v>823</v>
      </c>
      <c r="E1635" s="468">
        <v>30124</v>
      </c>
      <c r="F1635" s="468">
        <v>30124</v>
      </c>
      <c r="G1635" s="467" t="s">
        <v>824</v>
      </c>
      <c r="H1635" s="467" t="s">
        <v>335</v>
      </c>
      <c r="I1635" s="467" t="s">
        <v>825</v>
      </c>
      <c r="J1635" s="467" t="s">
        <v>826</v>
      </c>
      <c r="K1635" s="469" t="str">
        <f>HYPERLINK("https://okcountyrecords.com/detail/roger+mills/1982-007158","OKCountyRecords: 1982-007158")</f>
        <v>OKCountyRecords: 1982-007158</v>
      </c>
      <c r="L1635" s="467" t="s">
        <v>403</v>
      </c>
      <c r="M1635" s="467" t="s">
        <v>404</v>
      </c>
      <c r="N1635" s="470">
        <f>IF(O1635&gt;0,2/O1635,"")</f>
        <v>0.01</v>
      </c>
      <c r="O1635" s="471">
        <f t="shared" si="11"/>
        <v>200</v>
      </c>
      <c r="P1635" s="472">
        <f t="shared" si="12"/>
        <v>0.01</v>
      </c>
      <c r="Q1635" s="472">
        <f t="shared" si="13"/>
        <v>-0.01</v>
      </c>
      <c r="R1635" s="473">
        <f t="shared" si="14"/>
        <v>2</v>
      </c>
      <c r="S1635" s="467"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89" t="s">
        <v>641</v>
      </c>
      <c r="U1635" s="489" t="s">
        <v>827</v>
      </c>
      <c r="V1635" s="450"/>
      <c r="W1635" s="450"/>
      <c r="X1635" s="450"/>
      <c r="Y1635" s="450"/>
      <c r="Z1635" s="450"/>
    </row>
    <row r="1636" spans="1:26" x14ac:dyDescent="0.25">
      <c r="A1636" s="467" t="s">
        <v>828</v>
      </c>
      <c r="B1636" s="467"/>
      <c r="C1636" s="467" t="s">
        <v>619</v>
      </c>
      <c r="D1636" s="467" t="s">
        <v>829</v>
      </c>
      <c r="E1636" s="468">
        <v>30250</v>
      </c>
      <c r="F1636" s="468">
        <v>30250</v>
      </c>
      <c r="G1636" s="467" t="s">
        <v>830</v>
      </c>
      <c r="H1636" s="467" t="s">
        <v>329</v>
      </c>
      <c r="I1636" s="467" t="s">
        <v>831</v>
      </c>
      <c r="J1636" s="467" t="s">
        <v>832</v>
      </c>
      <c r="K1636" s="469" t="str">
        <f>HYPERLINK("https://okcountyrecords.com/detail/roger+mills/1982-011144","OKCountyRecords: 1982-011144")</f>
        <v>OKCountyRecords: 1982-011144</v>
      </c>
      <c r="L1636" s="467">
        <v>2</v>
      </c>
      <c r="M1636" s="467" t="s">
        <v>404</v>
      </c>
      <c r="N1636" s="470">
        <f>1/791.47</f>
        <v>1.2634717677233501E-3</v>
      </c>
      <c r="O1636" s="471">
        <f t="shared" si="11"/>
        <v>160</v>
      </c>
      <c r="P1636" s="472">
        <f t="shared" si="12"/>
        <v>1.2634717677233501E-3</v>
      </c>
      <c r="Q1636" s="472">
        <f t="shared" si="13"/>
        <v>-1.2634717677233501E-3</v>
      </c>
      <c r="R1636" s="473">
        <f t="shared" si="14"/>
        <v>0.20215548283573603</v>
      </c>
      <c r="S1636" s="467"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89"/>
      <c r="U1636" s="489"/>
      <c r="V1636" s="450"/>
      <c r="W1636" s="450"/>
      <c r="X1636" s="450"/>
      <c r="Y1636" s="450"/>
      <c r="Z1636" s="450"/>
    </row>
    <row r="1637" spans="1:26" x14ac:dyDescent="0.25">
      <c r="A1637" s="467" t="s">
        <v>833</v>
      </c>
      <c r="B1637" s="467"/>
      <c r="C1637" s="467" t="s">
        <v>619</v>
      </c>
      <c r="D1637" s="467" t="s">
        <v>834</v>
      </c>
      <c r="E1637" s="468">
        <v>30250</v>
      </c>
      <c r="F1637" s="468">
        <v>30250</v>
      </c>
      <c r="G1637" s="467" t="s">
        <v>835</v>
      </c>
      <c r="H1637" s="467" t="s">
        <v>357</v>
      </c>
      <c r="I1637" s="467" t="s">
        <v>831</v>
      </c>
      <c r="J1637" s="467" t="s">
        <v>832</v>
      </c>
      <c r="K1637" s="469" t="str">
        <f>HYPERLINK("https://okcountyrecords.com/detail/roger+mills/1982-011142","OKCountyRecords: 1982-011142")</f>
        <v>OKCountyRecords: 1982-011142</v>
      </c>
      <c r="L1637" s="467">
        <v>2</v>
      </c>
      <c r="M1637" s="467" t="s">
        <v>404</v>
      </c>
      <c r="N1637" s="470">
        <f>1/791.47</f>
        <v>1.2634717677233501E-3</v>
      </c>
      <c r="O1637" s="471">
        <f t="shared" si="11"/>
        <v>160</v>
      </c>
      <c r="P1637" s="472">
        <f t="shared" si="12"/>
        <v>1.2634717677233501E-3</v>
      </c>
      <c r="Q1637" s="472">
        <f t="shared" si="13"/>
        <v>-1.2634717677233501E-3</v>
      </c>
      <c r="R1637" s="473">
        <f t="shared" si="14"/>
        <v>0.20215548283573603</v>
      </c>
      <c r="S1637" s="467" t="str">
        <f t="shared" si="15"/>
        <v>Mineral; basis Conv Amt(dec). Gross=tract-map basis.</v>
      </c>
      <c r="T1637" s="489"/>
      <c r="U1637" s="489"/>
      <c r="V1637" s="450"/>
      <c r="W1637" s="450"/>
      <c r="X1637" s="450"/>
      <c r="Y1637" s="450"/>
      <c r="Z1637" s="450"/>
    </row>
    <row r="1638" spans="1:26" x14ac:dyDescent="0.25">
      <c r="A1638" s="467" t="s">
        <v>836</v>
      </c>
      <c r="B1638" s="467"/>
      <c r="C1638" s="467" t="s">
        <v>619</v>
      </c>
      <c r="D1638" s="467" t="s">
        <v>837</v>
      </c>
      <c r="E1638" s="468">
        <v>30250</v>
      </c>
      <c r="F1638" s="468">
        <v>30250</v>
      </c>
      <c r="G1638" s="467" t="s">
        <v>835</v>
      </c>
      <c r="H1638" s="467" t="s">
        <v>838</v>
      </c>
      <c r="I1638" s="467" t="s">
        <v>831</v>
      </c>
      <c r="J1638" s="467" t="s">
        <v>832</v>
      </c>
      <c r="K1638" s="469" t="str">
        <f>HYPERLINK("https://okcountyrecords.com/detail/roger+mills/1982-011143","OKCountyRecords: 1982-011143")</f>
        <v>OKCountyRecords: 1982-011143</v>
      </c>
      <c r="L1638" s="467">
        <v>2</v>
      </c>
      <c r="M1638" s="467" t="s">
        <v>404</v>
      </c>
      <c r="N1638" s="470">
        <f>1/791.47</f>
        <v>1.2634717677233501E-3</v>
      </c>
      <c r="O1638" s="471">
        <f t="shared" si="11"/>
        <v>160</v>
      </c>
      <c r="P1638" s="472">
        <f t="shared" si="12"/>
        <v>1.2634717677233501E-3</v>
      </c>
      <c r="Q1638" s="472">
        <f t="shared" si="13"/>
        <v>-1.2634717677233501E-3</v>
      </c>
      <c r="R1638" s="473">
        <f t="shared" si="14"/>
        <v>0.20215548283573603</v>
      </c>
      <c r="S1638" s="467" t="str">
        <f t="shared" si="15"/>
        <v>Mineral; basis Conv Amt(dec). Gross=tract-map basis.</v>
      </c>
      <c r="T1638" s="489"/>
      <c r="U1638" s="489"/>
      <c r="V1638" s="450"/>
      <c r="W1638" s="450"/>
      <c r="X1638" s="450"/>
      <c r="Y1638" s="450"/>
      <c r="Z1638" s="450"/>
    </row>
    <row r="1639" spans="1:26" x14ac:dyDescent="0.25">
      <c r="A1639" s="467" t="s">
        <v>839</v>
      </c>
      <c r="B1639" s="467"/>
      <c r="C1639" s="467" t="s">
        <v>619</v>
      </c>
      <c r="D1639" s="467" t="s">
        <v>840</v>
      </c>
      <c r="E1639" s="468">
        <v>30361</v>
      </c>
      <c r="F1639" s="468">
        <v>30369</v>
      </c>
      <c r="G1639" s="467" t="s">
        <v>841</v>
      </c>
      <c r="H1639" s="467" t="s">
        <v>842</v>
      </c>
      <c r="I1639" s="467" t="s">
        <v>831</v>
      </c>
      <c r="J1639" s="467" t="s">
        <v>843</v>
      </c>
      <c r="K1639" s="477" t="s">
        <v>844</v>
      </c>
      <c r="L1639" s="467">
        <v>2</v>
      </c>
      <c r="M1639" s="467" t="s">
        <v>404</v>
      </c>
      <c r="N1639" s="470"/>
      <c r="O1639" s="467">
        <f t="shared" si="11"/>
        <v>160</v>
      </c>
      <c r="P1639" s="472" t="str">
        <f t="shared" si="12"/>
        <v/>
      </c>
      <c r="Q1639" s="472" t="str">
        <f t="shared" si="13"/>
        <v/>
      </c>
      <c r="R1639" s="473" t="str">
        <f t="shared" si="14"/>
        <v/>
      </c>
      <c r="S1639" s="467" t="str">
        <f t="shared" si="15"/>
        <v>Mineral; NO AMOUNT-verify instrument. Gross=tract-map basis.</v>
      </c>
      <c r="T1639" s="489" t="s">
        <v>845</v>
      </c>
      <c r="U1639" s="490" t="s">
        <v>846</v>
      </c>
      <c r="V1639" s="450"/>
      <c r="W1639" s="450"/>
      <c r="X1639" s="450"/>
      <c r="Y1639" s="450"/>
      <c r="Z1639" s="450"/>
    </row>
    <row r="1640" spans="1:26" x14ac:dyDescent="0.25">
      <c r="A1640" s="467" t="s">
        <v>847</v>
      </c>
      <c r="B1640" s="467"/>
      <c r="C1640" s="467" t="s">
        <v>619</v>
      </c>
      <c r="D1640" s="467" t="s">
        <v>848</v>
      </c>
      <c r="E1640" s="468">
        <v>30369</v>
      </c>
      <c r="F1640" s="468">
        <v>30369</v>
      </c>
      <c r="G1640" s="467" t="s">
        <v>849</v>
      </c>
      <c r="H1640" s="467" t="s">
        <v>850</v>
      </c>
      <c r="I1640" s="467" t="s">
        <v>831</v>
      </c>
      <c r="J1640" s="467" t="s">
        <v>851</v>
      </c>
      <c r="K1640" s="469" t="str">
        <f>HYPERLINK("https://okcountyrecords.com/detail/roger+mills/1983-001669","OKCountyRecords: 1983-001669")</f>
        <v>OKCountyRecords: 1983-001669</v>
      </c>
      <c r="L1640" s="467">
        <v>2</v>
      </c>
      <c r="M1640" s="467" t="s">
        <v>404</v>
      </c>
      <c r="N1640" s="470">
        <f>3/791.47</f>
        <v>3.7904153031700504E-3</v>
      </c>
      <c r="O1640" s="471">
        <f t="shared" si="11"/>
        <v>160</v>
      </c>
      <c r="P1640" s="472">
        <f t="shared" si="12"/>
        <v>3.7904153031700504E-3</v>
      </c>
      <c r="Q1640" s="472">
        <f t="shared" si="13"/>
        <v>-3.7904153031700504E-3</v>
      </c>
      <c r="R1640" s="473">
        <f t="shared" si="14"/>
        <v>0.6064664485072081</v>
      </c>
      <c r="S1640" s="467" t="str">
        <f t="shared" si="15"/>
        <v>Mineral; basis Conv Amt(dec). Gross=tract-map basis.</v>
      </c>
      <c r="T1640" s="489"/>
      <c r="U1640" s="489"/>
      <c r="V1640" s="450"/>
      <c r="W1640" s="450"/>
      <c r="X1640" s="450"/>
      <c r="Y1640" s="450"/>
      <c r="Z1640" s="450"/>
    </row>
    <row r="1641" spans="1:26" x14ac:dyDescent="0.25">
      <c r="A1641" s="467" t="s">
        <v>852</v>
      </c>
      <c r="B1641" s="467"/>
      <c r="C1641" s="467" t="s">
        <v>853</v>
      </c>
      <c r="D1641" s="467" t="s">
        <v>854</v>
      </c>
      <c r="E1641" s="468">
        <v>30369</v>
      </c>
      <c r="F1641" s="468">
        <v>30369</v>
      </c>
      <c r="G1641" s="467" t="s">
        <v>721</v>
      </c>
      <c r="H1641" s="467" t="s">
        <v>855</v>
      </c>
      <c r="I1641" s="467" t="s">
        <v>530</v>
      </c>
      <c r="J1641" s="467" t="s">
        <v>853</v>
      </c>
      <c r="K1641" s="469" t="str">
        <f>HYPERLINK("https://okcountyrecords.com/detail/roger+mills/1983-001668","OKCountyRecords: 1983-001668")</f>
        <v>OKCountyRecords: 1983-001668</v>
      </c>
      <c r="L1641" s="467" t="s">
        <v>502</v>
      </c>
      <c r="M1641" s="467" t="s">
        <v>465</v>
      </c>
      <c r="N1641" s="470"/>
      <c r="O1641" s="471">
        <f t="shared" si="11"/>
        <v>640</v>
      </c>
      <c r="P1641" s="472" t="str">
        <f t="shared" si="12"/>
        <v/>
      </c>
      <c r="Q1641" s="472" t="str">
        <f t="shared" si="13"/>
        <v/>
      </c>
      <c r="R1641" s="473" t="str">
        <f t="shared" si="14"/>
        <v/>
      </c>
      <c r="S1641" s="467" t="str">
        <f t="shared" si="15"/>
        <v>Other (non-mineral; excluded from mineral NMA). All-section coverage. Gross=tract-map basis.</v>
      </c>
      <c r="T1641" s="490"/>
      <c r="U1641" s="490"/>
      <c r="V1641" s="450"/>
      <c r="W1641" s="450"/>
      <c r="X1641" s="450"/>
      <c r="Y1641" s="450"/>
      <c r="Z1641" s="450"/>
    </row>
    <row r="1642" spans="1:26" x14ac:dyDescent="0.25">
      <c r="A1642" s="467" t="s">
        <v>856</v>
      </c>
      <c r="B1642" s="467"/>
      <c r="C1642" s="467" t="s">
        <v>585</v>
      </c>
      <c r="D1642" s="467" t="s">
        <v>857</v>
      </c>
      <c r="E1642" s="468">
        <v>30369</v>
      </c>
      <c r="F1642" s="468">
        <v>30369</v>
      </c>
      <c r="G1642" s="467" t="s">
        <v>858</v>
      </c>
      <c r="H1642" s="467" t="s">
        <v>859</v>
      </c>
      <c r="I1642" s="467" t="s">
        <v>860</v>
      </c>
      <c r="J1642" s="467" t="s">
        <v>63</v>
      </c>
      <c r="K1642" s="469" t="str">
        <f>HYPERLINK("https://okcountyrecords.com/detail/roger+mills/1983-001671","OKCountyRecords: 1983-001671")</f>
        <v>OKCountyRecords: 1983-001671</v>
      </c>
      <c r="L1642" s="467" t="s">
        <v>502</v>
      </c>
      <c r="M1642" s="467" t="s">
        <v>404</v>
      </c>
      <c r="N1642" s="470">
        <v>1</v>
      </c>
      <c r="O1642" s="471">
        <f t="shared" si="11"/>
        <v>640</v>
      </c>
      <c r="P1642" s="472">
        <f t="shared" si="12"/>
        <v>1</v>
      </c>
      <c r="Q1642" s="472">
        <f t="shared" si="13"/>
        <v>-1</v>
      </c>
      <c r="R1642" s="473">
        <f t="shared" si="14"/>
        <v>640</v>
      </c>
      <c r="S1642" s="467" t="str">
        <f t="shared" si="15"/>
        <v>Mineral; basis Conv Amt(dec). All-section coverage. Gross=tract-map basis.</v>
      </c>
      <c r="T1642" s="489"/>
      <c r="U1642" s="489"/>
      <c r="V1642" s="450"/>
      <c r="W1642" s="450"/>
      <c r="X1642" s="450"/>
      <c r="Y1642" s="450"/>
      <c r="Z1642" s="450"/>
    </row>
    <row r="1643" spans="1:26" x14ac:dyDescent="0.25">
      <c r="A1643" s="467" t="s">
        <v>861</v>
      </c>
      <c r="B1643" s="467"/>
      <c r="C1643" s="467" t="s">
        <v>619</v>
      </c>
      <c r="D1643" s="467" t="s">
        <v>862</v>
      </c>
      <c r="E1643" s="468">
        <v>30388</v>
      </c>
      <c r="F1643" s="468">
        <v>30388</v>
      </c>
      <c r="G1643" s="467" t="s">
        <v>850</v>
      </c>
      <c r="H1643" s="467" t="s">
        <v>863</v>
      </c>
      <c r="I1643" s="467" t="s">
        <v>831</v>
      </c>
      <c r="J1643" s="467" t="s">
        <v>832</v>
      </c>
      <c r="K1643" s="469" t="str">
        <f>HYPERLINK("https://okcountyrecords.com/detail/roger+mills/1983-002348","OKCountyRecords: 1983-002348")</f>
        <v>OKCountyRecords: 1983-002348</v>
      </c>
      <c r="L1643" s="467">
        <v>2</v>
      </c>
      <c r="M1643" s="467" t="s">
        <v>404</v>
      </c>
      <c r="N1643" s="470">
        <f>1/791.47</f>
        <v>1.2634717677233501E-3</v>
      </c>
      <c r="O1643" s="471">
        <f t="shared" si="11"/>
        <v>160</v>
      </c>
      <c r="P1643" s="472">
        <f t="shared" si="12"/>
        <v>1.2634717677233501E-3</v>
      </c>
      <c r="Q1643" s="472">
        <f t="shared" si="13"/>
        <v>-1.2634717677233501E-3</v>
      </c>
      <c r="R1643" s="473">
        <f t="shared" si="14"/>
        <v>0.20215548283573603</v>
      </c>
      <c r="S1643" s="467" t="str">
        <f t="shared" si="15"/>
        <v>Mineral; basis Conv Amt(dec). Gross=tract-map basis.</v>
      </c>
      <c r="T1643" s="489"/>
      <c r="U1643" s="489"/>
      <c r="V1643" s="450"/>
      <c r="W1643" s="450"/>
      <c r="X1643" s="450"/>
      <c r="Y1643" s="450"/>
      <c r="Z1643" s="450"/>
    </row>
    <row r="1644" spans="1:26" x14ac:dyDescent="0.25">
      <c r="A1644" s="467" t="s">
        <v>864</v>
      </c>
      <c r="B1644" s="467"/>
      <c r="C1644" s="467" t="s">
        <v>619</v>
      </c>
      <c r="D1644" s="467" t="s">
        <v>865</v>
      </c>
      <c r="E1644" s="468">
        <v>30388</v>
      </c>
      <c r="F1644" s="468">
        <v>30388</v>
      </c>
      <c r="G1644" s="467" t="s">
        <v>850</v>
      </c>
      <c r="H1644" s="467" t="s">
        <v>866</v>
      </c>
      <c r="I1644" s="467" t="s">
        <v>831</v>
      </c>
      <c r="J1644" s="467" t="s">
        <v>832</v>
      </c>
      <c r="K1644" s="469" t="str">
        <f>HYPERLINK("https://okcountyrecords.com/detail/roger+mills/1983-002349","OKCountyRecords: 1983-002349")</f>
        <v>OKCountyRecords: 1983-002349</v>
      </c>
      <c r="L1644" s="467">
        <v>2</v>
      </c>
      <c r="M1644" s="467" t="s">
        <v>404</v>
      </c>
      <c r="N1644" s="470">
        <f>1/791.47</f>
        <v>1.2634717677233501E-3</v>
      </c>
      <c r="O1644" s="471">
        <f t="shared" si="11"/>
        <v>160</v>
      </c>
      <c r="P1644" s="472">
        <f t="shared" si="12"/>
        <v>1.2634717677233501E-3</v>
      </c>
      <c r="Q1644" s="472">
        <f t="shared" si="13"/>
        <v>-1.2634717677233501E-3</v>
      </c>
      <c r="R1644" s="473">
        <f t="shared" si="14"/>
        <v>0.20215548283573603</v>
      </c>
      <c r="S1644" s="467" t="str">
        <f t="shared" si="15"/>
        <v>Mineral; basis Conv Amt(dec). Gross=tract-map basis.</v>
      </c>
      <c r="T1644" s="489"/>
      <c r="U1644" s="489"/>
      <c r="V1644" s="450"/>
      <c r="W1644" s="450"/>
      <c r="X1644" s="450"/>
      <c r="Y1644" s="450"/>
      <c r="Z1644" s="450"/>
    </row>
    <row r="1645" spans="1:26" x14ac:dyDescent="0.25">
      <c r="A1645" s="467" t="s">
        <v>867</v>
      </c>
      <c r="B1645" s="467"/>
      <c r="C1645" s="467" t="s">
        <v>619</v>
      </c>
      <c r="D1645" s="467" t="s">
        <v>868</v>
      </c>
      <c r="E1645" s="468">
        <v>30388</v>
      </c>
      <c r="F1645" s="468">
        <v>30388</v>
      </c>
      <c r="G1645" s="467" t="s">
        <v>850</v>
      </c>
      <c r="H1645" s="467" t="s">
        <v>869</v>
      </c>
      <c r="I1645" s="467" t="s">
        <v>831</v>
      </c>
      <c r="J1645" s="467" t="s">
        <v>832</v>
      </c>
      <c r="K1645" s="469" t="str">
        <f>HYPERLINK("https://okcountyrecords.com/detail/roger+mills/1983-002350","OKCountyRecords: 1983-002350")</f>
        <v>OKCountyRecords: 1983-002350</v>
      </c>
      <c r="L1645" s="467">
        <v>2</v>
      </c>
      <c r="M1645" s="467" t="s">
        <v>404</v>
      </c>
      <c r="N1645" s="470">
        <f>1/791.47</f>
        <v>1.2634717677233501E-3</v>
      </c>
      <c r="O1645" s="471">
        <f t="shared" si="11"/>
        <v>160</v>
      </c>
      <c r="P1645" s="472">
        <f t="shared" si="12"/>
        <v>1.2634717677233501E-3</v>
      </c>
      <c r="Q1645" s="472">
        <f t="shared" si="13"/>
        <v>-1.2634717677233501E-3</v>
      </c>
      <c r="R1645" s="473">
        <f t="shared" si="14"/>
        <v>0.20215548283573603</v>
      </c>
      <c r="S1645" s="467" t="str">
        <f t="shared" si="15"/>
        <v>Mineral; basis Conv Amt(dec). Gross=tract-map basis.</v>
      </c>
      <c r="T1645" s="489"/>
      <c r="U1645" s="489"/>
      <c r="V1645" s="450"/>
      <c r="W1645" s="450"/>
      <c r="X1645" s="450"/>
      <c r="Y1645" s="450"/>
      <c r="Z1645" s="450"/>
    </row>
    <row r="1646" spans="1:26" x14ac:dyDescent="0.25">
      <c r="A1646" s="467" t="s">
        <v>870</v>
      </c>
      <c r="B1646" s="467"/>
      <c r="C1646" s="467" t="s">
        <v>619</v>
      </c>
      <c r="D1646" s="467" t="s">
        <v>871</v>
      </c>
      <c r="E1646" s="468">
        <v>30388</v>
      </c>
      <c r="F1646" s="468">
        <v>30388</v>
      </c>
      <c r="G1646" s="467" t="s">
        <v>850</v>
      </c>
      <c r="H1646" s="467" t="s">
        <v>872</v>
      </c>
      <c r="I1646" s="467" t="s">
        <v>831</v>
      </c>
      <c r="J1646" s="467" t="s">
        <v>832</v>
      </c>
      <c r="K1646" s="469" t="str">
        <f>HYPERLINK("https://okcountyrecords.com/detail/roger+mills/1983-002351","OKCountyRecords: 1983-002351")</f>
        <v>OKCountyRecords: 1983-002351</v>
      </c>
      <c r="L1646" s="467">
        <v>2</v>
      </c>
      <c r="M1646" s="467" t="s">
        <v>404</v>
      </c>
      <c r="N1646" s="470">
        <f>1/791.47</f>
        <v>1.2634717677233501E-3</v>
      </c>
      <c r="O1646" s="471">
        <f t="shared" si="11"/>
        <v>160</v>
      </c>
      <c r="P1646" s="472">
        <f t="shared" si="12"/>
        <v>1.2634717677233501E-3</v>
      </c>
      <c r="Q1646" s="472">
        <f t="shared" si="13"/>
        <v>-1.2634717677233501E-3</v>
      </c>
      <c r="R1646" s="473">
        <f t="shared" si="14"/>
        <v>0.20215548283573603</v>
      </c>
      <c r="S1646" s="467" t="str">
        <f t="shared" si="15"/>
        <v>Mineral; basis Conv Amt(dec). Gross=tract-map basis.</v>
      </c>
      <c r="T1646" s="489"/>
      <c r="U1646" s="489"/>
      <c r="V1646" s="450"/>
      <c r="W1646" s="450"/>
      <c r="X1646" s="450"/>
      <c r="Y1646" s="450"/>
      <c r="Z1646" s="450"/>
    </row>
    <row r="1647" spans="1:26" x14ac:dyDescent="0.25">
      <c r="A1647" s="467" t="s">
        <v>873</v>
      </c>
      <c r="B1647" s="467"/>
      <c r="C1647" s="467" t="s">
        <v>619</v>
      </c>
      <c r="D1647" s="467" t="s">
        <v>874</v>
      </c>
      <c r="E1647" s="468">
        <v>30388</v>
      </c>
      <c r="F1647" s="468">
        <v>30388</v>
      </c>
      <c r="G1647" s="467" t="s">
        <v>850</v>
      </c>
      <c r="H1647" s="467" t="s">
        <v>875</v>
      </c>
      <c r="I1647" s="467" t="s">
        <v>831</v>
      </c>
      <c r="J1647" s="467" t="s">
        <v>876</v>
      </c>
      <c r="K1647" s="469" t="str">
        <f>HYPERLINK("https://okcountyrecords.com/detail/roger+mills/1983-002352","OKCountyRecords: 1983-002352")</f>
        <v>OKCountyRecords: 1983-002352</v>
      </c>
      <c r="L1647" s="467">
        <v>2</v>
      </c>
      <c r="M1647" s="467" t="s">
        <v>404</v>
      </c>
      <c r="N1647" s="470">
        <f>2/791.47</f>
        <v>2.5269435354467002E-3</v>
      </c>
      <c r="O1647" s="471">
        <f t="shared" si="11"/>
        <v>160</v>
      </c>
      <c r="P1647" s="472">
        <f t="shared" si="12"/>
        <v>2.5269435354467002E-3</v>
      </c>
      <c r="Q1647" s="472">
        <f t="shared" si="13"/>
        <v>-2.5269435354467002E-3</v>
      </c>
      <c r="R1647" s="473">
        <f t="shared" si="14"/>
        <v>0.40431096567147207</v>
      </c>
      <c r="S1647" s="467" t="str">
        <f t="shared" si="15"/>
        <v>Mineral; basis Conv Amt(dec). Gross=tract-map basis.</v>
      </c>
      <c r="T1647" s="489"/>
      <c r="U1647" s="489"/>
      <c r="V1647" s="450"/>
      <c r="W1647" s="450"/>
      <c r="X1647" s="450"/>
      <c r="Y1647" s="450"/>
      <c r="Z1647" s="450"/>
    </row>
    <row r="1648" spans="1:26" x14ac:dyDescent="0.25">
      <c r="A1648" s="467" t="s">
        <v>877</v>
      </c>
      <c r="B1648" s="467"/>
      <c r="C1648" s="467" t="s">
        <v>604</v>
      </c>
      <c r="D1648" s="467" t="s">
        <v>878</v>
      </c>
      <c r="E1648" s="468">
        <v>30666</v>
      </c>
      <c r="F1648" s="468">
        <v>30666</v>
      </c>
      <c r="G1648" s="467" t="s">
        <v>879</v>
      </c>
      <c r="H1648" s="467" t="s">
        <v>102</v>
      </c>
      <c r="I1648" s="467" t="s">
        <v>231</v>
      </c>
      <c r="J1648" s="467" t="s">
        <v>760</v>
      </c>
      <c r="K1648" s="469" t="str">
        <f>HYPERLINK("https://okcountyrecords.com/detail/roger+mills/1983-009331","OKCountyRecords: 1983-009331")</f>
        <v>OKCountyRecords: 1983-009331</v>
      </c>
      <c r="L1648" s="467" t="s">
        <v>502</v>
      </c>
      <c r="M1648" s="467" t="s">
        <v>465</v>
      </c>
      <c r="N1648" s="470"/>
      <c r="O1648" s="471">
        <f t="shared" si="11"/>
        <v>640</v>
      </c>
      <c r="P1648" s="472" t="str">
        <f t="shared" si="12"/>
        <v/>
      </c>
      <c r="Q1648" s="472" t="str">
        <f t="shared" si="13"/>
        <v/>
      </c>
      <c r="R1648" s="473" t="str">
        <f t="shared" si="14"/>
        <v/>
      </c>
      <c r="S1648" s="467" t="s">
        <v>503</v>
      </c>
      <c r="T1648" s="490" t="s">
        <v>467</v>
      </c>
      <c r="U1648" s="490" t="s">
        <v>504</v>
      </c>
      <c r="V1648" s="450"/>
      <c r="W1648" s="450"/>
      <c r="X1648" s="450"/>
      <c r="Y1648" s="450"/>
      <c r="Z1648" s="450"/>
    </row>
    <row r="1649" spans="1:26" x14ac:dyDescent="0.25">
      <c r="A1649" s="467" t="s">
        <v>880</v>
      </c>
      <c r="B1649" s="467"/>
      <c r="C1649" s="467" t="s">
        <v>619</v>
      </c>
      <c r="D1649" s="467" t="s">
        <v>881</v>
      </c>
      <c r="E1649" s="468">
        <v>30741</v>
      </c>
      <c r="F1649" s="468">
        <v>30770</v>
      </c>
      <c r="G1649" s="467" t="s">
        <v>799</v>
      </c>
      <c r="H1649" s="467" t="s">
        <v>882</v>
      </c>
      <c r="I1649" s="467" t="s">
        <v>883</v>
      </c>
      <c r="J1649" s="467" t="s">
        <v>884</v>
      </c>
      <c r="K1649" s="469" t="str">
        <f>HYPERLINK("https://okcountyrecords.com/detail/roger+mills/1984-002943","OKCountyRecords: 1984-002943")</f>
        <v>OKCountyRecords: 1984-002943</v>
      </c>
      <c r="L1649" s="467">
        <v>4</v>
      </c>
      <c r="M1649" s="467" t="s">
        <v>404</v>
      </c>
      <c r="N1649" s="470">
        <f>0.25*0.89</f>
        <v>0.2225</v>
      </c>
      <c r="O1649" s="471">
        <f t="shared" si="11"/>
        <v>80</v>
      </c>
      <c r="P1649" s="472">
        <f t="shared" si="12"/>
        <v>0.2225</v>
      </c>
      <c r="Q1649" s="472">
        <f t="shared" si="13"/>
        <v>-0.2225</v>
      </c>
      <c r="R1649" s="473">
        <f t="shared" si="14"/>
        <v>17.8</v>
      </c>
      <c r="S1649" s="467"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89" t="s">
        <v>641</v>
      </c>
      <c r="U1649" s="489" t="s">
        <v>885</v>
      </c>
      <c r="V1649" s="450"/>
      <c r="W1649" s="450"/>
      <c r="X1649" s="450"/>
      <c r="Y1649" s="450"/>
      <c r="Z1649" s="450"/>
    </row>
    <row r="1650" spans="1:26" x14ac:dyDescent="0.25">
      <c r="A1650" s="467" t="s">
        <v>886</v>
      </c>
      <c r="B1650" s="467"/>
      <c r="C1650" s="467" t="s">
        <v>619</v>
      </c>
      <c r="D1650" s="467" t="s">
        <v>887</v>
      </c>
      <c r="E1650" s="468">
        <v>30770</v>
      </c>
      <c r="F1650" s="468">
        <v>30770</v>
      </c>
      <c r="G1650" s="467" t="s">
        <v>799</v>
      </c>
      <c r="H1650" s="467" t="s">
        <v>888</v>
      </c>
      <c r="I1650" s="467" t="s">
        <v>883</v>
      </c>
      <c r="J1650" s="467" t="s">
        <v>889</v>
      </c>
      <c r="K1650" s="469" t="str">
        <f>HYPERLINK("https://okcountyrecords.com/detail/roger+mills/1984-002948","OKCountyRecords: 1984-002948")</f>
        <v>OKCountyRecords: 1984-002948</v>
      </c>
      <c r="L1650" s="467">
        <v>4</v>
      </c>
      <c r="M1650" s="467" t="s">
        <v>404</v>
      </c>
      <c r="N1650" s="470">
        <f>0.11*0.15789</f>
        <v>1.7367900000000002E-2</v>
      </c>
      <c r="O1650" s="471">
        <f t="shared" si="11"/>
        <v>80</v>
      </c>
      <c r="P1650" s="472">
        <f t="shared" si="12"/>
        <v>1.7367900000000002E-2</v>
      </c>
      <c r="Q1650" s="472">
        <f t="shared" si="13"/>
        <v>-1.7367900000000002E-2</v>
      </c>
      <c r="R1650" s="473">
        <f t="shared" si="14"/>
        <v>1.3894320000000002</v>
      </c>
      <c r="S1650" s="467"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89" t="s">
        <v>641</v>
      </c>
      <c r="U1650" s="489" t="s">
        <v>885</v>
      </c>
      <c r="V1650" s="450"/>
      <c r="W1650" s="450"/>
      <c r="X1650" s="450"/>
      <c r="Y1650" s="450"/>
      <c r="Z1650" s="450"/>
    </row>
    <row r="1651" spans="1:26" x14ac:dyDescent="0.25">
      <c r="A1651" s="467" t="s">
        <v>890</v>
      </c>
      <c r="B1651" s="467"/>
      <c r="C1651" s="467" t="s">
        <v>619</v>
      </c>
      <c r="D1651" s="467" t="s">
        <v>891</v>
      </c>
      <c r="E1651" s="468">
        <v>30791</v>
      </c>
      <c r="F1651" s="468">
        <v>30791</v>
      </c>
      <c r="G1651" s="467" t="s">
        <v>353</v>
      </c>
      <c r="H1651" s="467" t="s">
        <v>892</v>
      </c>
      <c r="I1651" s="467" t="s">
        <v>831</v>
      </c>
      <c r="J1651" s="467" t="s">
        <v>832</v>
      </c>
      <c r="K1651" s="469" t="str">
        <f>HYPERLINK("https://okcountyrecords.com/detail/roger+mills/1984-003786","OKCountyRecords: 1984-003786")</f>
        <v>OKCountyRecords: 1984-003786</v>
      </c>
      <c r="L1651" s="467">
        <v>2</v>
      </c>
      <c r="M1651" s="467" t="s">
        <v>404</v>
      </c>
      <c r="N1651" s="470">
        <f>1/791.47</f>
        <v>1.2634717677233501E-3</v>
      </c>
      <c r="O1651" s="471">
        <f t="shared" si="11"/>
        <v>160</v>
      </c>
      <c r="P1651" s="472">
        <f t="shared" si="12"/>
        <v>1.2634717677233501E-3</v>
      </c>
      <c r="Q1651" s="472">
        <f t="shared" si="13"/>
        <v>-1.2634717677233501E-3</v>
      </c>
      <c r="R1651" s="473">
        <f t="shared" si="14"/>
        <v>0.20215548283573603</v>
      </c>
      <c r="S1651" s="467"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89"/>
      <c r="U1651" s="489"/>
      <c r="V1651" s="450"/>
      <c r="W1651" s="450"/>
      <c r="X1651" s="450"/>
      <c r="Y1651" s="450"/>
      <c r="Z1651" s="450"/>
    </row>
    <row r="1652" spans="1:26" x14ac:dyDescent="0.25">
      <c r="A1652" s="467" t="s">
        <v>893</v>
      </c>
      <c r="B1652" s="467"/>
      <c r="C1652" s="467" t="s">
        <v>894</v>
      </c>
      <c r="D1652" s="467" t="s">
        <v>895</v>
      </c>
      <c r="E1652" s="468">
        <v>30967</v>
      </c>
      <c r="F1652" s="468">
        <v>30967</v>
      </c>
      <c r="G1652" s="467" t="s">
        <v>896</v>
      </c>
      <c r="H1652" s="467" t="s">
        <v>102</v>
      </c>
      <c r="I1652" s="467" t="s">
        <v>579</v>
      </c>
      <c r="J1652" s="467" t="s">
        <v>897</v>
      </c>
      <c r="K1652" s="469" t="str">
        <f>HYPERLINK("https://okcountyrecords.com/detail/roger+mills/1984-009873","OKCountyRecords: 1984-009873")</f>
        <v>OKCountyRecords: 1984-009873</v>
      </c>
      <c r="L1652" s="467">
        <v>5</v>
      </c>
      <c r="M1652" s="467" t="s">
        <v>465</v>
      </c>
      <c r="N1652" s="470"/>
      <c r="O1652" s="471">
        <f t="shared" si="11"/>
        <v>120</v>
      </c>
      <c r="P1652" s="472" t="str">
        <f t="shared" si="12"/>
        <v/>
      </c>
      <c r="Q1652" s="472" t="str">
        <f t="shared" si="13"/>
        <v/>
      </c>
      <c r="R1652" s="473" t="str">
        <f t="shared" si="14"/>
        <v/>
      </c>
      <c r="S1652" s="467" t="s">
        <v>466</v>
      </c>
      <c r="T1652" s="489" t="s">
        <v>467</v>
      </c>
      <c r="U1652" s="489" t="s">
        <v>504</v>
      </c>
      <c r="V1652" s="450"/>
      <c r="W1652" s="450"/>
      <c r="X1652" s="450"/>
      <c r="Y1652" s="450"/>
      <c r="Z1652" s="450"/>
    </row>
    <row r="1653" spans="1:26" x14ac:dyDescent="0.25">
      <c r="A1653" s="467" t="s">
        <v>898</v>
      </c>
      <c r="B1653" s="467"/>
      <c r="C1653" s="467" t="s">
        <v>899</v>
      </c>
      <c r="D1653" s="467" t="s">
        <v>900</v>
      </c>
      <c r="E1653" s="468">
        <v>31158</v>
      </c>
      <c r="F1653" s="468">
        <v>31158</v>
      </c>
      <c r="G1653" s="467" t="s">
        <v>795</v>
      </c>
      <c r="H1653" s="467" t="s">
        <v>901</v>
      </c>
      <c r="I1653" s="467" t="s">
        <v>902</v>
      </c>
      <c r="J1653" s="467" t="s">
        <v>63</v>
      </c>
      <c r="K1653" s="469" t="str">
        <f>HYPERLINK("https://okcountyrecords.com/detail/roger+mills/1985-002650","OKCountyRecords: 1985-002650")</f>
        <v>OKCountyRecords: 1985-002650</v>
      </c>
      <c r="L1653" s="467" t="s">
        <v>625</v>
      </c>
      <c r="M1653" s="467" t="s">
        <v>404</v>
      </c>
      <c r="N1653" s="476">
        <v>1</v>
      </c>
      <c r="O1653" s="471">
        <f t="shared" si="11"/>
        <v>280</v>
      </c>
      <c r="P1653" s="472">
        <f t="shared" si="12"/>
        <v>1</v>
      </c>
      <c r="Q1653" s="472">
        <f t="shared" si="13"/>
        <v>-1</v>
      </c>
      <c r="R1653" s="473">
        <f t="shared" si="14"/>
        <v>280</v>
      </c>
      <c r="S1653" s="467"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89"/>
      <c r="U1653" s="489"/>
      <c r="V1653" s="450"/>
      <c r="W1653" s="450"/>
      <c r="X1653" s="450"/>
      <c r="Y1653" s="450"/>
      <c r="Z1653" s="450"/>
    </row>
    <row r="1654" spans="1:26" x14ac:dyDescent="0.25">
      <c r="A1654" s="467" t="s">
        <v>903</v>
      </c>
      <c r="B1654" s="467"/>
      <c r="C1654" s="467" t="s">
        <v>904</v>
      </c>
      <c r="D1654" s="467" t="s">
        <v>905</v>
      </c>
      <c r="E1654" s="468">
        <v>31279</v>
      </c>
      <c r="F1654" s="468">
        <v>31279</v>
      </c>
      <c r="G1654" s="467" t="s">
        <v>906</v>
      </c>
      <c r="H1654" s="467" t="s">
        <v>907</v>
      </c>
      <c r="I1654" s="467" t="s">
        <v>908</v>
      </c>
      <c r="J1654" s="467" t="s">
        <v>8504</v>
      </c>
      <c r="K1654" s="469" t="str">
        <f>HYPERLINK("https://okcountyrecords.com/detail/roger+mills/1985-005895","OKCountyRecords: 1985-005895")</f>
        <v>OKCountyRecords: 1985-005895</v>
      </c>
      <c r="L1654" s="467">
        <v>5</v>
      </c>
      <c r="M1654" s="467" t="s">
        <v>404</v>
      </c>
      <c r="N1654" s="470">
        <v>1</v>
      </c>
      <c r="O1654" s="471">
        <f t="shared" si="11"/>
        <v>120</v>
      </c>
      <c r="P1654" s="472">
        <f t="shared" si="12"/>
        <v>1</v>
      </c>
      <c r="Q1654" s="472">
        <f t="shared" si="13"/>
        <v>-1</v>
      </c>
      <c r="R1654" s="473">
        <f t="shared" si="14"/>
        <v>120</v>
      </c>
      <c r="S1654" s="467" t="str">
        <f t="shared" si="16"/>
        <v>Mineral; basis Conv Amt(dec). Gross=tract-map basis.</v>
      </c>
      <c r="T1654" s="489"/>
      <c r="U1654" s="489"/>
      <c r="V1654" s="450"/>
      <c r="W1654" s="450"/>
      <c r="X1654" s="450"/>
      <c r="Y1654" s="450"/>
      <c r="Z1654" s="450"/>
    </row>
    <row r="1655" spans="1:26" x14ac:dyDescent="0.25">
      <c r="A1655" s="467" t="s">
        <v>909</v>
      </c>
      <c r="B1655" s="467"/>
      <c r="C1655" s="467" t="s">
        <v>619</v>
      </c>
      <c r="D1655" s="467" t="s">
        <v>910</v>
      </c>
      <c r="E1655" s="468">
        <v>31308</v>
      </c>
      <c r="F1655" s="468">
        <v>31308</v>
      </c>
      <c r="G1655" s="467" t="s">
        <v>739</v>
      </c>
      <c r="H1655" s="467" t="s">
        <v>368</v>
      </c>
      <c r="I1655" s="467" t="s">
        <v>831</v>
      </c>
      <c r="J1655" s="467" t="s">
        <v>832</v>
      </c>
      <c r="K1655" s="469" t="str">
        <f>HYPERLINK("https://okcountyrecords.com/detail/roger+mills/1985-006556","OKCountyRecords: 1985-006556")</f>
        <v>OKCountyRecords: 1985-006556</v>
      </c>
      <c r="L1655" s="467">
        <v>2</v>
      </c>
      <c r="M1655" s="467" t="s">
        <v>404</v>
      </c>
      <c r="N1655" s="470">
        <f>1/791.47</f>
        <v>1.2634717677233501E-3</v>
      </c>
      <c r="O1655" s="471">
        <f t="shared" si="11"/>
        <v>160</v>
      </c>
      <c r="P1655" s="472">
        <f t="shared" si="12"/>
        <v>1.2634717677233501E-3</v>
      </c>
      <c r="Q1655" s="472">
        <f t="shared" si="13"/>
        <v>-1.2634717677233501E-3</v>
      </c>
      <c r="R1655" s="473">
        <f t="shared" si="14"/>
        <v>0.20215548283573603</v>
      </c>
      <c r="S1655" s="467" t="str">
        <f t="shared" si="16"/>
        <v>Mineral; basis Conv Amt(dec). Gross=tract-map basis.</v>
      </c>
      <c r="T1655" s="489"/>
      <c r="U1655" s="489"/>
      <c r="V1655" s="450"/>
      <c r="W1655" s="450"/>
      <c r="X1655" s="450"/>
      <c r="Y1655" s="450"/>
      <c r="Z1655" s="450"/>
    </row>
    <row r="1656" spans="1:26" x14ac:dyDescent="0.25">
      <c r="A1656" s="467" t="s">
        <v>911</v>
      </c>
      <c r="B1656" s="467"/>
      <c r="C1656" s="467" t="s">
        <v>912</v>
      </c>
      <c r="D1656" s="467" t="s">
        <v>913</v>
      </c>
      <c r="E1656" s="468">
        <v>31329</v>
      </c>
      <c r="F1656" s="468">
        <v>31329</v>
      </c>
      <c r="G1656" s="467" t="s">
        <v>914</v>
      </c>
      <c r="H1656" s="467" t="s">
        <v>915</v>
      </c>
      <c r="I1656" s="467" t="s">
        <v>860</v>
      </c>
      <c r="J1656" s="467" t="s">
        <v>8658</v>
      </c>
      <c r="K1656" s="469" t="str">
        <f>HYPERLINK("https://okcountyrecords.com/detail/roger+mills/1985-007068","OKCountyRecords: 1985-007068")</f>
        <v>OKCountyRecords: 1985-007068</v>
      </c>
      <c r="L1656" s="467" t="s">
        <v>502</v>
      </c>
      <c r="M1656" s="467" t="s">
        <v>404</v>
      </c>
      <c r="N1656" s="470">
        <v>1</v>
      </c>
      <c r="O1656" s="471">
        <f t="shared" si="11"/>
        <v>640</v>
      </c>
      <c r="P1656" s="472">
        <f t="shared" si="12"/>
        <v>1</v>
      </c>
      <c r="Q1656" s="472">
        <f t="shared" si="13"/>
        <v>-1</v>
      </c>
      <c r="R1656" s="473">
        <f t="shared" si="14"/>
        <v>640</v>
      </c>
      <c r="S1656" s="467" t="str">
        <f t="shared" si="16"/>
        <v>Mineral; basis Conv Amt(dec). All-section coverage. Gross=tract-map basis.</v>
      </c>
      <c r="T1656" s="489"/>
      <c r="U1656" s="489"/>
      <c r="V1656" s="450"/>
      <c r="W1656" s="450"/>
      <c r="X1656" s="450"/>
      <c r="Y1656" s="450"/>
      <c r="Z1656" s="450"/>
    </row>
    <row r="1657" spans="1:26" x14ac:dyDescent="0.25">
      <c r="A1657" s="467" t="s">
        <v>916</v>
      </c>
      <c r="B1657" s="467"/>
      <c r="C1657" s="467" t="s">
        <v>533</v>
      </c>
      <c r="D1657" s="467" t="s">
        <v>917</v>
      </c>
      <c r="E1657" s="468">
        <v>31330</v>
      </c>
      <c r="F1657" s="468">
        <v>31330</v>
      </c>
      <c r="G1657" s="467" t="s">
        <v>710</v>
      </c>
      <c r="H1657" s="467" t="s">
        <v>918</v>
      </c>
      <c r="I1657" s="467" t="s">
        <v>908</v>
      </c>
      <c r="J1657" s="467" t="s">
        <v>63</v>
      </c>
      <c r="K1657" s="469" t="str">
        <f>HYPERLINK("https://okcountyrecords.com/detail/roger+mills/1985-007096","OKCountyRecords: 1985-007096")</f>
        <v>OKCountyRecords: 1985-007096</v>
      </c>
      <c r="L1657" s="467">
        <v>5</v>
      </c>
      <c r="M1657" s="467" t="s">
        <v>404</v>
      </c>
      <c r="N1657" s="470">
        <v>1</v>
      </c>
      <c r="O1657" s="471">
        <f t="shared" si="11"/>
        <v>120</v>
      </c>
      <c r="P1657" s="472">
        <f t="shared" si="12"/>
        <v>1</v>
      </c>
      <c r="Q1657" s="472">
        <f t="shared" si="13"/>
        <v>-1</v>
      </c>
      <c r="R1657" s="473">
        <f t="shared" si="14"/>
        <v>120</v>
      </c>
      <c r="S1657" s="467" t="str">
        <f t="shared" si="16"/>
        <v>Mineral; basis Conv Amt(dec). Gross=tract-map basis.</v>
      </c>
      <c r="T1657" s="489"/>
      <c r="U1657" s="489"/>
      <c r="V1657" s="450"/>
      <c r="W1657" s="450"/>
      <c r="X1657" s="450"/>
      <c r="Y1657" s="450"/>
      <c r="Z1657" s="450"/>
    </row>
    <row r="1658" spans="1:26" x14ac:dyDescent="0.25">
      <c r="A1658" s="467" t="s">
        <v>919</v>
      </c>
      <c r="B1658" s="467"/>
      <c r="C1658" s="467" t="s">
        <v>619</v>
      </c>
      <c r="D1658" s="467" t="s">
        <v>920</v>
      </c>
      <c r="E1658" s="468">
        <v>31408</v>
      </c>
      <c r="F1658" s="468">
        <v>31408</v>
      </c>
      <c r="G1658" s="467" t="s">
        <v>353</v>
      </c>
      <c r="H1658" s="467" t="s">
        <v>921</v>
      </c>
      <c r="I1658" s="467" t="s">
        <v>831</v>
      </c>
      <c r="J1658" s="467" t="s">
        <v>832</v>
      </c>
      <c r="K1658" s="469" t="str">
        <f>HYPERLINK("https://okcountyrecords.com/detail/roger+mills/1985-000061","OKCountyRecords: 1985-000061")</f>
        <v>OKCountyRecords: 1985-000061</v>
      </c>
      <c r="L1658" s="467">
        <v>2</v>
      </c>
      <c r="M1658" s="467" t="s">
        <v>404</v>
      </c>
      <c r="N1658" s="470">
        <f>1/791.47</f>
        <v>1.2634717677233501E-3</v>
      </c>
      <c r="O1658" s="471">
        <f t="shared" si="11"/>
        <v>160</v>
      </c>
      <c r="P1658" s="472">
        <f t="shared" si="12"/>
        <v>1.2634717677233501E-3</v>
      </c>
      <c r="Q1658" s="472">
        <f t="shared" si="13"/>
        <v>-1.2634717677233501E-3</v>
      </c>
      <c r="R1658" s="473">
        <f t="shared" si="14"/>
        <v>0.20215548283573603</v>
      </c>
      <c r="S1658" s="467" t="str">
        <f t="shared" si="16"/>
        <v>Mineral; basis Conv Amt(dec). Gross=tract-map basis.</v>
      </c>
      <c r="T1658" s="489"/>
      <c r="U1658" s="489"/>
      <c r="V1658" s="450"/>
      <c r="W1658" s="450"/>
      <c r="X1658" s="450"/>
      <c r="Y1658" s="450"/>
      <c r="Z1658" s="450"/>
    </row>
    <row r="1659" spans="1:26" x14ac:dyDescent="0.25">
      <c r="A1659" s="467" t="s">
        <v>922</v>
      </c>
      <c r="B1659" s="467"/>
      <c r="C1659" s="467" t="s">
        <v>619</v>
      </c>
      <c r="D1659" s="467" t="s">
        <v>923</v>
      </c>
      <c r="E1659" s="468">
        <v>31408</v>
      </c>
      <c r="F1659" s="468">
        <v>31408</v>
      </c>
      <c r="G1659" s="467" t="s">
        <v>353</v>
      </c>
      <c r="H1659" s="467" t="s">
        <v>924</v>
      </c>
      <c r="I1659" s="467" t="s">
        <v>831</v>
      </c>
      <c r="J1659" s="467" t="s">
        <v>876</v>
      </c>
      <c r="K1659" s="469" t="str">
        <f>HYPERLINK("https://okcountyrecords.com/detail/roger+mills/1985-000060","OKCountyRecords: 1985-000060")</f>
        <v>OKCountyRecords: 1985-000060</v>
      </c>
      <c r="L1659" s="467">
        <v>2</v>
      </c>
      <c r="M1659" s="467" t="s">
        <v>404</v>
      </c>
      <c r="N1659" s="470">
        <f>2/791.47</f>
        <v>2.5269435354467002E-3</v>
      </c>
      <c r="O1659" s="471">
        <f t="shared" si="11"/>
        <v>160</v>
      </c>
      <c r="P1659" s="472">
        <f t="shared" si="12"/>
        <v>2.5269435354467002E-3</v>
      </c>
      <c r="Q1659" s="472">
        <f t="shared" si="13"/>
        <v>-2.5269435354467002E-3</v>
      </c>
      <c r="R1659" s="473">
        <f t="shared" si="14"/>
        <v>0.40431096567147207</v>
      </c>
      <c r="S1659" s="467" t="str">
        <f t="shared" si="16"/>
        <v>Mineral; basis Conv Amt(dec). Gross=tract-map basis.</v>
      </c>
      <c r="T1659" s="489"/>
      <c r="U1659" s="489"/>
      <c r="V1659" s="450"/>
      <c r="W1659" s="450"/>
      <c r="X1659" s="450"/>
      <c r="Y1659" s="450"/>
      <c r="Z1659" s="450"/>
    </row>
    <row r="1660" spans="1:26" x14ac:dyDescent="0.25">
      <c r="A1660" s="467" t="s">
        <v>925</v>
      </c>
      <c r="B1660" s="467"/>
      <c r="C1660" s="467" t="s">
        <v>619</v>
      </c>
      <c r="D1660" s="467" t="s">
        <v>926</v>
      </c>
      <c r="E1660" s="468">
        <v>31418</v>
      </c>
      <c r="F1660" s="468">
        <v>31418</v>
      </c>
      <c r="G1660" s="467" t="s">
        <v>927</v>
      </c>
      <c r="H1660" s="467" t="s">
        <v>928</v>
      </c>
      <c r="I1660" s="467" t="s">
        <v>623</v>
      </c>
      <c r="J1660" s="467" t="s">
        <v>929</v>
      </c>
      <c r="K1660" s="469" t="str">
        <f>HYPERLINK("https://okcountyrecords.com/detail/roger+mills/1986-000268","OKCountyRecords: 1986-000268")</f>
        <v>OKCountyRecords: 1986-000268</v>
      </c>
      <c r="L1660" s="467" t="s">
        <v>625</v>
      </c>
      <c r="M1660" s="467" t="s">
        <v>404</v>
      </c>
      <c r="N1660" s="476">
        <f>2/260</f>
        <v>7.6923076923076927E-3</v>
      </c>
      <c r="O1660" s="471">
        <f t="shared" si="11"/>
        <v>280</v>
      </c>
      <c r="P1660" s="472">
        <f t="shared" si="12"/>
        <v>7.6923076923076927E-3</v>
      </c>
      <c r="Q1660" s="472">
        <f t="shared" si="13"/>
        <v>-7.6923076923076927E-3</v>
      </c>
      <c r="R1660" s="473">
        <f t="shared" si="14"/>
        <v>2.1538461538461542</v>
      </c>
      <c r="S1660" s="467" t="str">
        <f t="shared" si="16"/>
        <v>Mineral; basis Conv Amt(dec). Gross=tract-map basis.</v>
      </c>
      <c r="T1660" s="489"/>
      <c r="U1660" s="489"/>
      <c r="V1660" s="450"/>
      <c r="W1660" s="450"/>
      <c r="X1660" s="450"/>
      <c r="Y1660" s="450"/>
      <c r="Z1660" s="450"/>
    </row>
    <row r="1661" spans="1:26" x14ac:dyDescent="0.25">
      <c r="A1661" s="467" t="s">
        <v>930</v>
      </c>
      <c r="B1661" s="467"/>
      <c r="C1661" s="467" t="s">
        <v>619</v>
      </c>
      <c r="D1661" s="467" t="s">
        <v>931</v>
      </c>
      <c r="E1661" s="468">
        <v>31434</v>
      </c>
      <c r="F1661" s="468">
        <v>31434</v>
      </c>
      <c r="G1661" s="467" t="s">
        <v>882</v>
      </c>
      <c r="H1661" s="467" t="s">
        <v>932</v>
      </c>
      <c r="I1661" s="467" t="s">
        <v>332</v>
      </c>
      <c r="J1661" s="467" t="s">
        <v>63</v>
      </c>
      <c r="K1661" s="469" t="str">
        <f>HYPERLINK("https://okcountyrecords.com/detail/roger+mills/1986-000656","OKCountyRecords: 1986-000656")</f>
        <v>OKCountyRecords: 1986-000656</v>
      </c>
      <c r="L1661" s="467">
        <v>4</v>
      </c>
      <c r="M1661" s="467" t="s">
        <v>404</v>
      </c>
      <c r="N1661" s="470">
        <v>1</v>
      </c>
      <c r="O1661" s="471">
        <f t="shared" si="11"/>
        <v>80</v>
      </c>
      <c r="P1661" s="472">
        <f t="shared" si="12"/>
        <v>1</v>
      </c>
      <c r="Q1661" s="472">
        <f t="shared" si="13"/>
        <v>-1</v>
      </c>
      <c r="R1661" s="473">
        <f t="shared" si="14"/>
        <v>80</v>
      </c>
      <c r="S1661" s="467" t="str">
        <f t="shared" si="16"/>
        <v>Mineral; basis Conv Amt(dec). Gross=tract-map basis.</v>
      </c>
      <c r="T1661" s="489"/>
      <c r="U1661" s="489"/>
      <c r="V1661" s="450"/>
      <c r="W1661" s="450"/>
      <c r="X1661" s="450"/>
      <c r="Y1661" s="450"/>
      <c r="Z1661" s="450"/>
    </row>
    <row r="1662" spans="1:26" x14ac:dyDescent="0.25">
      <c r="A1662" s="467" t="s">
        <v>933</v>
      </c>
      <c r="B1662" s="467"/>
      <c r="C1662" s="467" t="s">
        <v>619</v>
      </c>
      <c r="D1662" s="467" t="s">
        <v>934</v>
      </c>
      <c r="E1662" s="468">
        <v>31582</v>
      </c>
      <c r="F1662" s="468">
        <v>31582</v>
      </c>
      <c r="G1662" s="467" t="s">
        <v>739</v>
      </c>
      <c r="H1662" s="467" t="s">
        <v>935</v>
      </c>
      <c r="I1662" s="467" t="s">
        <v>831</v>
      </c>
      <c r="J1662" s="467" t="s">
        <v>876</v>
      </c>
      <c r="K1662" s="469" t="str">
        <f>HYPERLINK("https://okcountyrecords.com/detail/roger+mills/1986-003428","OKCountyRecords: 1986-003428")</f>
        <v>OKCountyRecords: 1986-003428</v>
      </c>
      <c r="L1662" s="467">
        <v>2</v>
      </c>
      <c r="M1662" s="467" t="s">
        <v>404</v>
      </c>
      <c r="N1662" s="470">
        <f>2/791.47</f>
        <v>2.5269435354467002E-3</v>
      </c>
      <c r="O1662" s="471">
        <f t="shared" si="11"/>
        <v>160</v>
      </c>
      <c r="P1662" s="472">
        <f t="shared" si="12"/>
        <v>2.5269435354467002E-3</v>
      </c>
      <c r="Q1662" s="472">
        <f t="shared" si="13"/>
        <v>-2.5269435354467002E-3</v>
      </c>
      <c r="R1662" s="473">
        <f t="shared" si="14"/>
        <v>0.40431096567147207</v>
      </c>
      <c r="S1662" s="467" t="str">
        <f t="shared" si="16"/>
        <v>Mineral; basis Conv Amt(dec). Gross=tract-map basis.</v>
      </c>
      <c r="T1662" s="489"/>
      <c r="U1662" s="489"/>
      <c r="V1662" s="450"/>
      <c r="W1662" s="450"/>
      <c r="X1662" s="450"/>
      <c r="Y1662" s="450"/>
      <c r="Z1662" s="450"/>
    </row>
    <row r="1663" spans="1:26" x14ac:dyDescent="0.25">
      <c r="A1663" s="467" t="s">
        <v>936</v>
      </c>
      <c r="B1663" s="467"/>
      <c r="C1663" s="467" t="s">
        <v>619</v>
      </c>
      <c r="D1663" s="467" t="s">
        <v>937</v>
      </c>
      <c r="E1663" s="468">
        <v>31657</v>
      </c>
      <c r="F1663" s="468">
        <v>31657</v>
      </c>
      <c r="G1663" s="467" t="s">
        <v>739</v>
      </c>
      <c r="H1663" s="467" t="s">
        <v>234</v>
      </c>
      <c r="I1663" s="467" t="s">
        <v>831</v>
      </c>
      <c r="J1663" s="467" t="s">
        <v>851</v>
      </c>
      <c r="K1663" s="469" t="str">
        <f>HYPERLINK("https://okcountyrecords.com/detail/roger+mills/1986-004476","OKCountyRecords: 1986-004476")</f>
        <v>OKCountyRecords: 1986-004476</v>
      </c>
      <c r="L1663" s="467">
        <v>2</v>
      </c>
      <c r="M1663" s="467" t="s">
        <v>404</v>
      </c>
      <c r="N1663" s="470">
        <f>3/791.47</f>
        <v>3.7904153031700504E-3</v>
      </c>
      <c r="O1663" s="471">
        <f t="shared" si="11"/>
        <v>160</v>
      </c>
      <c r="P1663" s="472">
        <f t="shared" si="12"/>
        <v>3.7904153031700504E-3</v>
      </c>
      <c r="Q1663" s="472">
        <f t="shared" si="13"/>
        <v>-3.7904153031700504E-3</v>
      </c>
      <c r="R1663" s="473">
        <f t="shared" si="14"/>
        <v>0.6064664485072081</v>
      </c>
      <c r="S1663" s="467" t="str">
        <f t="shared" si="16"/>
        <v>Mineral; basis Conv Amt(dec). Gross=tract-map basis.</v>
      </c>
      <c r="T1663" s="489"/>
      <c r="U1663" s="489"/>
      <c r="V1663" s="450"/>
      <c r="W1663" s="450"/>
      <c r="X1663" s="450"/>
      <c r="Y1663" s="450"/>
      <c r="Z1663" s="450"/>
    </row>
    <row r="1664" spans="1:26" x14ac:dyDescent="0.25">
      <c r="A1664" s="467" t="s">
        <v>938</v>
      </c>
      <c r="B1664" s="467"/>
      <c r="C1664" s="467" t="s">
        <v>619</v>
      </c>
      <c r="D1664" s="467" t="s">
        <v>939</v>
      </c>
      <c r="E1664" s="468">
        <v>31684</v>
      </c>
      <c r="F1664" s="468">
        <v>31684</v>
      </c>
      <c r="G1664" s="467" t="s">
        <v>940</v>
      </c>
      <c r="H1664" s="467" t="s">
        <v>941</v>
      </c>
      <c r="I1664" s="467" t="s">
        <v>831</v>
      </c>
      <c r="J1664" s="467" t="s">
        <v>942</v>
      </c>
      <c r="K1664" s="469" t="str">
        <f>HYPERLINK("https://okcountyrecords.com/detail/roger+mills/1986-005223","OKCountyRecords: 1986-005223")</f>
        <v>OKCountyRecords: 1986-005223</v>
      </c>
      <c r="L1664" s="467">
        <v>2</v>
      </c>
      <c r="M1664" s="467" t="s">
        <v>404</v>
      </c>
      <c r="N1664" s="470">
        <f>5/791.47</f>
        <v>6.317358838616751E-3</v>
      </c>
      <c r="O1664" s="471">
        <f t="shared" si="11"/>
        <v>160</v>
      </c>
      <c r="P1664" s="472">
        <f t="shared" si="12"/>
        <v>6.317358838616751E-3</v>
      </c>
      <c r="Q1664" s="472">
        <f t="shared" si="13"/>
        <v>-6.317358838616751E-3</v>
      </c>
      <c r="R1664" s="473">
        <f t="shared" si="14"/>
        <v>1.0107774141786803</v>
      </c>
      <c r="S1664" s="467" t="str">
        <f t="shared" si="16"/>
        <v>Mineral; basis Conv Amt(dec). Gross=tract-map basis.</v>
      </c>
      <c r="T1664" s="489"/>
      <c r="U1664" s="489"/>
      <c r="V1664" s="450"/>
      <c r="W1664" s="450"/>
      <c r="X1664" s="450"/>
      <c r="Y1664" s="450"/>
      <c r="Z1664" s="450"/>
    </row>
    <row r="1665" spans="1:26" x14ac:dyDescent="0.25">
      <c r="A1665" s="467" t="s">
        <v>943</v>
      </c>
      <c r="B1665" s="467"/>
      <c r="C1665" s="467" t="s">
        <v>619</v>
      </c>
      <c r="D1665" s="467" t="s">
        <v>944</v>
      </c>
      <c r="E1665" s="468">
        <v>31723</v>
      </c>
      <c r="F1665" s="468">
        <v>31723</v>
      </c>
      <c r="G1665" s="467" t="s">
        <v>932</v>
      </c>
      <c r="H1665" s="467" t="s">
        <v>945</v>
      </c>
      <c r="I1665" s="467" t="s">
        <v>332</v>
      </c>
      <c r="J1665" s="467" t="s">
        <v>946</v>
      </c>
      <c r="K1665" s="469" t="str">
        <f>HYPERLINK("https://okcountyrecords.com/detail/roger+mills/1986-005341","OKCountyRecords: 1986-005341")</f>
        <v>OKCountyRecords: 1986-005341</v>
      </c>
      <c r="L1665" s="467">
        <v>4</v>
      </c>
      <c r="M1665" s="467" t="s">
        <v>404</v>
      </c>
      <c r="N1665" s="470">
        <f>1</f>
        <v>1</v>
      </c>
      <c r="O1665" s="471">
        <f t="shared" si="11"/>
        <v>80</v>
      </c>
      <c r="P1665" s="472">
        <f t="shared" si="12"/>
        <v>1</v>
      </c>
      <c r="Q1665" s="472">
        <f t="shared" si="13"/>
        <v>-1</v>
      </c>
      <c r="R1665" s="473">
        <f t="shared" si="14"/>
        <v>80</v>
      </c>
      <c r="S1665" s="467"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89"/>
      <c r="U1665" s="489"/>
      <c r="V1665" s="450"/>
      <c r="W1665" s="450"/>
      <c r="X1665" s="450"/>
      <c r="Y1665" s="450"/>
      <c r="Z1665" s="450"/>
    </row>
    <row r="1666" spans="1:26" x14ac:dyDescent="0.25">
      <c r="A1666" s="467" t="s">
        <v>947</v>
      </c>
      <c r="B1666" s="467"/>
      <c r="C1666" s="467" t="s">
        <v>756</v>
      </c>
      <c r="D1666" s="467" t="s">
        <v>948</v>
      </c>
      <c r="E1666" s="468">
        <v>31803</v>
      </c>
      <c r="F1666" s="468">
        <v>31803</v>
      </c>
      <c r="G1666" s="467" t="s">
        <v>949</v>
      </c>
      <c r="H1666" s="467" t="s">
        <v>102</v>
      </c>
      <c r="I1666" s="467" t="s">
        <v>530</v>
      </c>
      <c r="J1666" s="467" t="s">
        <v>760</v>
      </c>
      <c r="K1666" s="469" t="str">
        <f>HYPERLINK("https://okcountyrecords.com/detail/roger+mills/1987-000496","OKCountyRecords: 1987-000496")</f>
        <v>OKCountyRecords: 1987-000496</v>
      </c>
      <c r="L1666" s="467" t="s">
        <v>502</v>
      </c>
      <c r="M1666" s="467" t="s">
        <v>465</v>
      </c>
      <c r="N1666" s="470"/>
      <c r="O1666" s="471">
        <f t="shared" si="11"/>
        <v>640</v>
      </c>
      <c r="P1666" s="472" t="str">
        <f t="shared" si="12"/>
        <v/>
      </c>
      <c r="Q1666" s="472" t="str">
        <f t="shared" si="13"/>
        <v/>
      </c>
      <c r="R1666" s="473" t="str">
        <f t="shared" si="14"/>
        <v/>
      </c>
      <c r="S1666" s="467" t="s">
        <v>503</v>
      </c>
      <c r="T1666" s="490" t="s">
        <v>467</v>
      </c>
      <c r="U1666" s="490" t="s">
        <v>504</v>
      </c>
      <c r="V1666" s="450"/>
      <c r="W1666" s="450"/>
      <c r="X1666" s="450"/>
      <c r="Y1666" s="450"/>
      <c r="Z1666" s="450"/>
    </row>
    <row r="1667" spans="1:26" x14ac:dyDescent="0.25">
      <c r="A1667" s="467" t="s">
        <v>950</v>
      </c>
      <c r="B1667" s="467"/>
      <c r="C1667" s="467" t="s">
        <v>619</v>
      </c>
      <c r="D1667" s="467" t="s">
        <v>951</v>
      </c>
      <c r="E1667" s="468">
        <v>31917</v>
      </c>
      <c r="F1667" s="468">
        <v>31917</v>
      </c>
      <c r="G1667" s="467" t="s">
        <v>739</v>
      </c>
      <c r="H1667" s="467" t="s">
        <v>952</v>
      </c>
      <c r="I1667" s="467" t="s">
        <v>831</v>
      </c>
      <c r="J1667" s="467" t="s">
        <v>876</v>
      </c>
      <c r="K1667" s="469" t="str">
        <f>HYPERLINK("https://okcountyrecords.com/detail/roger+mills/1987-002610","OKCountyRecords: 1987-002610")</f>
        <v>OKCountyRecords: 1987-002610</v>
      </c>
      <c r="L1667" s="467">
        <v>2</v>
      </c>
      <c r="M1667" s="467" t="s">
        <v>404</v>
      </c>
      <c r="N1667" s="470">
        <f>2/791.47</f>
        <v>2.5269435354467002E-3</v>
      </c>
      <c r="O1667" s="471">
        <f t="shared" si="11"/>
        <v>160</v>
      </c>
      <c r="P1667" s="472">
        <f t="shared" si="12"/>
        <v>2.5269435354467002E-3</v>
      </c>
      <c r="Q1667" s="472">
        <f t="shared" si="13"/>
        <v>-2.5269435354467002E-3</v>
      </c>
      <c r="R1667" s="473">
        <f t="shared" si="14"/>
        <v>0.40431096567147207</v>
      </c>
      <c r="S1667" s="467"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89"/>
      <c r="U1667" s="489"/>
      <c r="V1667" s="450"/>
      <c r="W1667" s="450"/>
      <c r="X1667" s="450"/>
      <c r="Y1667" s="450"/>
      <c r="Z1667" s="450"/>
    </row>
    <row r="1668" spans="1:26" x14ac:dyDescent="0.25">
      <c r="A1668" s="467" t="s">
        <v>953</v>
      </c>
      <c r="B1668" s="467"/>
      <c r="C1668" s="467" t="s">
        <v>619</v>
      </c>
      <c r="D1668" s="467" t="s">
        <v>954</v>
      </c>
      <c r="E1668" s="468">
        <v>32031</v>
      </c>
      <c r="F1668" s="468">
        <v>32031</v>
      </c>
      <c r="G1668" s="467" t="s">
        <v>955</v>
      </c>
      <c r="H1668" s="467" t="s">
        <v>956</v>
      </c>
      <c r="I1668" s="467" t="s">
        <v>831</v>
      </c>
      <c r="J1668" s="467" t="s">
        <v>832</v>
      </c>
      <c r="K1668" s="469" t="str">
        <f>HYPERLINK("https://okcountyrecords.com/detail/roger+mills/1987-005625","OKCountyRecords: 1987-005625")</f>
        <v>OKCountyRecords: 1987-005625</v>
      </c>
      <c r="L1668" s="467">
        <v>2</v>
      </c>
      <c r="M1668" s="467" t="s">
        <v>404</v>
      </c>
      <c r="N1668" s="470">
        <f>1/791.47</f>
        <v>1.2634717677233501E-3</v>
      </c>
      <c r="O1668" s="471">
        <f t="shared" si="11"/>
        <v>160</v>
      </c>
      <c r="P1668" s="472">
        <f t="shared" si="12"/>
        <v>1.2634717677233501E-3</v>
      </c>
      <c r="Q1668" s="472">
        <f t="shared" si="13"/>
        <v>-1.2634717677233501E-3</v>
      </c>
      <c r="R1668" s="473">
        <f t="shared" si="14"/>
        <v>0.20215548283573603</v>
      </c>
      <c r="S1668" s="467"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89"/>
      <c r="U1668" s="489"/>
      <c r="V1668" s="450"/>
      <c r="W1668" s="450"/>
      <c r="X1668" s="450"/>
      <c r="Y1668" s="450"/>
      <c r="Z1668" s="450"/>
    </row>
    <row r="1669" spans="1:26" x14ac:dyDescent="0.25">
      <c r="A1669" s="467" t="s">
        <v>957</v>
      </c>
      <c r="B1669" s="467"/>
      <c r="C1669" s="467" t="s">
        <v>619</v>
      </c>
      <c r="D1669" s="467" t="s">
        <v>958</v>
      </c>
      <c r="E1669" s="468">
        <v>32072</v>
      </c>
      <c r="F1669" s="468">
        <v>32072</v>
      </c>
      <c r="G1669" s="467" t="s">
        <v>357</v>
      </c>
      <c r="H1669" s="467" t="s">
        <v>959</v>
      </c>
      <c r="I1669" s="467" t="s">
        <v>831</v>
      </c>
      <c r="J1669" s="467" t="s">
        <v>832</v>
      </c>
      <c r="K1669" s="469" t="str">
        <f>HYPERLINK("https://okcountyrecords.com/detail/roger+mills/1987-006732","OKCountyRecords: 1987-006732")</f>
        <v>OKCountyRecords: 1987-006732</v>
      </c>
      <c r="L1669" s="467">
        <v>2</v>
      </c>
      <c r="M1669" s="467" t="s">
        <v>404</v>
      </c>
      <c r="N1669" s="470">
        <f>1/791.47</f>
        <v>1.2634717677233501E-3</v>
      </c>
      <c r="O1669" s="471">
        <f t="shared" si="11"/>
        <v>160</v>
      </c>
      <c r="P1669" s="472">
        <f t="shared" si="12"/>
        <v>1.2634717677233501E-3</v>
      </c>
      <c r="Q1669" s="472">
        <f t="shared" si="13"/>
        <v>-1.2634717677233501E-3</v>
      </c>
      <c r="R1669" s="473">
        <f t="shared" si="14"/>
        <v>0.20215548283573603</v>
      </c>
      <c r="S1669" s="467"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89"/>
      <c r="U1669" s="489"/>
      <c r="V1669" s="450"/>
      <c r="W1669" s="450"/>
      <c r="X1669" s="450"/>
      <c r="Y1669" s="450"/>
      <c r="Z1669" s="450"/>
    </row>
    <row r="1670" spans="1:26" x14ac:dyDescent="0.25">
      <c r="A1670" s="467" t="s">
        <v>960</v>
      </c>
      <c r="B1670" s="467"/>
      <c r="C1670" s="467" t="s">
        <v>619</v>
      </c>
      <c r="D1670" s="467" t="s">
        <v>961</v>
      </c>
      <c r="E1670" s="468">
        <v>32072</v>
      </c>
      <c r="F1670" s="468">
        <v>32072</v>
      </c>
      <c r="G1670" s="467" t="s">
        <v>357</v>
      </c>
      <c r="H1670" s="467" t="s">
        <v>959</v>
      </c>
      <c r="I1670" s="467" t="s">
        <v>831</v>
      </c>
      <c r="J1670" s="467" t="s">
        <v>962</v>
      </c>
      <c r="K1670" s="469" t="str">
        <f>HYPERLINK("https://okcountyrecords.com/detail/roger+mills/1987-006731","OKCountyRecords: 1987-006731")</f>
        <v>OKCountyRecords: 1987-006731</v>
      </c>
      <c r="L1670" s="467">
        <v>2</v>
      </c>
      <c r="M1670" s="467" t="s">
        <v>404</v>
      </c>
      <c r="N1670" s="470">
        <f>6/791.47</f>
        <v>7.5808306063401007E-3</v>
      </c>
      <c r="O1670" s="471">
        <f t="shared" si="11"/>
        <v>160</v>
      </c>
      <c r="P1670" s="472">
        <f t="shared" si="12"/>
        <v>7.5808306063401007E-3</v>
      </c>
      <c r="Q1670" s="472">
        <f t="shared" si="13"/>
        <v>-7.5808306063401007E-3</v>
      </c>
      <c r="R1670" s="473">
        <f t="shared" si="14"/>
        <v>1.2129328970144162</v>
      </c>
      <c r="S1670" s="467"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89"/>
      <c r="U1670" s="489"/>
      <c r="V1670" s="450"/>
      <c r="W1670" s="450"/>
      <c r="X1670" s="450"/>
      <c r="Y1670" s="450"/>
      <c r="Z1670" s="450"/>
    </row>
    <row r="1671" spans="1:26" x14ac:dyDescent="0.25">
      <c r="A1671" s="467" t="s">
        <v>963</v>
      </c>
      <c r="B1671" s="467"/>
      <c r="C1671" s="467" t="s">
        <v>461</v>
      </c>
      <c r="D1671" s="467" t="s">
        <v>964</v>
      </c>
      <c r="E1671" s="468">
        <v>32072</v>
      </c>
      <c r="F1671" s="468">
        <v>32072</v>
      </c>
      <c r="G1671" s="467" t="s">
        <v>965</v>
      </c>
      <c r="H1671" s="467" t="s">
        <v>102</v>
      </c>
      <c r="I1671" s="467" t="s">
        <v>831</v>
      </c>
      <c r="J1671" s="467" t="s">
        <v>966</v>
      </c>
      <c r="K1671" s="469" t="str">
        <f>HYPERLINK("https://okcountyrecords.com/detail/roger+mills/1987-006730","OKCountyRecords: 1987-006730")</f>
        <v>OKCountyRecords: 1987-006730</v>
      </c>
      <c r="L1671" s="467">
        <v>2</v>
      </c>
      <c r="M1671" s="467" t="s">
        <v>465</v>
      </c>
      <c r="N1671" s="470"/>
      <c r="O1671" s="471">
        <f t="shared" si="11"/>
        <v>160</v>
      </c>
      <c r="P1671" s="472" t="str">
        <f t="shared" si="12"/>
        <v/>
      </c>
      <c r="Q1671" s="472" t="str">
        <f t="shared" si="13"/>
        <v/>
      </c>
      <c r="R1671" s="473" t="str">
        <f t="shared" si="14"/>
        <v/>
      </c>
      <c r="S1671" s="467" t="s">
        <v>466</v>
      </c>
      <c r="T1671" s="489" t="s">
        <v>467</v>
      </c>
      <c r="U1671" s="489" t="s">
        <v>468</v>
      </c>
      <c r="V1671" s="450"/>
      <c r="W1671" s="450"/>
      <c r="X1671" s="450"/>
      <c r="Y1671" s="450"/>
      <c r="Z1671" s="450"/>
    </row>
    <row r="1672" spans="1:26" x14ac:dyDescent="0.25">
      <c r="A1672" s="467" t="s">
        <v>967</v>
      </c>
      <c r="B1672" s="467"/>
      <c r="C1672" s="467" t="s">
        <v>619</v>
      </c>
      <c r="D1672" s="467" t="s">
        <v>968</v>
      </c>
      <c r="E1672" s="468">
        <v>32118</v>
      </c>
      <c r="F1672" s="468">
        <v>32118</v>
      </c>
      <c r="G1672" s="467" t="s">
        <v>234</v>
      </c>
      <c r="H1672" s="467" t="s">
        <v>940</v>
      </c>
      <c r="I1672" s="467" t="s">
        <v>831</v>
      </c>
      <c r="J1672" s="467" t="s">
        <v>851</v>
      </c>
      <c r="K1672" s="469" t="str">
        <f>HYPERLINK("https://okcountyrecords.com/detail/roger+mills/1987-007680","OKCountyRecords: 1987-007680")</f>
        <v>OKCountyRecords: 1987-007680</v>
      </c>
      <c r="L1672" s="467">
        <v>2</v>
      </c>
      <c r="M1672" s="467" t="s">
        <v>404</v>
      </c>
      <c r="N1672" s="470">
        <f>3/791.47</f>
        <v>3.7904153031700504E-3</v>
      </c>
      <c r="O1672" s="471">
        <f t="shared" si="11"/>
        <v>160</v>
      </c>
      <c r="P1672" s="472">
        <f t="shared" si="12"/>
        <v>3.7904153031700504E-3</v>
      </c>
      <c r="Q1672" s="472">
        <f t="shared" si="13"/>
        <v>-3.7904153031700504E-3</v>
      </c>
      <c r="R1672" s="473">
        <f t="shared" si="14"/>
        <v>0.6064664485072081</v>
      </c>
      <c r="S1672" s="467"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89"/>
      <c r="U1672" s="489"/>
      <c r="V1672" s="450"/>
      <c r="W1672" s="450"/>
      <c r="X1672" s="450"/>
      <c r="Y1672" s="450"/>
      <c r="Z1672" s="450"/>
    </row>
    <row r="1673" spans="1:26" x14ac:dyDescent="0.25">
      <c r="A1673" s="467" t="s">
        <v>969</v>
      </c>
      <c r="B1673" s="467"/>
      <c r="C1673" s="467" t="s">
        <v>619</v>
      </c>
      <c r="D1673" s="467" t="s">
        <v>970</v>
      </c>
      <c r="E1673" s="468">
        <v>32177</v>
      </c>
      <c r="F1673" s="468">
        <v>32177</v>
      </c>
      <c r="G1673" s="467" t="s">
        <v>804</v>
      </c>
      <c r="H1673" s="467" t="s">
        <v>971</v>
      </c>
      <c r="I1673" s="467" t="s">
        <v>883</v>
      </c>
      <c r="J1673" s="467" t="s">
        <v>63</v>
      </c>
      <c r="K1673" s="469" t="str">
        <f>HYPERLINK("https://okcountyrecords.com/detail/roger+mills/1988-000762","OKCountyRecords: 1988-000762")</f>
        <v>OKCountyRecords: 1988-000762</v>
      </c>
      <c r="L1673" s="467">
        <v>4</v>
      </c>
      <c r="M1673" s="467" t="s">
        <v>404</v>
      </c>
      <c r="N1673" s="470">
        <v>1</v>
      </c>
      <c r="O1673" s="471">
        <f t="shared" si="11"/>
        <v>80</v>
      </c>
      <c r="P1673" s="472">
        <f t="shared" si="12"/>
        <v>1</v>
      </c>
      <c r="Q1673" s="472">
        <f t="shared" si="13"/>
        <v>-1</v>
      </c>
      <c r="R1673" s="473">
        <f t="shared" si="14"/>
        <v>80</v>
      </c>
      <c r="S1673" s="467" t="str">
        <f t="shared" si="17"/>
        <v>Mineral; basis Conv Amt(dec). Gross=tract-map basis.</v>
      </c>
      <c r="T1673" s="489"/>
      <c r="U1673" s="489"/>
      <c r="V1673" s="450"/>
      <c r="W1673" s="450"/>
      <c r="X1673" s="450"/>
      <c r="Y1673" s="450"/>
      <c r="Z1673" s="450"/>
    </row>
    <row r="1674" spans="1:26" x14ac:dyDescent="0.25">
      <c r="A1674" s="467" t="s">
        <v>972</v>
      </c>
      <c r="B1674" s="467"/>
      <c r="C1674" s="467" t="s">
        <v>973</v>
      </c>
      <c r="D1674" s="467" t="s">
        <v>974</v>
      </c>
      <c r="E1674" s="468">
        <v>32216</v>
      </c>
      <c r="F1674" s="468">
        <v>32329</v>
      </c>
      <c r="G1674" s="467" t="s">
        <v>975</v>
      </c>
      <c r="H1674" s="467" t="s">
        <v>976</v>
      </c>
      <c r="I1674" s="467" t="s">
        <v>776</v>
      </c>
      <c r="J1674" s="467" t="s">
        <v>977</v>
      </c>
      <c r="K1674" s="469" t="str">
        <f>HYPERLINK("https://okcountyrecords.com/detail/roger+mills/1988-004185","OKCountyRecords: 1988-004185")</f>
        <v>OKCountyRecords: 1988-004185</v>
      </c>
      <c r="L1674" s="467" t="s">
        <v>778</v>
      </c>
      <c r="M1674" s="467" t="s">
        <v>404</v>
      </c>
      <c r="N1674" s="470">
        <f>1/8</f>
        <v>0.125</v>
      </c>
      <c r="O1674" s="471">
        <f t="shared" ref="O1674:O1737" si="18">IF($L1674="","",IF(ISNUMBER(SEARCH("all",$L1674)),640,(ISNUMBER(SEARCH("1",$L1674)))*80+(ISNUMBER(SEARCH("2",$L1674)))*160+(ISNUMBER(SEARCH("3",$L1674)))*40+(ISNUMBER(SEARCH("4",$L1674)))*80+(ISNUMBER(SEARCH("5",$L1674)))*120+(ISNUMBER(SEARCH("6",$L1674)))*80+(ISNUMBER(SEARCH("7",$L1674)))*40+(ISNUMBER(SEARCH("8",$L1674)))*40))</f>
        <v>200</v>
      </c>
      <c r="P1674" s="472">
        <f t="shared" ref="P1674:P1737" si="19">IF($M1674&lt;&gt;"Mineral","",IF(ISNUMBER($N1674),$N1674,IF(OR(ISNUMBER(SEARCH("surface",$J1674)),ISNUMBER(SEARCH("reserv",$J1674)),ISNUMBER(SEARCH("less and except",$J1674))),0,"")))</f>
        <v>0.125</v>
      </c>
      <c r="Q1674" s="472">
        <f t="shared" ref="Q1674:Q1737" si="20">IF($P1674="","",-$P1674)</f>
        <v>-0.125</v>
      </c>
      <c r="R1674" s="473">
        <f t="shared" ref="R1674:R1737" si="21">IF($P1674="","",$O1674*$P1674)</f>
        <v>25</v>
      </c>
      <c r="S1674" s="467" t="str">
        <f t="shared" si="17"/>
        <v>Mineral; basis Conv Amt(dec). Gross=tract-map basis.</v>
      </c>
      <c r="T1674" s="489"/>
      <c r="U1674" s="490"/>
      <c r="V1674" s="450"/>
      <c r="W1674" s="450"/>
      <c r="X1674" s="450"/>
      <c r="Y1674" s="450"/>
      <c r="Z1674" s="450"/>
    </row>
    <row r="1675" spans="1:26" x14ac:dyDescent="0.25">
      <c r="A1675" s="467" t="s">
        <v>978</v>
      </c>
      <c r="B1675" s="467"/>
      <c r="C1675" s="467" t="s">
        <v>619</v>
      </c>
      <c r="D1675" s="467" t="s">
        <v>979</v>
      </c>
      <c r="E1675" s="468">
        <v>32344</v>
      </c>
      <c r="F1675" s="468">
        <v>32344</v>
      </c>
      <c r="G1675" s="467" t="s">
        <v>234</v>
      </c>
      <c r="H1675" s="467" t="s">
        <v>980</v>
      </c>
      <c r="I1675" s="467" t="s">
        <v>831</v>
      </c>
      <c r="J1675" s="467" t="s">
        <v>876</v>
      </c>
      <c r="K1675" s="469" t="str">
        <f>HYPERLINK("https://okcountyrecords.com/detail/roger+mills/1988-004480","OKCountyRecords: 1988-004480")</f>
        <v>OKCountyRecords: 1988-004480</v>
      </c>
      <c r="L1675" s="467">
        <v>2</v>
      </c>
      <c r="M1675" s="467" t="s">
        <v>404</v>
      </c>
      <c r="N1675" s="470">
        <f>2/791.47</f>
        <v>2.5269435354467002E-3</v>
      </c>
      <c r="O1675" s="471">
        <f t="shared" si="18"/>
        <v>160</v>
      </c>
      <c r="P1675" s="472">
        <f t="shared" si="19"/>
        <v>2.5269435354467002E-3</v>
      </c>
      <c r="Q1675" s="472">
        <f t="shared" si="20"/>
        <v>-2.5269435354467002E-3</v>
      </c>
      <c r="R1675" s="473">
        <f t="shared" si="21"/>
        <v>0.40431096567147207</v>
      </c>
      <c r="S1675" s="467" t="str">
        <f t="shared" si="17"/>
        <v>Mineral; basis Conv Amt(dec). Gross=tract-map basis.</v>
      </c>
      <c r="T1675" s="489"/>
      <c r="U1675" s="489"/>
      <c r="V1675" s="450"/>
      <c r="W1675" s="450"/>
      <c r="X1675" s="450"/>
      <c r="Y1675" s="450"/>
      <c r="Z1675" s="450"/>
    </row>
    <row r="1676" spans="1:26" x14ac:dyDescent="0.25">
      <c r="A1676" s="467" t="s">
        <v>981</v>
      </c>
      <c r="B1676" s="467"/>
      <c r="C1676" s="467" t="s">
        <v>619</v>
      </c>
      <c r="D1676" s="467" t="s">
        <v>982</v>
      </c>
      <c r="E1676" s="468">
        <v>32344</v>
      </c>
      <c r="F1676" s="468">
        <v>32344</v>
      </c>
      <c r="G1676" s="467" t="s">
        <v>234</v>
      </c>
      <c r="H1676" s="467" t="s">
        <v>983</v>
      </c>
      <c r="I1676" s="467" t="s">
        <v>831</v>
      </c>
      <c r="J1676" s="467" t="s">
        <v>876</v>
      </c>
      <c r="K1676" s="469" t="str">
        <f>HYPERLINK("https://okcountyrecords.com/detail/roger+mills/1988-004481","OKCountyRecords: 1988-004481")</f>
        <v>OKCountyRecords: 1988-004481</v>
      </c>
      <c r="L1676" s="467">
        <v>2</v>
      </c>
      <c r="M1676" s="467" t="s">
        <v>404</v>
      </c>
      <c r="N1676" s="470">
        <f>2/791.47</f>
        <v>2.5269435354467002E-3</v>
      </c>
      <c r="O1676" s="471">
        <f t="shared" si="18"/>
        <v>160</v>
      </c>
      <c r="P1676" s="472">
        <f t="shared" si="19"/>
        <v>2.5269435354467002E-3</v>
      </c>
      <c r="Q1676" s="472">
        <f t="shared" si="20"/>
        <v>-2.5269435354467002E-3</v>
      </c>
      <c r="R1676" s="473">
        <f t="shared" si="21"/>
        <v>0.40431096567147207</v>
      </c>
      <c r="S1676" s="467" t="str">
        <f t="shared" si="17"/>
        <v>Mineral; basis Conv Amt(dec). Gross=tract-map basis.</v>
      </c>
      <c r="T1676" s="489"/>
      <c r="U1676" s="489"/>
      <c r="V1676" s="450"/>
      <c r="W1676" s="450"/>
      <c r="X1676" s="450"/>
      <c r="Y1676" s="450"/>
      <c r="Z1676" s="450"/>
    </row>
    <row r="1677" spans="1:26" x14ac:dyDescent="0.25">
      <c r="A1677" s="467" t="s">
        <v>984</v>
      </c>
      <c r="B1677" s="467"/>
      <c r="C1677" s="467" t="s">
        <v>619</v>
      </c>
      <c r="D1677" s="467" t="s">
        <v>985</v>
      </c>
      <c r="E1677" s="468">
        <v>32344</v>
      </c>
      <c r="F1677" s="468">
        <v>32344</v>
      </c>
      <c r="G1677" s="467" t="s">
        <v>234</v>
      </c>
      <c r="H1677" s="467" t="s">
        <v>986</v>
      </c>
      <c r="I1677" s="467" t="s">
        <v>831</v>
      </c>
      <c r="J1677" s="467" t="s">
        <v>876</v>
      </c>
      <c r="K1677" s="469" t="str">
        <f>HYPERLINK("https://okcountyrecords.com/detail/roger+mills/1988-004482","OKCountyRecords: 1988-004482")</f>
        <v>OKCountyRecords: 1988-004482</v>
      </c>
      <c r="L1677" s="467">
        <v>2</v>
      </c>
      <c r="M1677" s="467" t="s">
        <v>404</v>
      </c>
      <c r="N1677" s="470">
        <f>2/791.47</f>
        <v>2.5269435354467002E-3</v>
      </c>
      <c r="O1677" s="471">
        <f t="shared" si="18"/>
        <v>160</v>
      </c>
      <c r="P1677" s="472">
        <f t="shared" si="19"/>
        <v>2.5269435354467002E-3</v>
      </c>
      <c r="Q1677" s="472">
        <f t="shared" si="20"/>
        <v>-2.5269435354467002E-3</v>
      </c>
      <c r="R1677" s="473">
        <f t="shared" si="21"/>
        <v>0.40431096567147207</v>
      </c>
      <c r="S1677" s="467" t="str">
        <f t="shared" si="17"/>
        <v>Mineral; basis Conv Amt(dec). Gross=tract-map basis.</v>
      </c>
      <c r="T1677" s="489"/>
      <c r="U1677" s="489"/>
      <c r="V1677" s="450"/>
      <c r="W1677" s="450"/>
      <c r="X1677" s="450"/>
      <c r="Y1677" s="450"/>
      <c r="Z1677" s="450"/>
    </row>
    <row r="1678" spans="1:26" x14ac:dyDescent="0.25">
      <c r="A1678" s="467" t="s">
        <v>987</v>
      </c>
      <c r="B1678" s="467"/>
      <c r="C1678" s="467" t="s">
        <v>619</v>
      </c>
      <c r="D1678" s="467" t="s">
        <v>988</v>
      </c>
      <c r="E1678" s="468">
        <v>32344</v>
      </c>
      <c r="F1678" s="468">
        <v>32344</v>
      </c>
      <c r="G1678" s="467" t="s">
        <v>234</v>
      </c>
      <c r="H1678" s="467" t="s">
        <v>989</v>
      </c>
      <c r="I1678" s="467" t="s">
        <v>831</v>
      </c>
      <c r="J1678" s="467" t="s">
        <v>876</v>
      </c>
      <c r="K1678" s="469" t="str">
        <f>HYPERLINK("https://okcountyrecords.com/detail/roger+mills/1988-004483","OKCountyRecords: 1988-004483")</f>
        <v>OKCountyRecords: 1988-004483</v>
      </c>
      <c r="L1678" s="467">
        <v>2</v>
      </c>
      <c r="M1678" s="467" t="s">
        <v>404</v>
      </c>
      <c r="N1678" s="470">
        <f>2/791.47</f>
        <v>2.5269435354467002E-3</v>
      </c>
      <c r="O1678" s="471">
        <f t="shared" si="18"/>
        <v>160</v>
      </c>
      <c r="P1678" s="472">
        <f t="shared" si="19"/>
        <v>2.5269435354467002E-3</v>
      </c>
      <c r="Q1678" s="472">
        <f t="shared" si="20"/>
        <v>-2.5269435354467002E-3</v>
      </c>
      <c r="R1678" s="473">
        <f t="shared" si="21"/>
        <v>0.40431096567147207</v>
      </c>
      <c r="S1678" s="467" t="str">
        <f t="shared" si="17"/>
        <v>Mineral; basis Conv Amt(dec). Gross=tract-map basis.</v>
      </c>
      <c r="T1678" s="489"/>
      <c r="U1678" s="489"/>
      <c r="V1678" s="450"/>
      <c r="W1678" s="450"/>
      <c r="X1678" s="450"/>
      <c r="Y1678" s="450"/>
      <c r="Z1678" s="450"/>
    </row>
    <row r="1679" spans="1:26" x14ac:dyDescent="0.25">
      <c r="A1679" s="467" t="s">
        <v>990</v>
      </c>
      <c r="B1679" s="467"/>
      <c r="C1679" s="467" t="s">
        <v>550</v>
      </c>
      <c r="D1679" s="467" t="s">
        <v>991</v>
      </c>
      <c r="E1679" s="468">
        <v>32350</v>
      </c>
      <c r="F1679" s="468">
        <v>32350</v>
      </c>
      <c r="G1679" s="467" t="s">
        <v>992</v>
      </c>
      <c r="H1679" s="467" t="s">
        <v>993</v>
      </c>
      <c r="I1679" s="467" t="s">
        <v>579</v>
      </c>
      <c r="J1679" s="467" t="s">
        <v>994</v>
      </c>
      <c r="K1679" s="469" t="str">
        <f>HYPERLINK("https://okcountyrecords.com/detail/roger+mills/1988-004635","OKCountyRecords: 1988-004635")</f>
        <v>OKCountyRecords: 1988-004635</v>
      </c>
      <c r="L1679" s="467">
        <v>5</v>
      </c>
      <c r="M1679" s="467" t="s">
        <v>404</v>
      </c>
      <c r="N1679" s="470">
        <v>1</v>
      </c>
      <c r="O1679" s="471">
        <f t="shared" si="18"/>
        <v>120</v>
      </c>
      <c r="P1679" s="472">
        <f t="shared" si="19"/>
        <v>1</v>
      </c>
      <c r="Q1679" s="472">
        <f t="shared" si="20"/>
        <v>-1</v>
      </c>
      <c r="R1679" s="473">
        <f t="shared" si="21"/>
        <v>120</v>
      </c>
      <c r="S1679" s="467" t="str">
        <f t="shared" si="17"/>
        <v>Mineral; basis Conv Amt(dec). Gross=tract-map basis.</v>
      </c>
      <c r="T1679" s="489"/>
      <c r="U1679" s="489"/>
      <c r="V1679" s="450"/>
      <c r="W1679" s="450"/>
      <c r="X1679" s="450"/>
      <c r="Y1679" s="450"/>
      <c r="Z1679" s="450"/>
    </row>
    <row r="1680" spans="1:26" x14ac:dyDescent="0.25">
      <c r="A1680" s="467" t="s">
        <v>995</v>
      </c>
      <c r="B1680" s="467"/>
      <c r="C1680" s="467" t="s">
        <v>619</v>
      </c>
      <c r="D1680" s="467" t="s">
        <v>996</v>
      </c>
      <c r="E1680" s="468">
        <v>32405</v>
      </c>
      <c r="F1680" s="468">
        <v>32405</v>
      </c>
      <c r="G1680" s="467" t="s">
        <v>997</v>
      </c>
      <c r="H1680" s="467" t="s">
        <v>998</v>
      </c>
      <c r="I1680" s="467" t="s">
        <v>902</v>
      </c>
      <c r="J1680" s="467" t="s">
        <v>63</v>
      </c>
      <c r="K1680" s="469" t="str">
        <f>HYPERLINK("https://okcountyrecords.com/detail/roger+mills/1988-005620","OKCountyRecords: 1988-005620")</f>
        <v>OKCountyRecords: 1988-005620</v>
      </c>
      <c r="L1680" s="467" t="s">
        <v>625</v>
      </c>
      <c r="M1680" s="467" t="s">
        <v>404</v>
      </c>
      <c r="N1680" s="476">
        <v>1</v>
      </c>
      <c r="O1680" s="471">
        <f t="shared" si="18"/>
        <v>280</v>
      </c>
      <c r="P1680" s="472">
        <f t="shared" si="19"/>
        <v>1</v>
      </c>
      <c r="Q1680" s="472">
        <f t="shared" si="20"/>
        <v>-1</v>
      </c>
      <c r="R1680" s="473">
        <f t="shared" si="21"/>
        <v>280</v>
      </c>
      <c r="S1680" s="467" t="str">
        <f t="shared" si="17"/>
        <v>Mineral; basis Conv Amt(dec). Gross=tract-map basis.</v>
      </c>
      <c r="T1680" s="489"/>
      <c r="U1680" s="489"/>
      <c r="V1680" s="450"/>
      <c r="W1680" s="450"/>
      <c r="X1680" s="450"/>
      <c r="Y1680" s="450"/>
      <c r="Z1680" s="450"/>
    </row>
    <row r="1681" spans="1:26" x14ac:dyDescent="0.25">
      <c r="A1681" s="467" t="s">
        <v>999</v>
      </c>
      <c r="B1681" s="467"/>
      <c r="C1681" s="467" t="s">
        <v>619</v>
      </c>
      <c r="D1681" s="467" t="s">
        <v>1000</v>
      </c>
      <c r="E1681" s="468">
        <v>32449</v>
      </c>
      <c r="F1681" s="468">
        <v>32449</v>
      </c>
      <c r="G1681" s="467" t="s">
        <v>731</v>
      </c>
      <c r="H1681" s="467" t="s">
        <v>1001</v>
      </c>
      <c r="I1681" s="467" t="s">
        <v>722</v>
      </c>
      <c r="J1681" s="467" t="s">
        <v>1002</v>
      </c>
      <c r="K1681" s="469" t="str">
        <f>HYPERLINK("https://okcountyrecords.com/detail/roger+mills/1988-006565","OKCountyRecords: 1988-006565")</f>
        <v>OKCountyRecords: 1988-006565</v>
      </c>
      <c r="L1681" s="467">
        <v>2</v>
      </c>
      <c r="M1681" s="467" t="s">
        <v>404</v>
      </c>
      <c r="N1681" s="470">
        <f>IF(O1681&gt;0,8.0862/O1681,"")</f>
        <v>5.053875E-2</v>
      </c>
      <c r="O1681" s="471">
        <f t="shared" si="18"/>
        <v>160</v>
      </c>
      <c r="P1681" s="472">
        <f t="shared" si="19"/>
        <v>5.053875E-2</v>
      </c>
      <c r="Q1681" s="472">
        <f t="shared" si="20"/>
        <v>-5.053875E-2</v>
      </c>
      <c r="R1681" s="473">
        <f t="shared" si="21"/>
        <v>8.0861999999999998</v>
      </c>
      <c r="S1681" s="467"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89" t="s">
        <v>641</v>
      </c>
      <c r="U1681" s="489" t="s">
        <v>1003</v>
      </c>
      <c r="V1681" s="450"/>
      <c r="W1681" s="450"/>
      <c r="X1681" s="450"/>
      <c r="Y1681" s="450"/>
      <c r="Z1681" s="450"/>
    </row>
    <row r="1682" spans="1:26" x14ac:dyDescent="0.25">
      <c r="A1682" s="467" t="s">
        <v>1004</v>
      </c>
      <c r="B1682" s="467"/>
      <c r="C1682" s="467" t="s">
        <v>756</v>
      </c>
      <c r="D1682" s="467" t="s">
        <v>1005</v>
      </c>
      <c r="E1682" s="468">
        <v>32531</v>
      </c>
      <c r="F1682" s="468">
        <v>32531</v>
      </c>
      <c r="G1682" s="467" t="s">
        <v>1006</v>
      </c>
      <c r="H1682" s="467" t="s">
        <v>102</v>
      </c>
      <c r="I1682" s="467" t="s">
        <v>530</v>
      </c>
      <c r="J1682" s="467" t="s">
        <v>760</v>
      </c>
      <c r="K1682" s="469" t="str">
        <f>HYPERLINK("https://okcountyrecords.com/detail/roger+mills/1989-000424","OKCountyRecords: 1989-000424")</f>
        <v>OKCountyRecords: 1989-000424</v>
      </c>
      <c r="L1682" s="467" t="s">
        <v>502</v>
      </c>
      <c r="M1682" s="467" t="s">
        <v>465</v>
      </c>
      <c r="N1682" s="470"/>
      <c r="O1682" s="471">
        <f t="shared" si="18"/>
        <v>640</v>
      </c>
      <c r="P1682" s="472" t="str">
        <f t="shared" si="19"/>
        <v/>
      </c>
      <c r="Q1682" s="472" t="str">
        <f t="shared" si="20"/>
        <v/>
      </c>
      <c r="R1682" s="473" t="str">
        <f t="shared" si="21"/>
        <v/>
      </c>
      <c r="S1682" s="467" t="s">
        <v>503</v>
      </c>
      <c r="T1682" s="489" t="s">
        <v>467</v>
      </c>
      <c r="U1682" s="490" t="s">
        <v>504</v>
      </c>
      <c r="V1682" s="450"/>
      <c r="W1682" s="450"/>
      <c r="X1682" s="450"/>
      <c r="Y1682" s="450"/>
      <c r="Z1682" s="450"/>
    </row>
    <row r="1683" spans="1:26" x14ac:dyDescent="0.25">
      <c r="A1683" s="467" t="s">
        <v>1007</v>
      </c>
      <c r="B1683" s="467"/>
      <c r="C1683" s="467" t="s">
        <v>461</v>
      </c>
      <c r="D1683" s="467" t="s">
        <v>1008</v>
      </c>
      <c r="E1683" s="468">
        <v>32531</v>
      </c>
      <c r="F1683" s="468">
        <v>32601</v>
      </c>
      <c r="G1683" s="467" t="s">
        <v>1009</v>
      </c>
      <c r="H1683" s="467" t="s">
        <v>102</v>
      </c>
      <c r="I1683" s="467" t="s">
        <v>569</v>
      </c>
      <c r="J1683" s="467" t="s">
        <v>1010</v>
      </c>
      <c r="K1683" s="469" t="str">
        <f>HYPERLINK("https://okcountyrecords.com/detail/roger+mills/1989-002065","OKCountyRecords: 1989-002065")</f>
        <v>OKCountyRecords: 1989-002065</v>
      </c>
      <c r="L1683" s="467" t="s">
        <v>502</v>
      </c>
      <c r="M1683" s="467" t="s">
        <v>465</v>
      </c>
      <c r="N1683" s="470"/>
      <c r="O1683" s="471">
        <f t="shared" si="18"/>
        <v>640</v>
      </c>
      <c r="P1683" s="472" t="str">
        <f t="shared" si="19"/>
        <v/>
      </c>
      <c r="Q1683" s="472" t="str">
        <f t="shared" si="20"/>
        <v/>
      </c>
      <c r="R1683" s="473" t="str">
        <f t="shared" si="21"/>
        <v/>
      </c>
      <c r="S1683" s="467" t="s">
        <v>503</v>
      </c>
      <c r="T1683" s="489" t="s">
        <v>467</v>
      </c>
      <c r="U1683" s="489" t="s">
        <v>504</v>
      </c>
      <c r="V1683" s="450"/>
      <c r="W1683" s="450"/>
      <c r="X1683" s="450"/>
      <c r="Y1683" s="450"/>
      <c r="Z1683" s="450"/>
    </row>
    <row r="1684" spans="1:26" x14ac:dyDescent="0.25">
      <c r="A1684" s="467" t="s">
        <v>1011</v>
      </c>
      <c r="B1684" s="467"/>
      <c r="C1684" s="467" t="s">
        <v>619</v>
      </c>
      <c r="D1684" s="467" t="s">
        <v>1012</v>
      </c>
      <c r="E1684" s="468">
        <v>32566</v>
      </c>
      <c r="F1684" s="468">
        <v>32566</v>
      </c>
      <c r="G1684" s="467" t="s">
        <v>1013</v>
      </c>
      <c r="H1684" s="467" t="s">
        <v>1014</v>
      </c>
      <c r="I1684" s="467" t="s">
        <v>579</v>
      </c>
      <c r="J1684" s="467" t="s">
        <v>1015</v>
      </c>
      <c r="K1684" s="469" t="str">
        <f>HYPERLINK("https://okcountyrecords.com/detail/roger+mills/1989-001220","OKCountyRecords: 1989-001220")</f>
        <v>OKCountyRecords: 1989-001220</v>
      </c>
      <c r="L1684" s="467">
        <v>5</v>
      </c>
      <c r="M1684" s="467" t="s">
        <v>404</v>
      </c>
      <c r="N1684" s="470">
        <f>IF(O1684&gt;0,0.9722/O1684,"")</f>
        <v>8.1016666666666667E-3</v>
      </c>
      <c r="O1684" s="471">
        <f t="shared" si="18"/>
        <v>120</v>
      </c>
      <c r="P1684" s="472">
        <f t="shared" si="19"/>
        <v>8.1016666666666667E-3</v>
      </c>
      <c r="Q1684" s="472">
        <f t="shared" si="20"/>
        <v>-8.1016666666666667E-3</v>
      </c>
      <c r="R1684" s="473">
        <f t="shared" si="21"/>
        <v>0.97219999999999995</v>
      </c>
      <c r="S1684" s="467"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89"/>
      <c r="U1684" s="489" t="s">
        <v>1016</v>
      </c>
      <c r="V1684" s="450"/>
      <c r="W1684" s="450"/>
      <c r="X1684" s="450"/>
      <c r="Y1684" s="450"/>
      <c r="Z1684" s="450"/>
    </row>
    <row r="1685" spans="1:26" x14ac:dyDescent="0.25">
      <c r="A1685" s="467" t="s">
        <v>1017</v>
      </c>
      <c r="B1685" s="467"/>
      <c r="C1685" s="467" t="s">
        <v>585</v>
      </c>
      <c r="D1685" s="467" t="s">
        <v>1018</v>
      </c>
      <c r="E1685" s="468">
        <v>32579</v>
      </c>
      <c r="F1685" s="468">
        <v>32579</v>
      </c>
      <c r="G1685" s="467" t="s">
        <v>1019</v>
      </c>
      <c r="H1685" s="467" t="s">
        <v>1020</v>
      </c>
      <c r="I1685" s="467" t="s">
        <v>579</v>
      </c>
      <c r="J1685" s="467" t="s">
        <v>994</v>
      </c>
      <c r="K1685" s="469" t="str">
        <f>HYPERLINK("https://okcountyrecords.com/detail/roger+mills/1989-001559","OKCountyRecords: 1989-001559")</f>
        <v>OKCountyRecords: 1989-001559</v>
      </c>
      <c r="L1685" s="467">
        <v>5</v>
      </c>
      <c r="M1685" s="467" t="s">
        <v>404</v>
      </c>
      <c r="N1685" s="470">
        <f>1</f>
        <v>1</v>
      </c>
      <c r="O1685" s="471">
        <f t="shared" si="18"/>
        <v>120</v>
      </c>
      <c r="P1685" s="472">
        <f t="shared" si="19"/>
        <v>1</v>
      </c>
      <c r="Q1685" s="472">
        <f t="shared" si="20"/>
        <v>-1</v>
      </c>
      <c r="R1685" s="473">
        <f t="shared" si="21"/>
        <v>120</v>
      </c>
      <c r="S1685" s="467"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89" t="s">
        <v>641</v>
      </c>
      <c r="U1685" s="489" t="s">
        <v>1021</v>
      </c>
      <c r="V1685" s="450"/>
      <c r="W1685" s="450"/>
      <c r="X1685" s="450"/>
      <c r="Y1685" s="450"/>
      <c r="Z1685" s="450"/>
    </row>
    <row r="1686" spans="1:26" x14ac:dyDescent="0.25">
      <c r="A1686" s="467" t="s">
        <v>1022</v>
      </c>
      <c r="B1686" s="467"/>
      <c r="C1686" s="467" t="s">
        <v>619</v>
      </c>
      <c r="D1686" s="467" t="s">
        <v>1023</v>
      </c>
      <c r="E1686" s="468">
        <v>32612</v>
      </c>
      <c r="F1686" s="468">
        <v>32612</v>
      </c>
      <c r="G1686" s="467" t="s">
        <v>234</v>
      </c>
      <c r="H1686" s="467" t="s">
        <v>980</v>
      </c>
      <c r="I1686" s="467" t="s">
        <v>831</v>
      </c>
      <c r="J1686" s="467" t="s">
        <v>851</v>
      </c>
      <c r="K1686" s="469" t="str">
        <f>HYPERLINK("https://okcountyrecords.com/detail/roger+mills/1989-002320","OKCountyRecords: 1989-002320")</f>
        <v>OKCountyRecords: 1989-002320</v>
      </c>
      <c r="L1686" s="467">
        <v>2</v>
      </c>
      <c r="M1686" s="467" t="s">
        <v>404</v>
      </c>
      <c r="N1686" s="470">
        <f>3/791.47</f>
        <v>3.7904153031700504E-3</v>
      </c>
      <c r="O1686" s="471">
        <f t="shared" si="18"/>
        <v>160</v>
      </c>
      <c r="P1686" s="472">
        <f t="shared" si="19"/>
        <v>3.7904153031700504E-3</v>
      </c>
      <c r="Q1686" s="472">
        <f t="shared" si="20"/>
        <v>-3.7904153031700504E-3</v>
      </c>
      <c r="R1686" s="473">
        <f t="shared" si="21"/>
        <v>0.6064664485072081</v>
      </c>
      <c r="S1686" s="467"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89"/>
      <c r="U1686" s="489"/>
      <c r="V1686" s="450"/>
      <c r="W1686" s="450"/>
      <c r="X1686" s="450"/>
      <c r="Y1686" s="450"/>
      <c r="Z1686" s="450"/>
    </row>
    <row r="1687" spans="1:26" x14ac:dyDescent="0.25">
      <c r="A1687" s="467" t="s">
        <v>1024</v>
      </c>
      <c r="B1687" s="467"/>
      <c r="C1687" s="467" t="s">
        <v>619</v>
      </c>
      <c r="D1687" s="467" t="s">
        <v>1025</v>
      </c>
      <c r="E1687" s="468">
        <v>32612</v>
      </c>
      <c r="F1687" s="468">
        <v>32612</v>
      </c>
      <c r="G1687" s="467" t="s">
        <v>234</v>
      </c>
      <c r="H1687" s="467" t="s">
        <v>986</v>
      </c>
      <c r="I1687" s="467" t="s">
        <v>831</v>
      </c>
      <c r="J1687" s="467" t="s">
        <v>851</v>
      </c>
      <c r="K1687" s="469" t="str">
        <f>HYPERLINK("https://okcountyrecords.com/detail/roger+mills/1989-002321","OKCountyRecords: 1989-002321")</f>
        <v>OKCountyRecords: 1989-002321</v>
      </c>
      <c r="L1687" s="467">
        <v>2</v>
      </c>
      <c r="M1687" s="467" t="s">
        <v>404</v>
      </c>
      <c r="N1687" s="470">
        <f>3/791.47</f>
        <v>3.7904153031700504E-3</v>
      </c>
      <c r="O1687" s="471">
        <f t="shared" si="18"/>
        <v>160</v>
      </c>
      <c r="P1687" s="472">
        <f t="shared" si="19"/>
        <v>3.7904153031700504E-3</v>
      </c>
      <c r="Q1687" s="472">
        <f t="shared" si="20"/>
        <v>-3.7904153031700504E-3</v>
      </c>
      <c r="R1687" s="473">
        <f t="shared" si="21"/>
        <v>0.6064664485072081</v>
      </c>
      <c r="S1687" s="467" t="str">
        <f t="shared" si="22"/>
        <v>Mineral; basis Conv Amt(dec). Gross=tract-map basis.</v>
      </c>
      <c r="T1687" s="489"/>
      <c r="U1687" s="489"/>
      <c r="V1687" s="450"/>
      <c r="W1687" s="450"/>
      <c r="X1687" s="450"/>
      <c r="Y1687" s="450"/>
      <c r="Z1687" s="450"/>
    </row>
    <row r="1688" spans="1:26" x14ac:dyDescent="0.25">
      <c r="A1688" s="467" t="s">
        <v>1026</v>
      </c>
      <c r="B1688" s="467"/>
      <c r="C1688" s="467" t="s">
        <v>619</v>
      </c>
      <c r="D1688" s="467" t="s">
        <v>1027</v>
      </c>
      <c r="E1688" s="468">
        <v>32612</v>
      </c>
      <c r="F1688" s="468">
        <v>32612</v>
      </c>
      <c r="G1688" s="467" t="s">
        <v>234</v>
      </c>
      <c r="H1688" s="467" t="s">
        <v>983</v>
      </c>
      <c r="I1688" s="467" t="s">
        <v>831</v>
      </c>
      <c r="J1688" s="467" t="s">
        <v>851</v>
      </c>
      <c r="K1688" s="469" t="str">
        <f>HYPERLINK("https://okcountyrecords.com/detail/roger+mills/1989-002322","OKCountyRecords: 1989-002322")</f>
        <v>OKCountyRecords: 1989-002322</v>
      </c>
      <c r="L1688" s="467">
        <v>2</v>
      </c>
      <c r="M1688" s="467" t="s">
        <v>404</v>
      </c>
      <c r="N1688" s="470">
        <f>3/791.47</f>
        <v>3.7904153031700504E-3</v>
      </c>
      <c r="O1688" s="471">
        <f t="shared" si="18"/>
        <v>160</v>
      </c>
      <c r="P1688" s="472">
        <f t="shared" si="19"/>
        <v>3.7904153031700504E-3</v>
      </c>
      <c r="Q1688" s="472">
        <f t="shared" si="20"/>
        <v>-3.7904153031700504E-3</v>
      </c>
      <c r="R1688" s="473">
        <f t="shared" si="21"/>
        <v>0.6064664485072081</v>
      </c>
      <c r="S1688" s="467" t="str">
        <f t="shared" si="22"/>
        <v>Mineral; basis Conv Amt(dec). Gross=tract-map basis.</v>
      </c>
      <c r="T1688" s="489"/>
      <c r="U1688" s="489"/>
      <c r="V1688" s="450"/>
      <c r="W1688" s="450"/>
      <c r="X1688" s="450"/>
      <c r="Y1688" s="450"/>
      <c r="Z1688" s="450"/>
    </row>
    <row r="1689" spans="1:26" x14ac:dyDescent="0.25">
      <c r="A1689" s="467" t="s">
        <v>1028</v>
      </c>
      <c r="B1689" s="467"/>
      <c r="C1689" s="467" t="s">
        <v>619</v>
      </c>
      <c r="D1689" s="467" t="s">
        <v>1029</v>
      </c>
      <c r="E1689" s="468">
        <v>32612</v>
      </c>
      <c r="F1689" s="468">
        <v>32612</v>
      </c>
      <c r="G1689" s="467" t="s">
        <v>234</v>
      </c>
      <c r="H1689" s="467" t="s">
        <v>989</v>
      </c>
      <c r="I1689" s="467" t="s">
        <v>831</v>
      </c>
      <c r="J1689" s="467" t="s">
        <v>851</v>
      </c>
      <c r="K1689" s="469" t="str">
        <f>HYPERLINK("https://okcountyrecords.com/detail/roger+mills/1989-002323","OKCountyRecords: 1989-002323")</f>
        <v>OKCountyRecords: 1989-002323</v>
      </c>
      <c r="L1689" s="467">
        <v>2</v>
      </c>
      <c r="M1689" s="467" t="s">
        <v>404</v>
      </c>
      <c r="N1689" s="470">
        <f>3/791.47</f>
        <v>3.7904153031700504E-3</v>
      </c>
      <c r="O1689" s="471">
        <f t="shared" si="18"/>
        <v>160</v>
      </c>
      <c r="P1689" s="472">
        <f t="shared" si="19"/>
        <v>3.7904153031700504E-3</v>
      </c>
      <c r="Q1689" s="472">
        <f t="shared" si="20"/>
        <v>-3.7904153031700504E-3</v>
      </c>
      <c r="R1689" s="473">
        <f t="shared" si="21"/>
        <v>0.6064664485072081</v>
      </c>
      <c r="S1689" s="467" t="str">
        <f t="shared" si="22"/>
        <v>Mineral; basis Conv Amt(dec). Gross=tract-map basis.</v>
      </c>
      <c r="T1689" s="489"/>
      <c r="U1689" s="489"/>
      <c r="V1689" s="450"/>
      <c r="W1689" s="450"/>
      <c r="X1689" s="450"/>
      <c r="Y1689" s="450"/>
      <c r="Z1689" s="450"/>
    </row>
    <row r="1690" spans="1:26" x14ac:dyDescent="0.25">
      <c r="A1690" s="467" t="s">
        <v>1030</v>
      </c>
      <c r="B1690" s="467"/>
      <c r="C1690" s="467" t="s">
        <v>619</v>
      </c>
      <c r="D1690" s="467" t="s">
        <v>1031</v>
      </c>
      <c r="E1690" s="468">
        <v>32706</v>
      </c>
      <c r="F1690" s="468">
        <v>32706</v>
      </c>
      <c r="G1690" s="467" t="s">
        <v>1032</v>
      </c>
      <c r="H1690" s="467" t="s">
        <v>940</v>
      </c>
      <c r="I1690" s="467" t="s">
        <v>722</v>
      </c>
      <c r="J1690" s="467" t="s">
        <v>1033</v>
      </c>
      <c r="K1690" s="469" t="str">
        <f>HYPERLINK("https://okcountyrecords.com/detail/roger+mills/1989-004248","OKCountyRecords: 1989-004248")</f>
        <v>OKCountyRecords: 1989-004248</v>
      </c>
      <c r="L1690" s="467">
        <v>2</v>
      </c>
      <c r="M1690" s="467" t="s">
        <v>404</v>
      </c>
      <c r="N1690" s="470">
        <f t="shared" ref="N1690:N1698" si="23">43.496666/791.47</f>
        <v>5.4956809481092141E-2</v>
      </c>
      <c r="O1690" s="471">
        <f t="shared" si="18"/>
        <v>160</v>
      </c>
      <c r="P1690" s="472">
        <f t="shared" si="19"/>
        <v>5.4956809481092141E-2</v>
      </c>
      <c r="Q1690" s="472">
        <f t="shared" si="20"/>
        <v>-5.4956809481092141E-2</v>
      </c>
      <c r="R1690" s="473">
        <f t="shared" si="21"/>
        <v>8.7930895169747423</v>
      </c>
      <c r="S1690" s="467" t="str">
        <f t="shared" si="22"/>
        <v>Mineral; basis Conv Amt(dec). Gross=tract-map basis.</v>
      </c>
      <c r="T1690" s="489"/>
      <c r="U1690" s="489"/>
      <c r="V1690" s="450"/>
      <c r="W1690" s="450"/>
      <c r="X1690" s="450"/>
      <c r="Y1690" s="450"/>
      <c r="Z1690" s="450"/>
    </row>
    <row r="1691" spans="1:26" x14ac:dyDescent="0.25">
      <c r="A1691" s="467" t="s">
        <v>1034</v>
      </c>
      <c r="B1691" s="467"/>
      <c r="C1691" s="467" t="s">
        <v>619</v>
      </c>
      <c r="D1691" s="467" t="s">
        <v>1035</v>
      </c>
      <c r="E1691" s="468">
        <v>32706</v>
      </c>
      <c r="F1691" s="468">
        <v>32706</v>
      </c>
      <c r="G1691" s="467" t="s">
        <v>1032</v>
      </c>
      <c r="H1691" s="467" t="s">
        <v>1036</v>
      </c>
      <c r="I1691" s="467" t="s">
        <v>722</v>
      </c>
      <c r="J1691" s="467" t="s">
        <v>1033</v>
      </c>
      <c r="K1691" s="469" t="str">
        <f>HYPERLINK("https://okcountyrecords.com/detail/roger+mills/1989-004249","OKCountyRecords: 1989-004249")</f>
        <v>OKCountyRecords: 1989-004249</v>
      </c>
      <c r="L1691" s="467">
        <v>2</v>
      </c>
      <c r="M1691" s="467" t="s">
        <v>404</v>
      </c>
      <c r="N1691" s="470">
        <f t="shared" si="23"/>
        <v>5.4956809481092141E-2</v>
      </c>
      <c r="O1691" s="471">
        <f t="shared" si="18"/>
        <v>160</v>
      </c>
      <c r="P1691" s="472">
        <f t="shared" si="19"/>
        <v>5.4956809481092141E-2</v>
      </c>
      <c r="Q1691" s="472">
        <f t="shared" si="20"/>
        <v>-5.4956809481092141E-2</v>
      </c>
      <c r="R1691" s="473">
        <f t="shared" si="21"/>
        <v>8.7930895169747423</v>
      </c>
      <c r="S1691" s="467" t="str">
        <f t="shared" si="22"/>
        <v>Mineral; basis Conv Amt(dec). Gross=tract-map basis.</v>
      </c>
      <c r="T1691" s="489"/>
      <c r="U1691" s="489"/>
      <c r="V1691" s="450"/>
      <c r="W1691" s="450"/>
      <c r="X1691" s="450"/>
      <c r="Y1691" s="450"/>
      <c r="Z1691" s="450"/>
    </row>
    <row r="1692" spans="1:26" x14ac:dyDescent="0.25">
      <c r="A1692" s="467" t="s">
        <v>1037</v>
      </c>
      <c r="B1692" s="467"/>
      <c r="C1692" s="467" t="s">
        <v>619</v>
      </c>
      <c r="D1692" s="467" t="s">
        <v>1038</v>
      </c>
      <c r="E1692" s="468">
        <v>32706</v>
      </c>
      <c r="F1692" s="468">
        <v>32706</v>
      </c>
      <c r="G1692" s="467" t="s">
        <v>1032</v>
      </c>
      <c r="H1692" s="467" t="s">
        <v>1039</v>
      </c>
      <c r="I1692" s="467" t="s">
        <v>722</v>
      </c>
      <c r="J1692" s="467" t="s">
        <v>1033</v>
      </c>
      <c r="K1692" s="469" t="str">
        <f>HYPERLINK("https://okcountyrecords.com/detail/roger+mills/1989-004250","OKCountyRecords: 1989-004250")</f>
        <v>OKCountyRecords: 1989-004250</v>
      </c>
      <c r="L1692" s="467">
        <v>2</v>
      </c>
      <c r="M1692" s="467" t="s">
        <v>404</v>
      </c>
      <c r="N1692" s="470">
        <f t="shared" si="23"/>
        <v>5.4956809481092141E-2</v>
      </c>
      <c r="O1692" s="471">
        <f t="shared" si="18"/>
        <v>160</v>
      </c>
      <c r="P1692" s="472">
        <f t="shared" si="19"/>
        <v>5.4956809481092141E-2</v>
      </c>
      <c r="Q1692" s="472">
        <f t="shared" si="20"/>
        <v>-5.4956809481092141E-2</v>
      </c>
      <c r="R1692" s="473">
        <f t="shared" si="21"/>
        <v>8.7930895169747423</v>
      </c>
      <c r="S1692" s="467" t="str">
        <f t="shared" si="22"/>
        <v>Mineral; basis Conv Amt(dec). Gross=tract-map basis.</v>
      </c>
      <c r="T1692" s="489"/>
      <c r="U1692" s="489"/>
      <c r="V1692" s="450"/>
      <c r="W1692" s="450"/>
      <c r="X1692" s="450"/>
      <c r="Y1692" s="450"/>
      <c r="Z1692" s="450"/>
    </row>
    <row r="1693" spans="1:26" x14ac:dyDescent="0.25">
      <c r="A1693" s="467" t="s">
        <v>1040</v>
      </c>
      <c r="B1693" s="467"/>
      <c r="C1693" s="467" t="s">
        <v>619</v>
      </c>
      <c r="D1693" s="467" t="s">
        <v>1041</v>
      </c>
      <c r="E1693" s="468">
        <v>32706</v>
      </c>
      <c r="F1693" s="468">
        <v>32706</v>
      </c>
      <c r="G1693" s="467" t="s">
        <v>1032</v>
      </c>
      <c r="H1693" s="467" t="s">
        <v>1042</v>
      </c>
      <c r="I1693" s="467" t="s">
        <v>722</v>
      </c>
      <c r="J1693" s="467" t="s">
        <v>1033</v>
      </c>
      <c r="K1693" s="469" t="str">
        <f>HYPERLINK("https://okcountyrecords.com/detail/roger+mills/1989-004251","OKCountyRecords: 1989-004251")</f>
        <v>OKCountyRecords: 1989-004251</v>
      </c>
      <c r="L1693" s="467">
        <v>2</v>
      </c>
      <c r="M1693" s="467" t="s">
        <v>404</v>
      </c>
      <c r="N1693" s="470">
        <f t="shared" si="23"/>
        <v>5.4956809481092141E-2</v>
      </c>
      <c r="O1693" s="471">
        <f t="shared" si="18"/>
        <v>160</v>
      </c>
      <c r="P1693" s="472">
        <f t="shared" si="19"/>
        <v>5.4956809481092141E-2</v>
      </c>
      <c r="Q1693" s="472">
        <f t="shared" si="20"/>
        <v>-5.4956809481092141E-2</v>
      </c>
      <c r="R1693" s="473">
        <f t="shared" si="21"/>
        <v>8.7930895169747423</v>
      </c>
      <c r="S1693" s="467" t="str">
        <f t="shared" si="22"/>
        <v>Mineral; basis Conv Amt(dec). Gross=tract-map basis.</v>
      </c>
      <c r="T1693" s="489"/>
      <c r="U1693" s="489"/>
      <c r="V1693" s="450"/>
      <c r="W1693" s="450"/>
      <c r="X1693" s="450"/>
      <c r="Y1693" s="450"/>
      <c r="Z1693" s="450"/>
    </row>
    <row r="1694" spans="1:26" x14ac:dyDescent="0.25">
      <c r="A1694" s="467" t="s">
        <v>1043</v>
      </c>
      <c r="B1694" s="467"/>
      <c r="C1694" s="467" t="s">
        <v>619</v>
      </c>
      <c r="D1694" s="467" t="s">
        <v>1044</v>
      </c>
      <c r="E1694" s="468">
        <v>32706</v>
      </c>
      <c r="F1694" s="468">
        <v>32706</v>
      </c>
      <c r="G1694" s="467" t="s">
        <v>1032</v>
      </c>
      <c r="H1694" s="467" t="s">
        <v>1045</v>
      </c>
      <c r="I1694" s="467" t="s">
        <v>722</v>
      </c>
      <c r="J1694" s="467" t="s">
        <v>1033</v>
      </c>
      <c r="K1694" s="469" t="str">
        <f>HYPERLINK("https://okcountyrecords.com/detail/roger+mills/1989-004252","OKCountyRecords: 1989-004252")</f>
        <v>OKCountyRecords: 1989-004252</v>
      </c>
      <c r="L1694" s="467">
        <v>2</v>
      </c>
      <c r="M1694" s="467" t="s">
        <v>404</v>
      </c>
      <c r="N1694" s="470">
        <f t="shared" si="23"/>
        <v>5.4956809481092141E-2</v>
      </c>
      <c r="O1694" s="471">
        <f t="shared" si="18"/>
        <v>160</v>
      </c>
      <c r="P1694" s="472">
        <f t="shared" si="19"/>
        <v>5.4956809481092141E-2</v>
      </c>
      <c r="Q1694" s="472">
        <f t="shared" si="20"/>
        <v>-5.4956809481092141E-2</v>
      </c>
      <c r="R1694" s="473">
        <f t="shared" si="21"/>
        <v>8.7930895169747423</v>
      </c>
      <c r="S1694" s="467" t="str">
        <f t="shared" si="22"/>
        <v>Mineral; basis Conv Amt(dec). Gross=tract-map basis.</v>
      </c>
      <c r="T1694" s="489"/>
      <c r="U1694" s="489"/>
      <c r="V1694" s="450"/>
      <c r="W1694" s="450"/>
      <c r="X1694" s="450"/>
      <c r="Y1694" s="450"/>
      <c r="Z1694" s="450"/>
    </row>
    <row r="1695" spans="1:26" x14ac:dyDescent="0.25">
      <c r="A1695" s="467" t="s">
        <v>1046</v>
      </c>
      <c r="B1695" s="467"/>
      <c r="C1695" s="467" t="s">
        <v>619</v>
      </c>
      <c r="D1695" s="467" t="s">
        <v>1047</v>
      </c>
      <c r="E1695" s="468">
        <v>32706</v>
      </c>
      <c r="F1695" s="468">
        <v>32706</v>
      </c>
      <c r="G1695" s="467" t="s">
        <v>1032</v>
      </c>
      <c r="H1695" s="467" t="s">
        <v>1048</v>
      </c>
      <c r="I1695" s="467" t="s">
        <v>722</v>
      </c>
      <c r="J1695" s="467" t="s">
        <v>1033</v>
      </c>
      <c r="K1695" s="469" t="str">
        <f>HYPERLINK("https://okcountyrecords.com/detail/roger+mills/1989-004253","OKCountyRecords: 1989-004253")</f>
        <v>OKCountyRecords: 1989-004253</v>
      </c>
      <c r="L1695" s="467">
        <v>2</v>
      </c>
      <c r="M1695" s="467" t="s">
        <v>404</v>
      </c>
      <c r="N1695" s="470">
        <f t="shared" si="23"/>
        <v>5.4956809481092141E-2</v>
      </c>
      <c r="O1695" s="471">
        <f t="shared" si="18"/>
        <v>160</v>
      </c>
      <c r="P1695" s="472">
        <f t="shared" si="19"/>
        <v>5.4956809481092141E-2</v>
      </c>
      <c r="Q1695" s="472">
        <f t="shared" si="20"/>
        <v>-5.4956809481092141E-2</v>
      </c>
      <c r="R1695" s="473">
        <f t="shared" si="21"/>
        <v>8.7930895169747423</v>
      </c>
      <c r="S1695" s="467" t="str">
        <f t="shared" si="22"/>
        <v>Mineral; basis Conv Amt(dec). Gross=tract-map basis.</v>
      </c>
      <c r="T1695" s="489"/>
      <c r="U1695" s="489"/>
      <c r="V1695" s="450"/>
      <c r="W1695" s="450"/>
      <c r="X1695" s="450"/>
      <c r="Y1695" s="450"/>
      <c r="Z1695" s="450"/>
    </row>
    <row r="1696" spans="1:26" x14ac:dyDescent="0.25">
      <c r="A1696" s="467" t="s">
        <v>1049</v>
      </c>
      <c r="B1696" s="467"/>
      <c r="C1696" s="467" t="s">
        <v>619</v>
      </c>
      <c r="D1696" s="467" t="s">
        <v>1050</v>
      </c>
      <c r="E1696" s="468">
        <v>32706</v>
      </c>
      <c r="F1696" s="468">
        <v>32706</v>
      </c>
      <c r="G1696" s="467" t="s">
        <v>1032</v>
      </c>
      <c r="H1696" s="467" t="s">
        <v>1051</v>
      </c>
      <c r="I1696" s="467" t="s">
        <v>722</v>
      </c>
      <c r="J1696" s="467" t="s">
        <v>1033</v>
      </c>
      <c r="K1696" s="469" t="str">
        <f>HYPERLINK("https://okcountyrecords.com/detail/roger+mills/1989-004254","OKCountyRecords: 1989-004254")</f>
        <v>OKCountyRecords: 1989-004254</v>
      </c>
      <c r="L1696" s="467">
        <v>2</v>
      </c>
      <c r="M1696" s="467" t="s">
        <v>404</v>
      </c>
      <c r="N1696" s="470">
        <f t="shared" si="23"/>
        <v>5.4956809481092141E-2</v>
      </c>
      <c r="O1696" s="471">
        <f t="shared" si="18"/>
        <v>160</v>
      </c>
      <c r="P1696" s="472">
        <f t="shared" si="19"/>
        <v>5.4956809481092141E-2</v>
      </c>
      <c r="Q1696" s="472">
        <f t="shared" si="20"/>
        <v>-5.4956809481092141E-2</v>
      </c>
      <c r="R1696" s="473">
        <f t="shared" si="21"/>
        <v>8.7930895169747423</v>
      </c>
      <c r="S1696" s="467" t="str">
        <f t="shared" si="22"/>
        <v>Mineral; basis Conv Amt(dec). Gross=tract-map basis.</v>
      </c>
      <c r="T1696" s="489"/>
      <c r="U1696" s="489"/>
      <c r="V1696" s="450"/>
      <c r="W1696" s="450"/>
      <c r="X1696" s="450"/>
      <c r="Y1696" s="450"/>
      <c r="Z1696" s="450"/>
    </row>
    <row r="1697" spans="1:26" x14ac:dyDescent="0.25">
      <c r="A1697" s="467" t="s">
        <v>1052</v>
      </c>
      <c r="B1697" s="467"/>
      <c r="C1697" s="467" t="s">
        <v>619</v>
      </c>
      <c r="D1697" s="467" t="s">
        <v>1053</v>
      </c>
      <c r="E1697" s="468">
        <v>32706</v>
      </c>
      <c r="F1697" s="468">
        <v>32706</v>
      </c>
      <c r="G1697" s="467" t="s">
        <v>1032</v>
      </c>
      <c r="H1697" s="467" t="s">
        <v>1054</v>
      </c>
      <c r="I1697" s="467" t="s">
        <v>722</v>
      </c>
      <c r="J1697" s="467" t="s">
        <v>1033</v>
      </c>
      <c r="K1697" s="469" t="str">
        <f>HYPERLINK("https://okcountyrecords.com/detail/roger+mills/1989-004255","OKCountyRecords: 1989-004255")</f>
        <v>OKCountyRecords: 1989-004255</v>
      </c>
      <c r="L1697" s="467">
        <v>2</v>
      </c>
      <c r="M1697" s="467" t="s">
        <v>404</v>
      </c>
      <c r="N1697" s="470">
        <f t="shared" si="23"/>
        <v>5.4956809481092141E-2</v>
      </c>
      <c r="O1697" s="471">
        <f t="shared" si="18"/>
        <v>160</v>
      </c>
      <c r="P1697" s="472">
        <f t="shared" si="19"/>
        <v>5.4956809481092141E-2</v>
      </c>
      <c r="Q1697" s="472">
        <f t="shared" si="20"/>
        <v>-5.4956809481092141E-2</v>
      </c>
      <c r="R1697" s="473">
        <f t="shared" si="21"/>
        <v>8.7930895169747423</v>
      </c>
      <c r="S1697" s="467" t="str">
        <f t="shared" si="22"/>
        <v>Mineral; basis Conv Amt(dec). Gross=tract-map basis.</v>
      </c>
      <c r="T1697" s="489"/>
      <c r="U1697" s="489"/>
      <c r="V1697" s="450"/>
      <c r="W1697" s="450"/>
      <c r="X1697" s="450"/>
      <c r="Y1697" s="450"/>
      <c r="Z1697" s="450"/>
    </row>
    <row r="1698" spans="1:26" x14ac:dyDescent="0.25">
      <c r="A1698" s="467" t="s">
        <v>1055</v>
      </c>
      <c r="B1698" s="467"/>
      <c r="C1698" s="467" t="s">
        <v>619</v>
      </c>
      <c r="D1698" s="467" t="s">
        <v>1056</v>
      </c>
      <c r="E1698" s="468">
        <v>32706</v>
      </c>
      <c r="F1698" s="468">
        <v>32706</v>
      </c>
      <c r="G1698" s="467" t="s">
        <v>1032</v>
      </c>
      <c r="H1698" s="467" t="s">
        <v>1057</v>
      </c>
      <c r="I1698" s="467" t="s">
        <v>722</v>
      </c>
      <c r="J1698" s="467" t="s">
        <v>1033</v>
      </c>
      <c r="K1698" s="469" t="str">
        <f>HYPERLINK("https://okcountyrecords.com/detail/roger+mills/1989-004256","OKCountyRecords: 1989-004256")</f>
        <v>OKCountyRecords: 1989-004256</v>
      </c>
      <c r="L1698" s="467">
        <v>2</v>
      </c>
      <c r="M1698" s="467" t="s">
        <v>404</v>
      </c>
      <c r="N1698" s="470">
        <f t="shared" si="23"/>
        <v>5.4956809481092141E-2</v>
      </c>
      <c r="O1698" s="471">
        <f t="shared" si="18"/>
        <v>160</v>
      </c>
      <c r="P1698" s="472">
        <f t="shared" si="19"/>
        <v>5.4956809481092141E-2</v>
      </c>
      <c r="Q1698" s="472">
        <f t="shared" si="20"/>
        <v>-5.4956809481092141E-2</v>
      </c>
      <c r="R1698" s="473">
        <f t="shared" si="21"/>
        <v>8.7930895169747423</v>
      </c>
      <c r="S1698" s="467" t="str">
        <f t="shared" si="22"/>
        <v>Mineral; basis Conv Amt(dec). Gross=tract-map basis.</v>
      </c>
      <c r="T1698" s="489"/>
      <c r="U1698" s="489"/>
      <c r="V1698" s="450"/>
      <c r="W1698" s="450"/>
      <c r="X1698" s="450"/>
      <c r="Y1698" s="450"/>
      <c r="Z1698" s="450"/>
    </row>
    <row r="1699" spans="1:26" x14ac:dyDescent="0.25">
      <c r="A1699" s="467" t="s">
        <v>1058</v>
      </c>
      <c r="B1699" s="467"/>
      <c r="C1699" s="467" t="s">
        <v>585</v>
      </c>
      <c r="D1699" s="467" t="s">
        <v>1059</v>
      </c>
      <c r="E1699" s="468">
        <v>32794</v>
      </c>
      <c r="F1699" s="468">
        <v>32794</v>
      </c>
      <c r="G1699" s="467" t="s">
        <v>1060</v>
      </c>
      <c r="H1699" s="467" t="s">
        <v>940</v>
      </c>
      <c r="I1699" s="467" t="s">
        <v>722</v>
      </c>
      <c r="J1699" s="467" t="s">
        <v>63</v>
      </c>
      <c r="K1699" s="469" t="str">
        <f>HYPERLINK("https://okcountyrecords.com/detail/roger+mills/1989-005656","OKCountyRecords: 1989-005656")</f>
        <v>OKCountyRecords: 1989-005656</v>
      </c>
      <c r="L1699" s="467">
        <v>2</v>
      </c>
      <c r="M1699" s="467" t="s">
        <v>404</v>
      </c>
      <c r="N1699" s="470">
        <v>1</v>
      </c>
      <c r="O1699" s="471">
        <f t="shared" si="18"/>
        <v>160</v>
      </c>
      <c r="P1699" s="472">
        <f t="shared" si="19"/>
        <v>1</v>
      </c>
      <c r="Q1699" s="472">
        <f t="shared" si="20"/>
        <v>-1</v>
      </c>
      <c r="R1699" s="473">
        <f t="shared" si="21"/>
        <v>160</v>
      </c>
      <c r="S1699" s="467" t="str">
        <f t="shared" si="22"/>
        <v>Mineral; basis Conv Amt(dec). Gross=tract-map basis.</v>
      </c>
      <c r="T1699" s="489"/>
      <c r="U1699" s="489"/>
      <c r="V1699" s="450"/>
      <c r="W1699" s="450"/>
      <c r="X1699" s="450"/>
      <c r="Y1699" s="450"/>
      <c r="Z1699" s="450"/>
    </row>
    <row r="1700" spans="1:26" x14ac:dyDescent="0.25">
      <c r="A1700" s="467" t="s">
        <v>1061</v>
      </c>
      <c r="B1700" s="467"/>
      <c r="C1700" s="467" t="s">
        <v>1062</v>
      </c>
      <c r="D1700" s="467" t="s">
        <v>1063</v>
      </c>
      <c r="E1700" s="468">
        <v>32806</v>
      </c>
      <c r="F1700" s="468">
        <v>32806</v>
      </c>
      <c r="G1700" s="467" t="s">
        <v>327</v>
      </c>
      <c r="H1700" s="467" t="s">
        <v>102</v>
      </c>
      <c r="I1700" s="467" t="s">
        <v>530</v>
      </c>
      <c r="J1700" s="467" t="s">
        <v>760</v>
      </c>
      <c r="K1700" s="469" t="str">
        <f>HYPERLINK("https://okcountyrecords.com/detail/roger+mills/1989-005860","OKCountyRecords: 1989-005860")</f>
        <v>OKCountyRecords: 1989-005860</v>
      </c>
      <c r="L1700" s="467" t="s">
        <v>502</v>
      </c>
      <c r="M1700" s="467" t="s">
        <v>465</v>
      </c>
      <c r="N1700" s="470"/>
      <c r="O1700" s="471">
        <f t="shared" si="18"/>
        <v>640</v>
      </c>
      <c r="P1700" s="472" t="str">
        <f t="shared" si="19"/>
        <v/>
      </c>
      <c r="Q1700" s="472" t="str">
        <f t="shared" si="20"/>
        <v/>
      </c>
      <c r="R1700" s="473" t="str">
        <f t="shared" si="21"/>
        <v/>
      </c>
      <c r="S1700" s="467" t="s">
        <v>503</v>
      </c>
      <c r="T1700" s="489" t="s">
        <v>467</v>
      </c>
      <c r="U1700" s="490" t="s">
        <v>504</v>
      </c>
      <c r="V1700" s="450"/>
      <c r="W1700" s="450"/>
      <c r="X1700" s="450"/>
      <c r="Y1700" s="450"/>
      <c r="Z1700" s="450"/>
    </row>
    <row r="1701" spans="1:26" x14ac:dyDescent="0.25">
      <c r="A1701" s="467" t="s">
        <v>1064</v>
      </c>
      <c r="B1701" s="467"/>
      <c r="C1701" s="467" t="s">
        <v>619</v>
      </c>
      <c r="D1701" s="467" t="s">
        <v>1065</v>
      </c>
      <c r="E1701" s="468">
        <v>32847</v>
      </c>
      <c r="F1701" s="468">
        <v>32847</v>
      </c>
      <c r="G1701" s="467" t="s">
        <v>928</v>
      </c>
      <c r="H1701" s="467" t="s">
        <v>1066</v>
      </c>
      <c r="I1701" s="467" t="s">
        <v>623</v>
      </c>
      <c r="J1701" s="467" t="s">
        <v>703</v>
      </c>
      <c r="K1701" s="469" t="str">
        <f>HYPERLINK("https://okcountyrecords.com/detail/roger+mills/1989-006590","OKCountyRecords: 1989-006590")</f>
        <v>OKCountyRecords: 1989-006590</v>
      </c>
      <c r="L1701" s="467" t="s">
        <v>625</v>
      </c>
      <c r="M1701" s="467" t="s">
        <v>404</v>
      </c>
      <c r="N1701" s="476">
        <f>10/260</f>
        <v>3.8461538461538464E-2</v>
      </c>
      <c r="O1701" s="471">
        <f t="shared" si="18"/>
        <v>280</v>
      </c>
      <c r="P1701" s="472">
        <f t="shared" si="19"/>
        <v>3.8461538461538464E-2</v>
      </c>
      <c r="Q1701" s="472">
        <f t="shared" si="20"/>
        <v>-3.8461538461538464E-2</v>
      </c>
      <c r="R1701" s="473">
        <f t="shared" si="21"/>
        <v>10.76923076923077</v>
      </c>
      <c r="S1701" s="467"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89"/>
      <c r="U1701" s="489"/>
      <c r="V1701" s="450"/>
      <c r="W1701" s="450"/>
      <c r="X1701" s="450"/>
      <c r="Y1701" s="450"/>
      <c r="Z1701" s="450"/>
    </row>
    <row r="1702" spans="1:26" x14ac:dyDescent="0.25">
      <c r="A1702" s="467" t="s">
        <v>1067</v>
      </c>
      <c r="B1702" s="467"/>
      <c r="C1702" s="467" t="s">
        <v>619</v>
      </c>
      <c r="D1702" s="467" t="s">
        <v>1068</v>
      </c>
      <c r="E1702" s="468">
        <v>32869</v>
      </c>
      <c r="F1702" s="468">
        <v>32869</v>
      </c>
      <c r="G1702" s="467" t="s">
        <v>1069</v>
      </c>
      <c r="H1702" s="467" t="s">
        <v>348</v>
      </c>
      <c r="I1702" s="467" t="s">
        <v>722</v>
      </c>
      <c r="J1702" s="467" t="s">
        <v>1070</v>
      </c>
      <c r="K1702" s="469" t="str">
        <f>HYPERLINK("https://okcountyrecords.com/detail/roger+mills/1989-007000","OKCountyRecords: 1989-007000")</f>
        <v>OKCountyRecords: 1989-007000</v>
      </c>
      <c r="L1702" s="467">
        <v>2</v>
      </c>
      <c r="M1702" s="467" t="s">
        <v>404</v>
      </c>
      <c r="N1702" s="470">
        <f>2/160</f>
        <v>1.2500000000000001E-2</v>
      </c>
      <c r="O1702" s="471">
        <f t="shared" si="18"/>
        <v>160</v>
      </c>
      <c r="P1702" s="472">
        <f t="shared" si="19"/>
        <v>1.2500000000000001E-2</v>
      </c>
      <c r="Q1702" s="472">
        <f t="shared" si="20"/>
        <v>-1.2500000000000001E-2</v>
      </c>
      <c r="R1702" s="473">
        <f t="shared" si="21"/>
        <v>2</v>
      </c>
      <c r="S1702" s="467"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89"/>
      <c r="U1702" s="489"/>
      <c r="V1702" s="450"/>
      <c r="W1702" s="450"/>
      <c r="X1702" s="450"/>
      <c r="Y1702" s="450"/>
      <c r="Z1702" s="450"/>
    </row>
    <row r="1703" spans="1:26" x14ac:dyDescent="0.25">
      <c r="A1703" s="467" t="s">
        <v>1071</v>
      </c>
      <c r="B1703" s="467"/>
      <c r="C1703" s="467" t="s">
        <v>619</v>
      </c>
      <c r="D1703" s="467" t="s">
        <v>1072</v>
      </c>
      <c r="E1703" s="468">
        <v>32869</v>
      </c>
      <c r="F1703" s="468">
        <v>32869</v>
      </c>
      <c r="G1703" s="467" t="s">
        <v>1069</v>
      </c>
      <c r="H1703" s="467" t="s">
        <v>351</v>
      </c>
      <c r="I1703" s="467" t="s">
        <v>722</v>
      </c>
      <c r="J1703" s="467" t="s">
        <v>1070</v>
      </c>
      <c r="K1703" s="469" t="str">
        <f>HYPERLINK("https://okcountyrecords.com/detail/roger+mills/1989-007001","OKCountyRecords: 1989-007001")</f>
        <v>OKCountyRecords: 1989-007001</v>
      </c>
      <c r="L1703" s="467">
        <v>2</v>
      </c>
      <c r="M1703" s="467" t="s">
        <v>404</v>
      </c>
      <c r="N1703" s="470">
        <f>2/160</f>
        <v>1.2500000000000001E-2</v>
      </c>
      <c r="O1703" s="471">
        <f t="shared" si="18"/>
        <v>160</v>
      </c>
      <c r="P1703" s="472">
        <f t="shared" si="19"/>
        <v>1.2500000000000001E-2</v>
      </c>
      <c r="Q1703" s="472">
        <f t="shared" si="20"/>
        <v>-1.2500000000000001E-2</v>
      </c>
      <c r="R1703" s="473">
        <f t="shared" si="21"/>
        <v>2</v>
      </c>
      <c r="S1703" s="467"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89"/>
      <c r="U1703" s="489"/>
      <c r="V1703" s="450"/>
      <c r="W1703" s="450"/>
      <c r="X1703" s="450"/>
      <c r="Y1703" s="450"/>
      <c r="Z1703" s="450"/>
    </row>
    <row r="1704" spans="1:26" x14ac:dyDescent="0.25">
      <c r="A1704" s="467" t="s">
        <v>1073</v>
      </c>
      <c r="B1704" s="467"/>
      <c r="C1704" s="467" t="s">
        <v>1074</v>
      </c>
      <c r="D1704" s="467" t="s">
        <v>1075</v>
      </c>
      <c r="E1704" s="468">
        <v>32920</v>
      </c>
      <c r="F1704" s="468">
        <v>32920</v>
      </c>
      <c r="G1704" s="467" t="s">
        <v>1076</v>
      </c>
      <c r="H1704" s="467" t="s">
        <v>353</v>
      </c>
      <c r="I1704" s="467" t="s">
        <v>722</v>
      </c>
      <c r="J1704" s="467" t="s">
        <v>1077</v>
      </c>
      <c r="K1704" s="469" t="str">
        <f>HYPERLINK("https://okcountyrecords.com/detail/roger+mills/1990-000905","OKCountyRecords: 1990-000905")</f>
        <v>OKCountyRecords: 1990-000905</v>
      </c>
      <c r="L1704" s="467">
        <v>2</v>
      </c>
      <c r="M1704" s="467" t="s">
        <v>404</v>
      </c>
      <c r="N1704" s="470">
        <f t="shared" ref="N1704:N1712" si="24">3.33333/791.47</f>
        <v>4.2115683475052752E-3</v>
      </c>
      <c r="O1704" s="471">
        <f t="shared" si="18"/>
        <v>160</v>
      </c>
      <c r="P1704" s="472">
        <f t="shared" si="19"/>
        <v>4.2115683475052752E-3</v>
      </c>
      <c r="Q1704" s="472">
        <f t="shared" si="20"/>
        <v>-4.2115683475052752E-3</v>
      </c>
      <c r="R1704" s="473">
        <f t="shared" si="21"/>
        <v>0.67385093560084397</v>
      </c>
      <c r="S1704" s="467"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89"/>
      <c r="U1704" s="489"/>
      <c r="V1704" s="450"/>
      <c r="W1704" s="450"/>
      <c r="X1704" s="450"/>
      <c r="Y1704" s="450"/>
      <c r="Z1704" s="450"/>
    </row>
    <row r="1705" spans="1:26" x14ac:dyDescent="0.25">
      <c r="A1705" s="467" t="s">
        <v>1078</v>
      </c>
      <c r="B1705" s="467"/>
      <c r="C1705" s="467" t="s">
        <v>1074</v>
      </c>
      <c r="D1705" s="467" t="s">
        <v>1079</v>
      </c>
      <c r="E1705" s="468">
        <v>32920</v>
      </c>
      <c r="F1705" s="468">
        <v>32920</v>
      </c>
      <c r="G1705" s="467" t="s">
        <v>1076</v>
      </c>
      <c r="H1705" s="467" t="s">
        <v>1080</v>
      </c>
      <c r="I1705" s="467" t="s">
        <v>722</v>
      </c>
      <c r="J1705" s="467" t="s">
        <v>1077</v>
      </c>
      <c r="K1705" s="469" t="str">
        <f>HYPERLINK("https://okcountyrecords.com/detail/roger+mills/1990-000906","OKCountyRecords: 1990-000906")</f>
        <v>OKCountyRecords: 1990-000906</v>
      </c>
      <c r="L1705" s="467">
        <v>2</v>
      </c>
      <c r="M1705" s="467" t="s">
        <v>404</v>
      </c>
      <c r="N1705" s="470">
        <f t="shared" si="24"/>
        <v>4.2115683475052752E-3</v>
      </c>
      <c r="O1705" s="471">
        <f t="shared" si="18"/>
        <v>160</v>
      </c>
      <c r="P1705" s="472">
        <f t="shared" si="19"/>
        <v>4.2115683475052752E-3</v>
      </c>
      <c r="Q1705" s="472">
        <f t="shared" si="20"/>
        <v>-4.2115683475052752E-3</v>
      </c>
      <c r="R1705" s="473">
        <f t="shared" si="21"/>
        <v>0.67385093560084397</v>
      </c>
      <c r="S1705" s="467" t="str">
        <f t="shared" si="25"/>
        <v>Mineral; basis Conv Amt(dec). Gross=tract-map basis.</v>
      </c>
      <c r="T1705" s="489"/>
      <c r="U1705" s="489"/>
      <c r="V1705" s="450"/>
      <c r="W1705" s="450"/>
      <c r="X1705" s="450"/>
      <c r="Y1705" s="450"/>
      <c r="Z1705" s="450"/>
    </row>
    <row r="1706" spans="1:26" x14ac:dyDescent="0.25">
      <c r="A1706" s="467" t="s">
        <v>1081</v>
      </c>
      <c r="B1706" s="467"/>
      <c r="C1706" s="467" t="s">
        <v>1074</v>
      </c>
      <c r="D1706" s="467" t="s">
        <v>1082</v>
      </c>
      <c r="E1706" s="468">
        <v>32920</v>
      </c>
      <c r="F1706" s="468">
        <v>32920</v>
      </c>
      <c r="G1706" s="467" t="s">
        <v>1076</v>
      </c>
      <c r="H1706" s="467" t="s">
        <v>726</v>
      </c>
      <c r="I1706" s="467" t="s">
        <v>722</v>
      </c>
      <c r="J1706" s="467" t="s">
        <v>1077</v>
      </c>
      <c r="K1706" s="469" t="str">
        <f>HYPERLINK("https://okcountyrecords.com/detail/roger+mills/1990-000907","OKCountyRecords: 1990-000907")</f>
        <v>OKCountyRecords: 1990-000907</v>
      </c>
      <c r="L1706" s="467">
        <v>2</v>
      </c>
      <c r="M1706" s="467" t="s">
        <v>404</v>
      </c>
      <c r="N1706" s="470">
        <f t="shared" si="24"/>
        <v>4.2115683475052752E-3</v>
      </c>
      <c r="O1706" s="471">
        <f t="shared" si="18"/>
        <v>160</v>
      </c>
      <c r="P1706" s="472">
        <f t="shared" si="19"/>
        <v>4.2115683475052752E-3</v>
      </c>
      <c r="Q1706" s="472">
        <f t="shared" si="20"/>
        <v>-4.2115683475052752E-3</v>
      </c>
      <c r="R1706" s="473">
        <f t="shared" si="21"/>
        <v>0.67385093560084397</v>
      </c>
      <c r="S1706" s="467" t="str">
        <f t="shared" si="25"/>
        <v>Mineral; basis Conv Amt(dec). Gross=tract-map basis.</v>
      </c>
      <c r="T1706" s="489"/>
      <c r="U1706" s="489"/>
      <c r="V1706" s="450"/>
      <c r="W1706" s="450"/>
      <c r="X1706" s="450"/>
      <c r="Y1706" s="450"/>
      <c r="Z1706" s="450"/>
    </row>
    <row r="1707" spans="1:26" x14ac:dyDescent="0.25">
      <c r="A1707" s="467" t="s">
        <v>1083</v>
      </c>
      <c r="B1707" s="467"/>
      <c r="C1707" s="467" t="s">
        <v>1074</v>
      </c>
      <c r="D1707" s="467" t="s">
        <v>1084</v>
      </c>
      <c r="E1707" s="468">
        <v>32920</v>
      </c>
      <c r="F1707" s="468">
        <v>32920</v>
      </c>
      <c r="G1707" s="467" t="s">
        <v>1076</v>
      </c>
      <c r="H1707" s="467" t="s">
        <v>214</v>
      </c>
      <c r="I1707" s="467" t="s">
        <v>722</v>
      </c>
      <c r="J1707" s="467" t="s">
        <v>1077</v>
      </c>
      <c r="K1707" s="469" t="str">
        <f>HYPERLINK("https://okcountyrecords.com/detail/roger+mills/1990-000908","OKCountyRecords: 1990-000908")</f>
        <v>OKCountyRecords: 1990-000908</v>
      </c>
      <c r="L1707" s="467">
        <v>2</v>
      </c>
      <c r="M1707" s="467" t="s">
        <v>404</v>
      </c>
      <c r="N1707" s="470">
        <f t="shared" si="24"/>
        <v>4.2115683475052752E-3</v>
      </c>
      <c r="O1707" s="471">
        <f t="shared" si="18"/>
        <v>160</v>
      </c>
      <c r="P1707" s="472">
        <f t="shared" si="19"/>
        <v>4.2115683475052752E-3</v>
      </c>
      <c r="Q1707" s="472">
        <f t="shared" si="20"/>
        <v>-4.2115683475052752E-3</v>
      </c>
      <c r="R1707" s="473">
        <f t="shared" si="21"/>
        <v>0.67385093560084397</v>
      </c>
      <c r="S1707" s="467" t="str">
        <f t="shared" si="25"/>
        <v>Mineral; basis Conv Amt(dec). Gross=tract-map basis.</v>
      </c>
      <c r="T1707" s="489"/>
      <c r="U1707" s="489"/>
      <c r="V1707" s="450"/>
      <c r="W1707" s="450"/>
      <c r="X1707" s="450"/>
      <c r="Y1707" s="450"/>
      <c r="Z1707" s="450"/>
    </row>
    <row r="1708" spans="1:26" x14ac:dyDescent="0.25">
      <c r="A1708" s="467" t="s">
        <v>1085</v>
      </c>
      <c r="B1708" s="467"/>
      <c r="C1708" s="467" t="s">
        <v>1074</v>
      </c>
      <c r="D1708" s="467" t="s">
        <v>1086</v>
      </c>
      <c r="E1708" s="468">
        <v>32920</v>
      </c>
      <c r="F1708" s="468">
        <v>32920</v>
      </c>
      <c r="G1708" s="467" t="s">
        <v>1076</v>
      </c>
      <c r="H1708" s="467" t="s">
        <v>721</v>
      </c>
      <c r="I1708" s="467" t="s">
        <v>722</v>
      </c>
      <c r="J1708" s="467" t="s">
        <v>1077</v>
      </c>
      <c r="K1708" s="469" t="str">
        <f>HYPERLINK("https://okcountyrecords.com/detail/roger+mills/1990-000909","OKCountyRecords: 1990-000909")</f>
        <v>OKCountyRecords: 1990-000909</v>
      </c>
      <c r="L1708" s="467">
        <v>2</v>
      </c>
      <c r="M1708" s="467" t="s">
        <v>404</v>
      </c>
      <c r="N1708" s="470">
        <f t="shared" si="24"/>
        <v>4.2115683475052752E-3</v>
      </c>
      <c r="O1708" s="471">
        <f t="shared" si="18"/>
        <v>160</v>
      </c>
      <c r="P1708" s="472">
        <f t="shared" si="19"/>
        <v>4.2115683475052752E-3</v>
      </c>
      <c r="Q1708" s="472">
        <f t="shared" si="20"/>
        <v>-4.2115683475052752E-3</v>
      </c>
      <c r="R1708" s="473">
        <f t="shared" si="21"/>
        <v>0.67385093560084397</v>
      </c>
      <c r="S1708" s="467" t="str">
        <f t="shared" si="25"/>
        <v>Mineral; basis Conv Amt(dec). Gross=tract-map basis.</v>
      </c>
      <c r="T1708" s="489"/>
      <c r="U1708" s="489"/>
      <c r="V1708" s="450"/>
      <c r="W1708" s="450"/>
      <c r="X1708" s="450"/>
      <c r="Y1708" s="450"/>
      <c r="Z1708" s="450"/>
    </row>
    <row r="1709" spans="1:26" x14ac:dyDescent="0.25">
      <c r="A1709" s="467" t="s">
        <v>1087</v>
      </c>
      <c r="B1709" s="467"/>
      <c r="C1709" s="467" t="s">
        <v>1074</v>
      </c>
      <c r="D1709" s="467" t="s">
        <v>1088</v>
      </c>
      <c r="E1709" s="468">
        <v>32920</v>
      </c>
      <c r="F1709" s="468">
        <v>32920</v>
      </c>
      <c r="G1709" s="467" t="s">
        <v>1076</v>
      </c>
      <c r="H1709" s="467" t="s">
        <v>731</v>
      </c>
      <c r="I1709" s="467" t="s">
        <v>722</v>
      </c>
      <c r="J1709" s="467" t="s">
        <v>1077</v>
      </c>
      <c r="K1709" s="469" t="str">
        <f>HYPERLINK("https://okcountyrecords.com/detail/roger+mills/1990-000910","OKCountyRecords: 1990-000910")</f>
        <v>OKCountyRecords: 1990-000910</v>
      </c>
      <c r="L1709" s="467">
        <v>2</v>
      </c>
      <c r="M1709" s="467" t="s">
        <v>404</v>
      </c>
      <c r="N1709" s="470">
        <f t="shared" si="24"/>
        <v>4.2115683475052752E-3</v>
      </c>
      <c r="O1709" s="471">
        <f t="shared" si="18"/>
        <v>160</v>
      </c>
      <c r="P1709" s="472">
        <f t="shared" si="19"/>
        <v>4.2115683475052752E-3</v>
      </c>
      <c r="Q1709" s="472">
        <f t="shared" si="20"/>
        <v>-4.2115683475052752E-3</v>
      </c>
      <c r="R1709" s="473">
        <f t="shared" si="21"/>
        <v>0.67385093560084397</v>
      </c>
      <c r="S1709" s="467" t="str">
        <f t="shared" si="25"/>
        <v>Mineral; basis Conv Amt(dec). Gross=tract-map basis.</v>
      </c>
      <c r="T1709" s="489"/>
      <c r="U1709" s="489"/>
      <c r="V1709" s="450"/>
      <c r="W1709" s="450"/>
      <c r="X1709" s="450"/>
      <c r="Y1709" s="450"/>
      <c r="Z1709" s="450"/>
    </row>
    <row r="1710" spans="1:26" x14ac:dyDescent="0.25">
      <c r="A1710" s="467" t="s">
        <v>1089</v>
      </c>
      <c r="B1710" s="467"/>
      <c r="C1710" s="467" t="s">
        <v>1074</v>
      </c>
      <c r="D1710" s="467" t="s">
        <v>1090</v>
      </c>
      <c r="E1710" s="468">
        <v>32920</v>
      </c>
      <c r="F1710" s="468">
        <v>32920</v>
      </c>
      <c r="G1710" s="467" t="s">
        <v>1076</v>
      </c>
      <c r="H1710" s="467" t="s">
        <v>739</v>
      </c>
      <c r="I1710" s="467" t="s">
        <v>722</v>
      </c>
      <c r="J1710" s="467" t="s">
        <v>1077</v>
      </c>
      <c r="K1710" s="469" t="str">
        <f>HYPERLINK("https://okcountyrecords.com/detail/roger+mills/1990-000911","OKCountyRecords: 1990-000911")</f>
        <v>OKCountyRecords: 1990-000911</v>
      </c>
      <c r="L1710" s="467">
        <v>2</v>
      </c>
      <c r="M1710" s="467" t="s">
        <v>404</v>
      </c>
      <c r="N1710" s="470">
        <f t="shared" si="24"/>
        <v>4.2115683475052752E-3</v>
      </c>
      <c r="O1710" s="471">
        <f t="shared" si="18"/>
        <v>160</v>
      </c>
      <c r="P1710" s="472">
        <f t="shared" si="19"/>
        <v>4.2115683475052752E-3</v>
      </c>
      <c r="Q1710" s="472">
        <f t="shared" si="20"/>
        <v>-4.2115683475052752E-3</v>
      </c>
      <c r="R1710" s="473">
        <f t="shared" si="21"/>
        <v>0.67385093560084397</v>
      </c>
      <c r="S1710" s="467" t="str">
        <f t="shared" si="25"/>
        <v>Mineral; basis Conv Amt(dec). Gross=tract-map basis.</v>
      </c>
      <c r="T1710" s="489"/>
      <c r="U1710" s="489"/>
      <c r="V1710" s="450"/>
      <c r="W1710" s="450"/>
      <c r="X1710" s="450"/>
      <c r="Y1710" s="450"/>
      <c r="Z1710" s="450"/>
    </row>
    <row r="1711" spans="1:26" x14ac:dyDescent="0.25">
      <c r="A1711" s="467" t="s">
        <v>1091</v>
      </c>
      <c r="B1711" s="467"/>
      <c r="C1711" s="467" t="s">
        <v>1074</v>
      </c>
      <c r="D1711" s="467" t="s">
        <v>1092</v>
      </c>
      <c r="E1711" s="468">
        <v>32920</v>
      </c>
      <c r="F1711" s="468">
        <v>32920</v>
      </c>
      <c r="G1711" s="467" t="s">
        <v>1076</v>
      </c>
      <c r="H1711" s="467" t="s">
        <v>234</v>
      </c>
      <c r="I1711" s="467" t="s">
        <v>722</v>
      </c>
      <c r="J1711" s="467" t="s">
        <v>1077</v>
      </c>
      <c r="K1711" s="469" t="str">
        <f>HYPERLINK("https://okcountyrecords.com/detail/roger+mills/1990-000912","OKCountyRecords: 1990-000912")</f>
        <v>OKCountyRecords: 1990-000912</v>
      </c>
      <c r="L1711" s="467">
        <v>2</v>
      </c>
      <c r="M1711" s="467" t="s">
        <v>404</v>
      </c>
      <c r="N1711" s="470">
        <f t="shared" si="24"/>
        <v>4.2115683475052752E-3</v>
      </c>
      <c r="O1711" s="471">
        <f t="shared" si="18"/>
        <v>160</v>
      </c>
      <c r="P1711" s="472">
        <f t="shared" si="19"/>
        <v>4.2115683475052752E-3</v>
      </c>
      <c r="Q1711" s="472">
        <f t="shared" si="20"/>
        <v>-4.2115683475052752E-3</v>
      </c>
      <c r="R1711" s="473">
        <f t="shared" si="21"/>
        <v>0.67385093560084397</v>
      </c>
      <c r="S1711" s="467" t="str">
        <f t="shared" si="25"/>
        <v>Mineral; basis Conv Amt(dec). Gross=tract-map basis.</v>
      </c>
      <c r="T1711" s="489"/>
      <c r="U1711" s="489"/>
      <c r="V1711" s="450"/>
      <c r="W1711" s="450"/>
      <c r="X1711" s="450"/>
      <c r="Y1711" s="450"/>
      <c r="Z1711" s="450"/>
    </row>
    <row r="1712" spans="1:26" x14ac:dyDescent="0.25">
      <c r="A1712" s="467" t="s">
        <v>1093</v>
      </c>
      <c r="B1712" s="467"/>
      <c r="C1712" s="467" t="s">
        <v>1074</v>
      </c>
      <c r="D1712" s="467" t="s">
        <v>1094</v>
      </c>
      <c r="E1712" s="468">
        <v>32920</v>
      </c>
      <c r="F1712" s="468">
        <v>32920</v>
      </c>
      <c r="G1712" s="467" t="s">
        <v>1076</v>
      </c>
      <c r="H1712" s="467" t="s">
        <v>355</v>
      </c>
      <c r="I1712" s="467" t="s">
        <v>722</v>
      </c>
      <c r="J1712" s="467" t="s">
        <v>1077</v>
      </c>
      <c r="K1712" s="469" t="str">
        <f>HYPERLINK("https://okcountyrecords.com/detail/roger+mills/1990-000913","OKCountyRecords: 1990-000913")</f>
        <v>OKCountyRecords: 1990-000913</v>
      </c>
      <c r="L1712" s="467">
        <v>2</v>
      </c>
      <c r="M1712" s="467" t="s">
        <v>404</v>
      </c>
      <c r="N1712" s="470">
        <f t="shared" si="24"/>
        <v>4.2115683475052752E-3</v>
      </c>
      <c r="O1712" s="471">
        <f t="shared" si="18"/>
        <v>160</v>
      </c>
      <c r="P1712" s="472">
        <f t="shared" si="19"/>
        <v>4.2115683475052752E-3</v>
      </c>
      <c r="Q1712" s="472">
        <f t="shared" si="20"/>
        <v>-4.2115683475052752E-3</v>
      </c>
      <c r="R1712" s="473">
        <f t="shared" si="21"/>
        <v>0.67385093560084397</v>
      </c>
      <c r="S1712" s="467" t="str">
        <f t="shared" si="25"/>
        <v>Mineral; basis Conv Amt(dec). Gross=tract-map basis.</v>
      </c>
      <c r="T1712" s="490"/>
      <c r="U1712" s="490"/>
      <c r="V1712" s="450"/>
      <c r="W1712" s="450"/>
      <c r="X1712" s="450"/>
      <c r="Y1712" s="450"/>
      <c r="Z1712" s="450"/>
    </row>
    <row r="1713" spans="1:26" x14ac:dyDescent="0.25">
      <c r="A1713" s="467" t="s">
        <v>1095</v>
      </c>
      <c r="B1713" s="467"/>
      <c r="C1713" s="467" t="s">
        <v>550</v>
      </c>
      <c r="D1713" s="467" t="s">
        <v>1096</v>
      </c>
      <c r="E1713" s="468">
        <v>32952</v>
      </c>
      <c r="F1713" s="468">
        <v>32952</v>
      </c>
      <c r="G1713" s="467" t="s">
        <v>1097</v>
      </c>
      <c r="H1713" s="467" t="s">
        <v>1098</v>
      </c>
      <c r="I1713" s="467" t="s">
        <v>722</v>
      </c>
      <c r="J1713" s="467" t="s">
        <v>63</v>
      </c>
      <c r="K1713" s="469" t="str">
        <f>HYPERLINK("https://okcountyrecords.com/detail/roger+mills/1990-001592","OKCountyRecords: 1990-001592")</f>
        <v>OKCountyRecords: 1990-001592</v>
      </c>
      <c r="L1713" s="467">
        <v>2</v>
      </c>
      <c r="M1713" s="467" t="s">
        <v>404</v>
      </c>
      <c r="N1713" s="470">
        <v>1</v>
      </c>
      <c r="O1713" s="471">
        <f t="shared" si="18"/>
        <v>160</v>
      </c>
      <c r="P1713" s="472">
        <f t="shared" si="19"/>
        <v>1</v>
      </c>
      <c r="Q1713" s="472">
        <f t="shared" si="20"/>
        <v>-1</v>
      </c>
      <c r="R1713" s="473">
        <f t="shared" si="21"/>
        <v>160</v>
      </c>
      <c r="S1713" s="467" t="str">
        <f t="shared" si="25"/>
        <v>Mineral; basis Conv Amt(dec). Gross=tract-map basis.</v>
      </c>
      <c r="T1713" s="490"/>
      <c r="U1713" s="490"/>
      <c r="V1713" s="450"/>
      <c r="W1713" s="450"/>
      <c r="X1713" s="450"/>
      <c r="Y1713" s="450"/>
      <c r="Z1713" s="450"/>
    </row>
    <row r="1714" spans="1:26" x14ac:dyDescent="0.25">
      <c r="A1714" s="467" t="s">
        <v>1099</v>
      </c>
      <c r="B1714" s="467"/>
      <c r="C1714" s="467" t="s">
        <v>619</v>
      </c>
      <c r="D1714" s="467" t="s">
        <v>1100</v>
      </c>
      <c r="E1714" s="468">
        <v>32957</v>
      </c>
      <c r="F1714" s="468">
        <v>32957</v>
      </c>
      <c r="G1714" s="467" t="s">
        <v>1069</v>
      </c>
      <c r="H1714" s="467" t="s">
        <v>351</v>
      </c>
      <c r="I1714" s="467" t="s">
        <v>722</v>
      </c>
      <c r="J1714" s="467" t="s">
        <v>1070</v>
      </c>
      <c r="K1714" s="469" t="str">
        <f>HYPERLINK("https://okcountyrecords.com/detail/roger+mills/1990-001689","OKCountyRecords: 1990-001689")</f>
        <v>OKCountyRecords: 1990-001689</v>
      </c>
      <c r="L1714" s="467">
        <v>2</v>
      </c>
      <c r="M1714" s="467" t="s">
        <v>404</v>
      </c>
      <c r="N1714" s="470">
        <f>2/160</f>
        <v>1.2500000000000001E-2</v>
      </c>
      <c r="O1714" s="471">
        <f t="shared" si="18"/>
        <v>160</v>
      </c>
      <c r="P1714" s="472">
        <f t="shared" si="19"/>
        <v>1.2500000000000001E-2</v>
      </c>
      <c r="Q1714" s="472">
        <f t="shared" si="20"/>
        <v>-1.2500000000000001E-2</v>
      </c>
      <c r="R1714" s="473">
        <f t="shared" si="21"/>
        <v>2</v>
      </c>
      <c r="S1714" s="467"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90"/>
      <c r="U1714" s="490"/>
      <c r="V1714" s="450"/>
      <c r="W1714" s="450"/>
      <c r="X1714" s="450"/>
      <c r="Y1714" s="450"/>
      <c r="Z1714" s="450"/>
    </row>
    <row r="1715" spans="1:26" x14ac:dyDescent="0.25">
      <c r="A1715" s="467" t="s">
        <v>1101</v>
      </c>
      <c r="B1715" s="467"/>
      <c r="C1715" s="467" t="s">
        <v>619</v>
      </c>
      <c r="D1715" s="467" t="s">
        <v>1102</v>
      </c>
      <c r="E1715" s="468">
        <v>32957</v>
      </c>
      <c r="F1715" s="468">
        <v>32957</v>
      </c>
      <c r="G1715" s="467" t="s">
        <v>1069</v>
      </c>
      <c r="H1715" s="467" t="s">
        <v>348</v>
      </c>
      <c r="I1715" s="467" t="s">
        <v>722</v>
      </c>
      <c r="J1715" s="467" t="s">
        <v>1070</v>
      </c>
      <c r="K1715" s="469" t="str">
        <f>HYPERLINK("https://okcountyrecords.com/detail/roger+mills/1990-001690","OKCountyRecords: 1990-001690")</f>
        <v>OKCountyRecords: 1990-001690</v>
      </c>
      <c r="L1715" s="467">
        <v>2</v>
      </c>
      <c r="M1715" s="467" t="s">
        <v>404</v>
      </c>
      <c r="N1715" s="470">
        <f>2/160</f>
        <v>1.2500000000000001E-2</v>
      </c>
      <c r="O1715" s="471">
        <f t="shared" si="18"/>
        <v>160</v>
      </c>
      <c r="P1715" s="472">
        <f t="shared" si="19"/>
        <v>1.2500000000000001E-2</v>
      </c>
      <c r="Q1715" s="472">
        <f t="shared" si="20"/>
        <v>-1.2500000000000001E-2</v>
      </c>
      <c r="R1715" s="473">
        <f t="shared" si="21"/>
        <v>2</v>
      </c>
      <c r="S1715" s="467"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90"/>
      <c r="U1715" s="490"/>
      <c r="V1715" s="450"/>
      <c r="W1715" s="450"/>
      <c r="X1715" s="450"/>
      <c r="Y1715" s="450"/>
      <c r="Z1715" s="450"/>
    </row>
    <row r="1716" spans="1:26" x14ac:dyDescent="0.25">
      <c r="A1716" s="467" t="s">
        <v>1103</v>
      </c>
      <c r="B1716" s="467"/>
      <c r="C1716" s="467" t="s">
        <v>619</v>
      </c>
      <c r="D1716" s="467" t="s">
        <v>1104</v>
      </c>
      <c r="E1716" s="468">
        <v>32960</v>
      </c>
      <c r="F1716" s="468">
        <v>32960</v>
      </c>
      <c r="G1716" s="467" t="s">
        <v>1048</v>
      </c>
      <c r="H1716" s="467" t="s">
        <v>1105</v>
      </c>
      <c r="I1716" s="467" t="s">
        <v>722</v>
      </c>
      <c r="J1716" s="467" t="s">
        <v>63</v>
      </c>
      <c r="K1716" s="469" t="str">
        <f>HYPERLINK("https://okcountyrecords.com/detail/roger+mills/1990-001750","OKCountyRecords: 1990-001750")</f>
        <v>OKCountyRecords: 1990-001750</v>
      </c>
      <c r="L1716" s="467">
        <v>2</v>
      </c>
      <c r="M1716" s="467" t="s">
        <v>404</v>
      </c>
      <c r="N1716" s="470">
        <v>1</v>
      </c>
      <c r="O1716" s="471">
        <f t="shared" si="18"/>
        <v>160</v>
      </c>
      <c r="P1716" s="472">
        <f t="shared" si="19"/>
        <v>1</v>
      </c>
      <c r="Q1716" s="472">
        <f t="shared" si="20"/>
        <v>-1</v>
      </c>
      <c r="R1716" s="473">
        <f t="shared" si="21"/>
        <v>160</v>
      </c>
      <c r="S1716" s="467"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90"/>
      <c r="U1716" s="490"/>
      <c r="V1716" s="450"/>
      <c r="W1716" s="450"/>
      <c r="X1716" s="450"/>
      <c r="Y1716" s="450"/>
      <c r="Z1716" s="450"/>
    </row>
    <row r="1717" spans="1:26" x14ac:dyDescent="0.25">
      <c r="A1717" s="467" t="s">
        <v>1106</v>
      </c>
      <c r="B1717" s="467"/>
      <c r="C1717" s="467" t="s">
        <v>1107</v>
      </c>
      <c r="D1717" s="467" t="s">
        <v>1108</v>
      </c>
      <c r="E1717" s="468">
        <v>32969</v>
      </c>
      <c r="F1717" s="468">
        <v>32969</v>
      </c>
      <c r="G1717" s="467" t="s">
        <v>992</v>
      </c>
      <c r="H1717" s="467" t="s">
        <v>1109</v>
      </c>
      <c r="I1717" s="467" t="s">
        <v>579</v>
      </c>
      <c r="J1717" s="467" t="s">
        <v>1110</v>
      </c>
      <c r="K1717" s="469" t="str">
        <f>HYPERLINK("https://okcountyrecords.com/detail/roger+mills/1990-001992","OKCountyRecords: 1990-001992")</f>
        <v>OKCountyRecords: 1990-001992</v>
      </c>
      <c r="L1717" s="467">
        <v>5</v>
      </c>
      <c r="M1717" s="467" t="s">
        <v>404</v>
      </c>
      <c r="N1717" s="470"/>
      <c r="O1717" s="471">
        <f t="shared" si="18"/>
        <v>120</v>
      </c>
      <c r="P1717" s="472" t="str">
        <f t="shared" si="19"/>
        <v/>
      </c>
      <c r="Q1717" s="472" t="str">
        <f t="shared" si="20"/>
        <v/>
      </c>
      <c r="R1717" s="473" t="str">
        <f t="shared" si="21"/>
        <v/>
      </c>
      <c r="S1717" s="467"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90"/>
      <c r="U1717" s="490"/>
      <c r="V1717" s="450"/>
      <c r="W1717" s="450"/>
      <c r="X1717" s="450"/>
      <c r="Y1717" s="450"/>
      <c r="Z1717" s="450"/>
    </row>
    <row r="1718" spans="1:26" x14ac:dyDescent="0.25">
      <c r="A1718" s="467" t="s">
        <v>1111</v>
      </c>
      <c r="B1718" s="467"/>
      <c r="C1718" s="467" t="s">
        <v>1112</v>
      </c>
      <c r="D1718" s="467" t="s">
        <v>1113</v>
      </c>
      <c r="E1718" s="468">
        <v>32969</v>
      </c>
      <c r="F1718" s="468">
        <v>32969</v>
      </c>
      <c r="G1718" s="467" t="s">
        <v>992</v>
      </c>
      <c r="H1718" s="467" t="s">
        <v>1114</v>
      </c>
      <c r="I1718" s="467" t="s">
        <v>579</v>
      </c>
      <c r="J1718" s="467" t="s">
        <v>1110</v>
      </c>
      <c r="K1718" s="469" t="str">
        <f>HYPERLINK("https://okcountyrecords.com/detail/roger+mills/1990-001987","OKCountyRecords: 1990-001987")</f>
        <v>OKCountyRecords: 1990-001987</v>
      </c>
      <c r="L1718" s="467">
        <v>5</v>
      </c>
      <c r="M1718" s="467" t="s">
        <v>404</v>
      </c>
      <c r="N1718" s="470"/>
      <c r="O1718" s="471">
        <f t="shared" si="18"/>
        <v>120</v>
      </c>
      <c r="P1718" s="472" t="str">
        <f t="shared" si="19"/>
        <v/>
      </c>
      <c r="Q1718" s="472" t="str">
        <f t="shared" si="20"/>
        <v/>
      </c>
      <c r="R1718" s="473" t="str">
        <f t="shared" si="21"/>
        <v/>
      </c>
      <c r="S1718" s="467"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90"/>
      <c r="U1718" s="490"/>
      <c r="V1718" s="450"/>
      <c r="W1718" s="450"/>
      <c r="X1718" s="450"/>
      <c r="Y1718" s="450"/>
      <c r="Z1718" s="450"/>
    </row>
    <row r="1719" spans="1:26" x14ac:dyDescent="0.25">
      <c r="A1719" s="467" t="s">
        <v>1115</v>
      </c>
      <c r="B1719" s="467"/>
      <c r="C1719" s="467" t="s">
        <v>585</v>
      </c>
      <c r="D1719" s="467" t="s">
        <v>1116</v>
      </c>
      <c r="E1719" s="468">
        <v>32969</v>
      </c>
      <c r="F1719" s="468">
        <v>32969</v>
      </c>
      <c r="G1719" s="467" t="s">
        <v>992</v>
      </c>
      <c r="H1719" s="467" t="s">
        <v>993</v>
      </c>
      <c r="I1719" s="467" t="s">
        <v>579</v>
      </c>
      <c r="J1719" s="467" t="s">
        <v>1110</v>
      </c>
      <c r="K1719" s="469" t="str">
        <f>HYPERLINK("https://okcountyrecords.com/detail/roger+mills/1990-001996","OKCountyRecords: 1990-001996")</f>
        <v>OKCountyRecords: 1990-001996</v>
      </c>
      <c r="L1719" s="467">
        <v>5</v>
      </c>
      <c r="M1719" s="467" t="s">
        <v>404</v>
      </c>
      <c r="N1719" s="470">
        <f>7/48</f>
        <v>0.14583333333333334</v>
      </c>
      <c r="O1719" s="471">
        <f t="shared" si="18"/>
        <v>120</v>
      </c>
      <c r="P1719" s="472">
        <f t="shared" si="19"/>
        <v>0.14583333333333334</v>
      </c>
      <c r="Q1719" s="472">
        <f t="shared" si="20"/>
        <v>-0.14583333333333334</v>
      </c>
      <c r="R1719" s="473">
        <f t="shared" si="21"/>
        <v>17.5</v>
      </c>
      <c r="S1719" s="467"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90"/>
      <c r="U1719" s="490"/>
      <c r="V1719" s="450"/>
      <c r="W1719" s="450"/>
      <c r="X1719" s="450"/>
      <c r="Y1719" s="450"/>
      <c r="Z1719" s="450"/>
    </row>
    <row r="1720" spans="1:26" x14ac:dyDescent="0.25">
      <c r="A1720" s="467" t="s">
        <v>1117</v>
      </c>
      <c r="B1720" s="467"/>
      <c r="C1720" s="467" t="s">
        <v>1118</v>
      </c>
      <c r="D1720" s="467" t="s">
        <v>1119</v>
      </c>
      <c r="E1720" s="468">
        <v>32969</v>
      </c>
      <c r="F1720" s="468">
        <v>32969</v>
      </c>
      <c r="G1720" s="467" t="s">
        <v>992</v>
      </c>
      <c r="H1720" s="467" t="s">
        <v>102</v>
      </c>
      <c r="I1720" s="467" t="s">
        <v>579</v>
      </c>
      <c r="J1720" s="467" t="s">
        <v>1110</v>
      </c>
      <c r="K1720" s="469" t="str">
        <f>HYPERLINK("https://okcountyrecords.com/detail/roger+mills/1990-001986","OKCountyRecords: 1990-001986")</f>
        <v>OKCountyRecords: 1990-001986</v>
      </c>
      <c r="L1720" s="467">
        <v>5</v>
      </c>
      <c r="M1720" s="467" t="s">
        <v>404</v>
      </c>
      <c r="N1720" s="470"/>
      <c r="O1720" s="471">
        <f t="shared" si="18"/>
        <v>120</v>
      </c>
      <c r="P1720" s="472" t="str">
        <f t="shared" si="19"/>
        <v/>
      </c>
      <c r="Q1720" s="472" t="str">
        <f t="shared" si="20"/>
        <v/>
      </c>
      <c r="R1720" s="473" t="str">
        <f t="shared" si="21"/>
        <v/>
      </c>
      <c r="S1720" s="467" t="s">
        <v>412</v>
      </c>
      <c r="T1720" s="490" t="s">
        <v>467</v>
      </c>
      <c r="U1720" s="490" t="s">
        <v>1120</v>
      </c>
      <c r="V1720" s="450"/>
      <c r="W1720" s="450"/>
      <c r="X1720" s="450"/>
      <c r="Y1720" s="450"/>
      <c r="Z1720" s="450"/>
    </row>
    <row r="1721" spans="1:26" x14ac:dyDescent="0.25">
      <c r="A1721" s="467" t="s">
        <v>1121</v>
      </c>
      <c r="B1721" s="467"/>
      <c r="C1721" s="467" t="s">
        <v>1122</v>
      </c>
      <c r="D1721" s="467" t="s">
        <v>1123</v>
      </c>
      <c r="E1721" s="468">
        <v>32969</v>
      </c>
      <c r="F1721" s="468">
        <v>32969</v>
      </c>
      <c r="G1721" s="467" t="s">
        <v>992</v>
      </c>
      <c r="H1721" s="467" t="s">
        <v>1109</v>
      </c>
      <c r="I1721" s="467" t="s">
        <v>579</v>
      </c>
      <c r="J1721" s="467" t="s">
        <v>1110</v>
      </c>
      <c r="K1721" s="469" t="str">
        <f>HYPERLINK("https://okcountyrecords.com/detail/roger+mills/1990-001993","OKCountyRecords: 1990-001993")</f>
        <v>OKCountyRecords: 1990-001993</v>
      </c>
      <c r="L1721" s="467">
        <v>5</v>
      </c>
      <c r="M1721" s="467" t="s">
        <v>404</v>
      </c>
      <c r="N1721" s="470"/>
      <c r="O1721" s="471">
        <f t="shared" si="18"/>
        <v>120</v>
      </c>
      <c r="P1721" s="472" t="str">
        <f t="shared" si="19"/>
        <v/>
      </c>
      <c r="Q1721" s="472" t="str">
        <f t="shared" si="20"/>
        <v/>
      </c>
      <c r="R1721" s="473" t="str">
        <f t="shared" si="21"/>
        <v/>
      </c>
      <c r="S1721" s="467"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90"/>
      <c r="U1721" s="490"/>
      <c r="V1721" s="450"/>
      <c r="W1721" s="450"/>
      <c r="X1721" s="450"/>
      <c r="Y1721" s="450"/>
      <c r="Z1721" s="450"/>
    </row>
    <row r="1722" spans="1:26" x14ac:dyDescent="0.25">
      <c r="A1722" s="467" t="s">
        <v>1124</v>
      </c>
      <c r="B1722" s="467"/>
      <c r="C1722" s="467" t="s">
        <v>1125</v>
      </c>
      <c r="D1722" s="467" t="s">
        <v>1126</v>
      </c>
      <c r="E1722" s="468">
        <v>32969</v>
      </c>
      <c r="F1722" s="468">
        <v>32969</v>
      </c>
      <c r="G1722" s="467" t="s">
        <v>992</v>
      </c>
      <c r="H1722" s="467" t="s">
        <v>1109</v>
      </c>
      <c r="I1722" s="467" t="s">
        <v>579</v>
      </c>
      <c r="J1722" s="467" t="s">
        <v>1110</v>
      </c>
      <c r="K1722" s="469" t="str">
        <f>HYPERLINK("https://okcountyrecords.com/detail/roger+mills/1990-001991","OKCountyRecords: 1990-001991")</f>
        <v>OKCountyRecords: 1990-001991</v>
      </c>
      <c r="L1722" s="467">
        <v>5</v>
      </c>
      <c r="M1722" s="467" t="s">
        <v>404</v>
      </c>
      <c r="N1722" s="470"/>
      <c r="O1722" s="471">
        <f t="shared" si="18"/>
        <v>120</v>
      </c>
      <c r="P1722" s="472" t="str">
        <f t="shared" si="19"/>
        <v/>
      </c>
      <c r="Q1722" s="472" t="str">
        <f t="shared" si="20"/>
        <v/>
      </c>
      <c r="R1722" s="473" t="str">
        <f t="shared" si="21"/>
        <v/>
      </c>
      <c r="S1722" s="467"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90"/>
      <c r="U1722" s="490"/>
      <c r="V1722" s="450"/>
      <c r="W1722" s="450"/>
      <c r="X1722" s="450"/>
      <c r="Y1722" s="450"/>
      <c r="Z1722" s="450"/>
    </row>
    <row r="1723" spans="1:26" x14ac:dyDescent="0.25">
      <c r="A1723" s="467" t="s">
        <v>1127</v>
      </c>
      <c r="B1723" s="467"/>
      <c r="C1723" s="467" t="s">
        <v>1128</v>
      </c>
      <c r="D1723" s="467" t="s">
        <v>1129</v>
      </c>
      <c r="E1723" s="468">
        <v>32969</v>
      </c>
      <c r="F1723" s="468">
        <v>32969</v>
      </c>
      <c r="G1723" s="467" t="s">
        <v>1130</v>
      </c>
      <c r="H1723" s="467" t="s">
        <v>1131</v>
      </c>
      <c r="I1723" s="467" t="s">
        <v>1132</v>
      </c>
      <c r="J1723" s="467" t="s">
        <v>63</v>
      </c>
      <c r="K1723" s="469" t="str">
        <f>HYPERLINK("https://okcountyrecords.com/detail/roger+mills/1990-001925","OKCountyRecords: 1990-001925")</f>
        <v>OKCountyRecords: 1990-001925</v>
      </c>
      <c r="L1723" s="467" t="s">
        <v>625</v>
      </c>
      <c r="M1723" s="467" t="s">
        <v>404</v>
      </c>
      <c r="N1723" s="476">
        <v>1</v>
      </c>
      <c r="O1723" s="471">
        <f t="shared" si="18"/>
        <v>280</v>
      </c>
      <c r="P1723" s="472">
        <f t="shared" si="19"/>
        <v>1</v>
      </c>
      <c r="Q1723" s="472">
        <f t="shared" si="20"/>
        <v>-1</v>
      </c>
      <c r="R1723" s="473">
        <f t="shared" si="21"/>
        <v>280</v>
      </c>
      <c r="S1723" s="467"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90"/>
      <c r="U1723" s="490"/>
      <c r="V1723" s="450"/>
      <c r="W1723" s="450"/>
      <c r="X1723" s="450"/>
      <c r="Y1723" s="450"/>
      <c r="Z1723" s="450"/>
    </row>
    <row r="1724" spans="1:26" x14ac:dyDescent="0.25">
      <c r="A1724" s="467" t="s">
        <v>1133</v>
      </c>
      <c r="B1724" s="467"/>
      <c r="C1724" s="467" t="s">
        <v>1134</v>
      </c>
      <c r="D1724" s="467" t="s">
        <v>1135</v>
      </c>
      <c r="E1724" s="468">
        <v>32975</v>
      </c>
      <c r="F1724" s="468">
        <v>32975</v>
      </c>
      <c r="G1724" s="467" t="s">
        <v>1136</v>
      </c>
      <c r="H1724" s="467" t="s">
        <v>114</v>
      </c>
      <c r="I1724" s="467" t="s">
        <v>1132</v>
      </c>
      <c r="J1724" s="467" t="s">
        <v>63</v>
      </c>
      <c r="K1724" s="469" t="str">
        <f>HYPERLINK("https://okcountyrecords.com/detail/roger+mills/1990-002146","OKCountyRecords: 1990-002146")</f>
        <v>OKCountyRecords: 1990-002146</v>
      </c>
      <c r="L1724" s="467" t="s">
        <v>625</v>
      </c>
      <c r="M1724" s="467" t="s">
        <v>404</v>
      </c>
      <c r="N1724" s="476">
        <v>1</v>
      </c>
      <c r="O1724" s="471">
        <f t="shared" si="18"/>
        <v>280</v>
      </c>
      <c r="P1724" s="472">
        <f t="shared" si="19"/>
        <v>1</v>
      </c>
      <c r="Q1724" s="472">
        <f t="shared" si="20"/>
        <v>-1</v>
      </c>
      <c r="R1724" s="473">
        <f t="shared" si="21"/>
        <v>280</v>
      </c>
      <c r="S1724" s="467"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90"/>
      <c r="U1724" s="490"/>
      <c r="V1724" s="450"/>
      <c r="W1724" s="450"/>
      <c r="X1724" s="450"/>
      <c r="Y1724" s="450"/>
      <c r="Z1724" s="450"/>
    </row>
    <row r="1725" spans="1:26" x14ac:dyDescent="0.25">
      <c r="A1725" s="467" t="s">
        <v>1137</v>
      </c>
      <c r="B1725" s="467"/>
      <c r="C1725" s="467" t="s">
        <v>1134</v>
      </c>
      <c r="D1725" s="467" t="s">
        <v>1138</v>
      </c>
      <c r="E1725" s="468">
        <v>32993</v>
      </c>
      <c r="F1725" s="468">
        <v>32993</v>
      </c>
      <c r="G1725" s="467" t="s">
        <v>114</v>
      </c>
      <c r="H1725" s="467" t="s">
        <v>1139</v>
      </c>
      <c r="I1725" s="467" t="s">
        <v>1132</v>
      </c>
      <c r="J1725" s="467" t="s">
        <v>63</v>
      </c>
      <c r="K1725" s="469" t="str">
        <f>HYPERLINK("https://okcountyrecords.com/detail/roger+mills/1990-002451","OKCountyRecords: 1990-002451")</f>
        <v>OKCountyRecords: 1990-002451</v>
      </c>
      <c r="L1725" s="467" t="s">
        <v>625</v>
      </c>
      <c r="M1725" s="467" t="s">
        <v>404</v>
      </c>
      <c r="N1725" s="476">
        <v>1</v>
      </c>
      <c r="O1725" s="471">
        <f t="shared" si="18"/>
        <v>280</v>
      </c>
      <c r="P1725" s="472">
        <f t="shared" si="19"/>
        <v>1</v>
      </c>
      <c r="Q1725" s="472">
        <f t="shared" si="20"/>
        <v>-1</v>
      </c>
      <c r="R1725" s="473">
        <f t="shared" si="21"/>
        <v>280</v>
      </c>
      <c r="S1725" s="467"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90"/>
      <c r="U1725" s="490"/>
      <c r="V1725" s="450"/>
      <c r="W1725" s="450"/>
      <c r="X1725" s="450"/>
      <c r="Y1725" s="450"/>
      <c r="Z1725" s="450"/>
    </row>
    <row r="1726" spans="1:26" x14ac:dyDescent="0.25">
      <c r="A1726" s="467" t="s">
        <v>1140</v>
      </c>
      <c r="B1726" s="467"/>
      <c r="C1726" s="467" t="s">
        <v>619</v>
      </c>
      <c r="D1726" s="467" t="s">
        <v>1141</v>
      </c>
      <c r="E1726" s="468">
        <v>33000</v>
      </c>
      <c r="F1726" s="468">
        <v>33000</v>
      </c>
      <c r="G1726" s="467" t="s">
        <v>1142</v>
      </c>
      <c r="H1726" s="467" t="s">
        <v>1109</v>
      </c>
      <c r="I1726" s="467" t="s">
        <v>579</v>
      </c>
      <c r="J1726" s="467" t="s">
        <v>1143</v>
      </c>
      <c r="K1726" s="469" t="str">
        <f>HYPERLINK("https://okcountyrecords.com/detail/roger+mills/1990-002606","OKCountyRecords: 1990-002606")</f>
        <v>OKCountyRecords: 1990-002606</v>
      </c>
      <c r="L1726" s="467">
        <v>5</v>
      </c>
      <c r="M1726" s="467" t="s">
        <v>404</v>
      </c>
      <c r="N1726" s="470">
        <f>1/3</f>
        <v>0.33333333333333331</v>
      </c>
      <c r="O1726" s="471">
        <f t="shared" si="18"/>
        <v>120</v>
      </c>
      <c r="P1726" s="472">
        <f t="shared" si="19"/>
        <v>0.33333333333333331</v>
      </c>
      <c r="Q1726" s="472">
        <f t="shared" si="20"/>
        <v>-0.33333333333333331</v>
      </c>
      <c r="R1726" s="473">
        <f t="shared" si="21"/>
        <v>40</v>
      </c>
      <c r="S1726" s="467"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90"/>
      <c r="U1726" s="490"/>
      <c r="V1726" s="450"/>
      <c r="W1726" s="450"/>
      <c r="X1726" s="450"/>
      <c r="Y1726" s="450"/>
      <c r="Z1726" s="450"/>
    </row>
    <row r="1727" spans="1:26" x14ac:dyDescent="0.25">
      <c r="A1727" s="467" t="s">
        <v>1144</v>
      </c>
      <c r="B1727" s="467"/>
      <c r="C1727" s="467" t="s">
        <v>1134</v>
      </c>
      <c r="D1727" s="467" t="s">
        <v>1145</v>
      </c>
      <c r="E1727" s="468">
        <v>33025</v>
      </c>
      <c r="F1727" s="468">
        <v>33025</v>
      </c>
      <c r="G1727" s="467" t="s">
        <v>1131</v>
      </c>
      <c r="H1727" s="467" t="s">
        <v>114</v>
      </c>
      <c r="I1727" s="467" t="s">
        <v>1132</v>
      </c>
      <c r="J1727" s="467" t="s">
        <v>63</v>
      </c>
      <c r="K1727" s="469" t="str">
        <f>HYPERLINK("https://okcountyrecords.com/detail/roger+mills/1990-003160","OKCountyRecords: 1990-003160")</f>
        <v>OKCountyRecords: 1990-003160</v>
      </c>
      <c r="L1727" s="467" t="s">
        <v>625</v>
      </c>
      <c r="M1727" s="467" t="s">
        <v>404</v>
      </c>
      <c r="N1727" s="476">
        <v>1</v>
      </c>
      <c r="O1727" s="471">
        <f t="shared" si="18"/>
        <v>280</v>
      </c>
      <c r="P1727" s="472">
        <f t="shared" si="19"/>
        <v>1</v>
      </c>
      <c r="Q1727" s="472">
        <f t="shared" si="20"/>
        <v>-1</v>
      </c>
      <c r="R1727" s="473">
        <f t="shared" si="21"/>
        <v>280</v>
      </c>
      <c r="S1727" s="467"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90"/>
      <c r="U1727" s="490"/>
      <c r="V1727" s="450"/>
      <c r="W1727" s="450"/>
      <c r="X1727" s="450"/>
      <c r="Y1727" s="450"/>
      <c r="Z1727" s="450"/>
    </row>
    <row r="1728" spans="1:26" x14ac:dyDescent="0.25">
      <c r="A1728" s="467" t="s">
        <v>1146</v>
      </c>
      <c r="B1728" s="467"/>
      <c r="C1728" s="467" t="s">
        <v>1134</v>
      </c>
      <c r="D1728" s="467" t="s">
        <v>1147</v>
      </c>
      <c r="E1728" s="468">
        <v>33059</v>
      </c>
      <c r="F1728" s="468">
        <v>33059</v>
      </c>
      <c r="G1728" s="467" t="s">
        <v>114</v>
      </c>
      <c r="H1728" s="467" t="s">
        <v>1148</v>
      </c>
      <c r="I1728" s="467" t="s">
        <v>1132</v>
      </c>
      <c r="J1728" s="467" t="s">
        <v>63</v>
      </c>
      <c r="K1728" s="469" t="str">
        <f>HYPERLINK("https://okcountyrecords.com/detail/roger+mills/1990-003924","OKCountyRecords: 1990-003924")</f>
        <v>OKCountyRecords: 1990-003924</v>
      </c>
      <c r="L1728" s="467" t="s">
        <v>625</v>
      </c>
      <c r="M1728" s="467" t="s">
        <v>404</v>
      </c>
      <c r="N1728" s="476">
        <v>1</v>
      </c>
      <c r="O1728" s="471">
        <f t="shared" si="18"/>
        <v>280</v>
      </c>
      <c r="P1728" s="472">
        <f t="shared" si="19"/>
        <v>1</v>
      </c>
      <c r="Q1728" s="472">
        <f t="shared" si="20"/>
        <v>-1</v>
      </c>
      <c r="R1728" s="473">
        <f t="shared" si="21"/>
        <v>280</v>
      </c>
      <c r="S1728" s="467" t="str">
        <f t="shared" si="26"/>
        <v>Mineral; basis Conv Amt(dec). Gross=tract-map basis.</v>
      </c>
      <c r="T1728" s="490"/>
      <c r="U1728" s="490"/>
      <c r="V1728" s="450"/>
      <c r="W1728" s="450"/>
      <c r="X1728" s="450"/>
      <c r="Y1728" s="450"/>
      <c r="Z1728" s="450"/>
    </row>
    <row r="1729" spans="1:26" x14ac:dyDescent="0.25">
      <c r="A1729" s="467" t="s">
        <v>1149</v>
      </c>
      <c r="B1729" s="467"/>
      <c r="C1729" s="467" t="s">
        <v>533</v>
      </c>
      <c r="D1729" s="467" t="s">
        <v>1150</v>
      </c>
      <c r="E1729" s="468">
        <v>33073</v>
      </c>
      <c r="F1729" s="468">
        <v>33073</v>
      </c>
      <c r="G1729" s="467" t="s">
        <v>1151</v>
      </c>
      <c r="H1729" s="467" t="s">
        <v>1152</v>
      </c>
      <c r="I1729" s="467" t="s">
        <v>1153</v>
      </c>
      <c r="J1729" s="467" t="s">
        <v>63</v>
      </c>
      <c r="K1729" s="469" t="str">
        <f>HYPERLINK("https://okcountyrecords.com/detail/roger+mills/1990-004213","OKCountyRecords: 1990-004213")</f>
        <v>OKCountyRecords: 1990-004213</v>
      </c>
      <c r="L1729" s="467" t="s">
        <v>613</v>
      </c>
      <c r="M1729" s="467" t="s">
        <v>404</v>
      </c>
      <c r="N1729" s="470">
        <v>1</v>
      </c>
      <c r="O1729" s="471">
        <f t="shared" si="18"/>
        <v>440</v>
      </c>
      <c r="P1729" s="472">
        <f t="shared" si="19"/>
        <v>1</v>
      </c>
      <c r="Q1729" s="472">
        <f t="shared" si="20"/>
        <v>-1</v>
      </c>
      <c r="R1729" s="473">
        <f t="shared" si="21"/>
        <v>440</v>
      </c>
      <c r="S1729" s="467" t="str">
        <f t="shared" si="26"/>
        <v>Mineral; basis Conv Amt(dec). Gross=tract-map basis.</v>
      </c>
      <c r="T1729" s="490"/>
      <c r="U1729" s="490"/>
      <c r="V1729" s="450"/>
      <c r="W1729" s="450"/>
      <c r="X1729" s="450"/>
      <c r="Y1729" s="450"/>
      <c r="Z1729" s="450"/>
    </row>
    <row r="1730" spans="1:26" x14ac:dyDescent="0.25">
      <c r="A1730" s="467" t="s">
        <v>1154</v>
      </c>
      <c r="B1730" s="467"/>
      <c r="C1730" s="467" t="s">
        <v>619</v>
      </c>
      <c r="D1730" s="467" t="s">
        <v>1155</v>
      </c>
      <c r="E1730" s="468">
        <v>33114</v>
      </c>
      <c r="F1730" s="468">
        <v>33114</v>
      </c>
      <c r="G1730" s="467" t="s">
        <v>998</v>
      </c>
      <c r="H1730" s="467" t="s">
        <v>1156</v>
      </c>
      <c r="I1730" s="467" t="s">
        <v>902</v>
      </c>
      <c r="J1730" s="467" t="s">
        <v>796</v>
      </c>
      <c r="K1730" s="469" t="str">
        <f>HYPERLINK("https://okcountyrecords.com/detail/roger+mills/1990-005042","OKCountyRecords: 1990-005042")</f>
        <v>OKCountyRecords: 1990-005042</v>
      </c>
      <c r="L1730" s="467" t="s">
        <v>625</v>
      </c>
      <c r="M1730" s="467" t="s">
        <v>404</v>
      </c>
      <c r="N1730" s="476">
        <f>5/260</f>
        <v>1.9230769230769232E-2</v>
      </c>
      <c r="O1730" s="471">
        <f t="shared" si="18"/>
        <v>280</v>
      </c>
      <c r="P1730" s="472">
        <f t="shared" si="19"/>
        <v>1.9230769230769232E-2</v>
      </c>
      <c r="Q1730" s="472">
        <f t="shared" si="20"/>
        <v>-1.9230769230769232E-2</v>
      </c>
      <c r="R1730" s="473">
        <f t="shared" si="21"/>
        <v>5.384615384615385</v>
      </c>
      <c r="S1730" s="467" t="str">
        <f t="shared" si="26"/>
        <v>Mineral; basis Conv Amt(dec). Gross=tract-map basis.</v>
      </c>
      <c r="T1730" s="490"/>
      <c r="U1730" s="490"/>
      <c r="V1730" s="450"/>
      <c r="W1730" s="450"/>
      <c r="X1730" s="450"/>
      <c r="Y1730" s="450"/>
      <c r="Z1730" s="450"/>
    </row>
    <row r="1731" spans="1:26" x14ac:dyDescent="0.25">
      <c r="A1731" s="467" t="s">
        <v>1157</v>
      </c>
      <c r="B1731" s="467"/>
      <c r="C1731" s="467" t="s">
        <v>533</v>
      </c>
      <c r="D1731" s="467" t="s">
        <v>1158</v>
      </c>
      <c r="E1731" s="468">
        <v>33114</v>
      </c>
      <c r="F1731" s="468">
        <v>33114</v>
      </c>
      <c r="G1731" s="467" t="s">
        <v>372</v>
      </c>
      <c r="H1731" s="467" t="s">
        <v>1156</v>
      </c>
      <c r="I1731" s="467" t="s">
        <v>902</v>
      </c>
      <c r="J1731" s="467" t="s">
        <v>63</v>
      </c>
      <c r="K1731" s="469" t="str">
        <f>HYPERLINK("https://okcountyrecords.com/detail/roger+mills/1990-005043","OKCountyRecords: 1990-005043")</f>
        <v>OKCountyRecords: 1990-005043</v>
      </c>
      <c r="L1731" s="467" t="s">
        <v>625</v>
      </c>
      <c r="M1731" s="467" t="s">
        <v>404</v>
      </c>
      <c r="N1731" s="476">
        <v>1</v>
      </c>
      <c r="O1731" s="471">
        <f t="shared" si="18"/>
        <v>280</v>
      </c>
      <c r="P1731" s="472">
        <f t="shared" si="19"/>
        <v>1</v>
      </c>
      <c r="Q1731" s="472">
        <f t="shared" si="20"/>
        <v>-1</v>
      </c>
      <c r="R1731" s="473">
        <f t="shared" si="21"/>
        <v>280</v>
      </c>
      <c r="S1731" s="467" t="str">
        <f t="shared" si="26"/>
        <v>Mineral; basis Conv Amt(dec). Gross=tract-map basis.</v>
      </c>
      <c r="T1731" s="490"/>
      <c r="U1731" s="490"/>
      <c r="V1731" s="450"/>
      <c r="W1731" s="450"/>
      <c r="X1731" s="450"/>
      <c r="Y1731" s="450"/>
      <c r="Z1731" s="450"/>
    </row>
    <row r="1732" spans="1:26" x14ac:dyDescent="0.25">
      <c r="A1732" s="467" t="s">
        <v>1159</v>
      </c>
      <c r="B1732" s="467"/>
      <c r="C1732" s="467" t="s">
        <v>1160</v>
      </c>
      <c r="D1732" s="467" t="s">
        <v>1161</v>
      </c>
      <c r="E1732" s="468">
        <v>33158</v>
      </c>
      <c r="F1732" s="468">
        <v>33158</v>
      </c>
      <c r="G1732" s="467" t="s">
        <v>1162</v>
      </c>
      <c r="H1732" s="467" t="s">
        <v>1163</v>
      </c>
      <c r="I1732" s="467" t="s">
        <v>722</v>
      </c>
      <c r="J1732" s="467" t="s">
        <v>63</v>
      </c>
      <c r="K1732" s="469" t="str">
        <f>HYPERLINK("https://okcountyrecords.com/detail/roger+mills/1990-005848","OKCountyRecords: 1990-005848")</f>
        <v>OKCountyRecords: 1990-005848</v>
      </c>
      <c r="L1732" s="467">
        <v>2</v>
      </c>
      <c r="M1732" s="467" t="s">
        <v>404</v>
      </c>
      <c r="N1732" s="470">
        <v>1</v>
      </c>
      <c r="O1732" s="471">
        <f t="shared" si="18"/>
        <v>160</v>
      </c>
      <c r="P1732" s="472">
        <f t="shared" si="19"/>
        <v>1</v>
      </c>
      <c r="Q1732" s="472">
        <f t="shared" si="20"/>
        <v>-1</v>
      </c>
      <c r="R1732" s="473">
        <f t="shared" si="21"/>
        <v>160</v>
      </c>
      <c r="S1732" s="467" t="str">
        <f t="shared" si="26"/>
        <v>Mineral; basis Conv Amt(dec). Gross=tract-map basis.</v>
      </c>
      <c r="T1732" s="490"/>
      <c r="U1732" s="490"/>
      <c r="V1732" s="450"/>
      <c r="W1732" s="450"/>
      <c r="X1732" s="450"/>
      <c r="Y1732" s="450"/>
      <c r="Z1732" s="450"/>
    </row>
    <row r="1733" spans="1:26" x14ac:dyDescent="0.25">
      <c r="A1733" s="467" t="s">
        <v>1164</v>
      </c>
      <c r="B1733" s="467"/>
      <c r="C1733" s="467" t="s">
        <v>550</v>
      </c>
      <c r="D1733" s="467" t="s">
        <v>1165</v>
      </c>
      <c r="E1733" s="468">
        <v>33205</v>
      </c>
      <c r="F1733" s="468">
        <v>33205</v>
      </c>
      <c r="G1733" s="467" t="s">
        <v>1166</v>
      </c>
      <c r="H1733" s="467" t="s">
        <v>1167</v>
      </c>
      <c r="I1733" s="467" t="s">
        <v>1132</v>
      </c>
      <c r="J1733" s="467" t="s">
        <v>8505</v>
      </c>
      <c r="K1733" s="469" t="str">
        <f>HYPERLINK("https://okcountyrecords.com/detail/roger+mills/1990-006747","OKCountyRecords: 1990-006747")</f>
        <v>OKCountyRecords: 1990-006747</v>
      </c>
      <c r="L1733" s="467" t="s">
        <v>625</v>
      </c>
      <c r="M1733" s="467" t="s">
        <v>404</v>
      </c>
      <c r="N1733" s="476">
        <v>1</v>
      </c>
      <c r="O1733" s="471">
        <f t="shared" si="18"/>
        <v>280</v>
      </c>
      <c r="P1733" s="472">
        <f t="shared" si="19"/>
        <v>1</v>
      </c>
      <c r="Q1733" s="472">
        <f t="shared" si="20"/>
        <v>-1</v>
      </c>
      <c r="R1733" s="473">
        <f t="shared" si="21"/>
        <v>280</v>
      </c>
      <c r="S1733" s="467" t="str">
        <f t="shared" si="26"/>
        <v>Mineral; basis Conv Amt(dec). Gross=tract-map basis.</v>
      </c>
      <c r="T1733" s="490"/>
      <c r="U1733" s="490"/>
      <c r="V1733" s="450"/>
      <c r="W1733" s="450"/>
      <c r="X1733" s="450"/>
      <c r="Y1733" s="450"/>
      <c r="Z1733" s="450"/>
    </row>
    <row r="1734" spans="1:26" x14ac:dyDescent="0.25">
      <c r="A1734" s="467" t="s">
        <v>1168</v>
      </c>
      <c r="B1734" s="467"/>
      <c r="C1734" s="467" t="s">
        <v>619</v>
      </c>
      <c r="D1734" s="467" t="s">
        <v>1169</v>
      </c>
      <c r="E1734" s="468">
        <v>33277</v>
      </c>
      <c r="F1734" s="468">
        <v>33277</v>
      </c>
      <c r="G1734" s="467" t="s">
        <v>1170</v>
      </c>
      <c r="H1734" s="467" t="s">
        <v>1171</v>
      </c>
      <c r="I1734" s="467" t="s">
        <v>722</v>
      </c>
      <c r="J1734" s="467" t="s">
        <v>63</v>
      </c>
      <c r="K1734" s="469" t="str">
        <f>HYPERLINK("https://okcountyrecords.com/detail/roger+mills/1991-000858","OKCountyRecords: 1991-000858")</f>
        <v>OKCountyRecords: 1991-000858</v>
      </c>
      <c r="L1734" s="467">
        <v>2</v>
      </c>
      <c r="M1734" s="467" t="s">
        <v>404</v>
      </c>
      <c r="N1734" s="470">
        <v>1</v>
      </c>
      <c r="O1734" s="471">
        <f t="shared" si="18"/>
        <v>160</v>
      </c>
      <c r="P1734" s="472">
        <f t="shared" si="19"/>
        <v>1</v>
      </c>
      <c r="Q1734" s="472">
        <f t="shared" si="20"/>
        <v>-1</v>
      </c>
      <c r="R1734" s="473">
        <f t="shared" si="21"/>
        <v>160</v>
      </c>
      <c r="S1734" s="467" t="str">
        <f t="shared" si="26"/>
        <v>Mineral; basis Conv Amt(dec). Gross=tract-map basis.</v>
      </c>
      <c r="T1734" s="490"/>
      <c r="U1734" s="490"/>
      <c r="V1734" s="450"/>
      <c r="W1734" s="450"/>
      <c r="X1734" s="450"/>
      <c r="Y1734" s="450"/>
      <c r="Z1734" s="450"/>
    </row>
    <row r="1735" spans="1:26" x14ac:dyDescent="0.25">
      <c r="A1735" s="467" t="s">
        <v>1172</v>
      </c>
      <c r="B1735" s="467"/>
      <c r="C1735" s="467" t="s">
        <v>461</v>
      </c>
      <c r="D1735" s="467" t="s">
        <v>1173</v>
      </c>
      <c r="E1735" s="468">
        <v>33399</v>
      </c>
      <c r="F1735" s="468">
        <v>33399</v>
      </c>
      <c r="G1735" s="467" t="s">
        <v>1174</v>
      </c>
      <c r="H1735" s="467" t="s">
        <v>102</v>
      </c>
      <c r="I1735" s="467" t="s">
        <v>569</v>
      </c>
      <c r="J1735" s="467" t="s">
        <v>8641</v>
      </c>
      <c r="K1735" s="469" t="str">
        <f>HYPERLINK("https://okcountyrecords.com/detail/roger+mills/1991-002734","OKCountyRecords: 1991-002734")</f>
        <v>OKCountyRecords: 1991-002734</v>
      </c>
      <c r="L1735" s="467" t="s">
        <v>502</v>
      </c>
      <c r="M1735" s="467" t="s">
        <v>465</v>
      </c>
      <c r="N1735" s="470"/>
      <c r="O1735" s="471">
        <f t="shared" si="18"/>
        <v>640</v>
      </c>
      <c r="P1735" s="472" t="str">
        <f t="shared" si="19"/>
        <v/>
      </c>
      <c r="Q1735" s="472" t="str">
        <f t="shared" si="20"/>
        <v/>
      </c>
      <c r="R1735" s="473" t="str">
        <f t="shared" si="21"/>
        <v/>
      </c>
      <c r="S1735" s="467" t="s">
        <v>503</v>
      </c>
      <c r="T1735" s="490" t="s">
        <v>467</v>
      </c>
      <c r="U1735" s="490" t="s">
        <v>504</v>
      </c>
      <c r="V1735" s="450"/>
      <c r="W1735" s="450"/>
      <c r="X1735" s="450"/>
      <c r="Y1735" s="450"/>
      <c r="Z1735" s="450"/>
    </row>
    <row r="1736" spans="1:26" x14ac:dyDescent="0.25">
      <c r="A1736" s="467" t="s">
        <v>1175</v>
      </c>
      <c r="B1736" s="467"/>
      <c r="C1736" s="467" t="s">
        <v>545</v>
      </c>
      <c r="D1736" s="467" t="s">
        <v>1176</v>
      </c>
      <c r="E1736" s="468">
        <v>33456</v>
      </c>
      <c r="F1736" s="468">
        <v>33456</v>
      </c>
      <c r="G1736" s="467" t="s">
        <v>1177</v>
      </c>
      <c r="H1736" s="467" t="s">
        <v>1178</v>
      </c>
      <c r="I1736" s="467" t="s">
        <v>579</v>
      </c>
      <c r="J1736" s="467" t="s">
        <v>1179</v>
      </c>
      <c r="K1736" s="469" t="str">
        <f>HYPERLINK("https://okcountyrecords.com/detail/roger+mills/1991-003518","OKCountyRecords: 1991-003518")</f>
        <v>OKCountyRecords: 1991-003518</v>
      </c>
      <c r="L1736" s="467">
        <v>5</v>
      </c>
      <c r="M1736" s="467" t="s">
        <v>404</v>
      </c>
      <c r="N1736" s="470">
        <f>7/48</f>
        <v>0.14583333333333334</v>
      </c>
      <c r="O1736" s="471">
        <f t="shared" si="18"/>
        <v>120</v>
      </c>
      <c r="P1736" s="472">
        <f t="shared" si="19"/>
        <v>0.14583333333333334</v>
      </c>
      <c r="Q1736" s="472">
        <f t="shared" si="20"/>
        <v>-0.14583333333333334</v>
      </c>
      <c r="R1736" s="473">
        <f t="shared" si="21"/>
        <v>17.5</v>
      </c>
      <c r="S1736" s="467"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90"/>
      <c r="U1736" s="490"/>
      <c r="V1736" s="450"/>
      <c r="W1736" s="450"/>
      <c r="X1736" s="450"/>
      <c r="Y1736" s="450"/>
      <c r="Z1736" s="450"/>
    </row>
    <row r="1737" spans="1:26" x14ac:dyDescent="0.25">
      <c r="A1737" s="467" t="s">
        <v>1180</v>
      </c>
      <c r="B1737" s="467"/>
      <c r="C1737" s="467" t="s">
        <v>1181</v>
      </c>
      <c r="D1737" s="467" t="s">
        <v>1182</v>
      </c>
      <c r="E1737" s="468">
        <v>33522</v>
      </c>
      <c r="F1737" s="468">
        <v>33522</v>
      </c>
      <c r="G1737" s="467" t="s">
        <v>1183</v>
      </c>
      <c r="H1737" s="467" t="s">
        <v>1184</v>
      </c>
      <c r="I1737" s="467" t="s">
        <v>569</v>
      </c>
      <c r="J1737" s="467" t="s">
        <v>63</v>
      </c>
      <c r="K1737" s="469" t="str">
        <f>HYPERLINK("https://okcountyrecords.com/detail/roger+mills/1991-004456","OKCountyRecords: 1991-004456")</f>
        <v>OKCountyRecords: 1991-004456</v>
      </c>
      <c r="L1737" s="467" t="s">
        <v>502</v>
      </c>
      <c r="M1737" s="467" t="s">
        <v>404</v>
      </c>
      <c r="N1737" s="470">
        <v>1</v>
      </c>
      <c r="O1737" s="471">
        <f t="shared" si="18"/>
        <v>640</v>
      </c>
      <c r="P1737" s="472">
        <f t="shared" si="19"/>
        <v>1</v>
      </c>
      <c r="Q1737" s="472">
        <f t="shared" si="20"/>
        <v>-1</v>
      </c>
      <c r="R1737" s="473">
        <f t="shared" si="21"/>
        <v>640</v>
      </c>
      <c r="S1737" s="467"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90"/>
      <c r="U1737" s="490"/>
      <c r="V1737" s="450"/>
      <c r="W1737" s="450"/>
      <c r="X1737" s="450"/>
      <c r="Y1737" s="450"/>
      <c r="Z1737" s="450"/>
    </row>
    <row r="1738" spans="1:26" x14ac:dyDescent="0.25">
      <c r="A1738" s="467" t="s">
        <v>1185</v>
      </c>
      <c r="B1738" s="467"/>
      <c r="C1738" s="467" t="s">
        <v>1186</v>
      </c>
      <c r="D1738" s="467" t="s">
        <v>1187</v>
      </c>
      <c r="E1738" s="468">
        <v>33574</v>
      </c>
      <c r="F1738" s="468">
        <v>33574</v>
      </c>
      <c r="G1738" s="467" t="s">
        <v>1170</v>
      </c>
      <c r="H1738" s="467" t="s">
        <v>1188</v>
      </c>
      <c r="I1738" s="467" t="s">
        <v>722</v>
      </c>
      <c r="J1738" s="467" t="s">
        <v>63</v>
      </c>
      <c r="K1738" s="469" t="str">
        <f>HYPERLINK("https://okcountyrecords.com/detail/roger+mills/1991-005340","OKCountyRecords: 1991-005340")</f>
        <v>OKCountyRecords: 1991-005340</v>
      </c>
      <c r="L1738" s="467">
        <v>2</v>
      </c>
      <c r="M1738" s="467" t="s">
        <v>404</v>
      </c>
      <c r="N1738" s="470">
        <v>1</v>
      </c>
      <c r="O1738" s="471">
        <f t="shared" ref="O1738:O1801" si="27">IF($L1738="","",IF(ISNUMBER(SEARCH("all",$L1738)),640,(ISNUMBER(SEARCH("1",$L1738)))*80+(ISNUMBER(SEARCH("2",$L1738)))*160+(ISNUMBER(SEARCH("3",$L1738)))*40+(ISNUMBER(SEARCH("4",$L1738)))*80+(ISNUMBER(SEARCH("5",$L1738)))*120+(ISNUMBER(SEARCH("6",$L1738)))*80+(ISNUMBER(SEARCH("7",$L1738)))*40+(ISNUMBER(SEARCH("8",$L1738)))*40))</f>
        <v>160</v>
      </c>
      <c r="P1738" s="472">
        <f t="shared" ref="P1738:P1801" si="28">IF($M1738&lt;&gt;"Mineral","",IF(ISNUMBER($N1738),$N1738,IF(OR(ISNUMBER(SEARCH("surface",$J1738)),ISNUMBER(SEARCH("reserv",$J1738)),ISNUMBER(SEARCH("less and except",$J1738))),0,"")))</f>
        <v>1</v>
      </c>
      <c r="Q1738" s="472">
        <f t="shared" ref="Q1738:Q1801" si="29">IF($P1738="","",-$P1738)</f>
        <v>-1</v>
      </c>
      <c r="R1738" s="473">
        <f t="shared" ref="R1738:R1801" si="30">IF($P1738="","",$O1738*$P1738)</f>
        <v>160</v>
      </c>
      <c r="S1738" s="467"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90"/>
      <c r="U1738" s="490"/>
      <c r="V1738" s="450"/>
      <c r="W1738" s="450"/>
      <c r="X1738" s="450"/>
      <c r="Y1738" s="450"/>
      <c r="Z1738" s="450"/>
    </row>
    <row r="1739" spans="1:26" x14ac:dyDescent="0.25">
      <c r="A1739" s="467" t="s">
        <v>1189</v>
      </c>
      <c r="B1739" s="467"/>
      <c r="C1739" s="467" t="s">
        <v>1190</v>
      </c>
      <c r="D1739" s="467" t="s">
        <v>1191</v>
      </c>
      <c r="E1739" s="468">
        <v>33682</v>
      </c>
      <c r="F1739" s="468">
        <v>33682</v>
      </c>
      <c r="G1739" s="467" t="s">
        <v>1139</v>
      </c>
      <c r="H1739" s="467" t="s">
        <v>102</v>
      </c>
      <c r="I1739" s="467" t="s">
        <v>1132</v>
      </c>
      <c r="J1739" s="467" t="s">
        <v>760</v>
      </c>
      <c r="K1739" s="469" t="str">
        <f>HYPERLINK("https://okcountyrecords.com/detail/roger+mills/1992-000943","OKCountyRecords: 1992-000943")</f>
        <v>OKCountyRecords: 1992-000943</v>
      </c>
      <c r="L1739" s="467" t="s">
        <v>625</v>
      </c>
      <c r="M1739" s="467" t="s">
        <v>465</v>
      </c>
      <c r="N1739" s="476"/>
      <c r="O1739" s="471">
        <f t="shared" si="27"/>
        <v>280</v>
      </c>
      <c r="P1739" s="472" t="str">
        <f t="shared" si="28"/>
        <v/>
      </c>
      <c r="Q1739" s="472" t="str">
        <f t="shared" si="29"/>
        <v/>
      </c>
      <c r="R1739" s="473" t="str">
        <f t="shared" si="30"/>
        <v/>
      </c>
      <c r="S1739" s="467" t="s">
        <v>466</v>
      </c>
      <c r="T1739" s="490" t="s">
        <v>467</v>
      </c>
      <c r="U1739" s="490" t="s">
        <v>504</v>
      </c>
      <c r="V1739" s="450"/>
      <c r="W1739" s="450"/>
      <c r="X1739" s="450"/>
      <c r="Y1739" s="450"/>
      <c r="Z1739" s="450"/>
    </row>
    <row r="1740" spans="1:26" x14ac:dyDescent="0.25">
      <c r="A1740" s="467" t="s">
        <v>1192</v>
      </c>
      <c r="B1740" s="467"/>
      <c r="C1740" s="467" t="s">
        <v>1193</v>
      </c>
      <c r="D1740" s="467" t="s">
        <v>1194</v>
      </c>
      <c r="E1740" s="468">
        <v>33693</v>
      </c>
      <c r="F1740" s="468">
        <v>33693</v>
      </c>
      <c r="G1740" s="467" t="s">
        <v>1195</v>
      </c>
      <c r="H1740" s="467" t="s">
        <v>1196</v>
      </c>
      <c r="I1740" s="467" t="s">
        <v>1132</v>
      </c>
      <c r="J1740" s="467" t="s">
        <v>63</v>
      </c>
      <c r="K1740" s="469" t="str">
        <f>HYPERLINK("https://okcountyrecords.com/detail/roger+mills/1992-001067","OKCountyRecords: 1992-001067")</f>
        <v>OKCountyRecords: 1992-001067</v>
      </c>
      <c r="L1740" s="467" t="s">
        <v>625</v>
      </c>
      <c r="M1740" s="467" t="s">
        <v>404</v>
      </c>
      <c r="N1740" s="476">
        <v>1</v>
      </c>
      <c r="O1740" s="471">
        <f t="shared" si="27"/>
        <v>280</v>
      </c>
      <c r="P1740" s="472">
        <f t="shared" si="28"/>
        <v>1</v>
      </c>
      <c r="Q1740" s="472">
        <f t="shared" si="29"/>
        <v>-1</v>
      </c>
      <c r="R1740" s="473">
        <f t="shared" si="30"/>
        <v>280</v>
      </c>
      <c r="S1740" s="467"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90"/>
      <c r="U1740" s="490"/>
      <c r="V1740" s="450"/>
      <c r="W1740" s="450"/>
      <c r="X1740" s="450"/>
      <c r="Y1740" s="450"/>
      <c r="Z1740" s="450"/>
    </row>
    <row r="1741" spans="1:26" x14ac:dyDescent="0.25">
      <c r="A1741" s="467" t="s">
        <v>1197</v>
      </c>
      <c r="B1741" s="467"/>
      <c r="C1741" s="467" t="s">
        <v>619</v>
      </c>
      <c r="D1741" s="467" t="s">
        <v>1198</v>
      </c>
      <c r="E1741" s="468">
        <v>33737</v>
      </c>
      <c r="F1741" s="468">
        <v>33737</v>
      </c>
      <c r="G1741" s="467" t="s">
        <v>1156</v>
      </c>
      <c r="H1741" s="467" t="s">
        <v>1199</v>
      </c>
      <c r="I1741" s="467" t="s">
        <v>902</v>
      </c>
      <c r="J1741" s="467" t="s">
        <v>1200</v>
      </c>
      <c r="K1741" s="469" t="str">
        <f>HYPERLINK("https://okcountyrecords.com/detail/roger+mills/1992-001682","OKCountyRecords: 1992-001682")</f>
        <v>OKCountyRecords: 1992-001682</v>
      </c>
      <c r="L1741" s="467" t="s">
        <v>625</v>
      </c>
      <c r="M1741" s="467" t="s">
        <v>404</v>
      </c>
      <c r="N1741" s="476">
        <f>IF(O1741&gt;0,0.69/O1741,"")</f>
        <v>2.464285714285714E-3</v>
      </c>
      <c r="O1741" s="471">
        <f t="shared" si="27"/>
        <v>280</v>
      </c>
      <c r="P1741" s="472">
        <f t="shared" si="28"/>
        <v>2.464285714285714E-3</v>
      </c>
      <c r="Q1741" s="472">
        <f t="shared" si="29"/>
        <v>-2.464285714285714E-3</v>
      </c>
      <c r="R1741" s="473">
        <f t="shared" si="30"/>
        <v>0.69</v>
      </c>
      <c r="S1741" s="467" t="str">
        <f t="shared" si="31"/>
        <v>Mineral; basis Conv Amt(dec). Gross=tract-map basis.</v>
      </c>
      <c r="T1741" s="490"/>
      <c r="U1741" s="490" t="s">
        <v>1201</v>
      </c>
      <c r="V1741" s="450"/>
      <c r="W1741" s="450"/>
      <c r="X1741" s="450"/>
      <c r="Y1741" s="450"/>
      <c r="Z1741" s="450"/>
    </row>
    <row r="1742" spans="1:26" x14ac:dyDescent="0.25">
      <c r="A1742" s="467" t="s">
        <v>1202</v>
      </c>
      <c r="B1742" s="467"/>
      <c r="C1742" s="467" t="s">
        <v>1074</v>
      </c>
      <c r="D1742" s="467" t="s">
        <v>1203</v>
      </c>
      <c r="E1742" s="468">
        <v>33750</v>
      </c>
      <c r="F1742" s="468">
        <v>33750</v>
      </c>
      <c r="G1742" s="467" t="s">
        <v>1204</v>
      </c>
      <c r="H1742" s="467" t="s">
        <v>1205</v>
      </c>
      <c r="I1742" s="467" t="s">
        <v>722</v>
      </c>
      <c r="J1742" s="467" t="s">
        <v>1206</v>
      </c>
      <c r="K1742" s="469" t="str">
        <f>HYPERLINK("https://okcountyrecords.com/detail/roger+mills/1992-001861","OKCountyRecords: 1992-001861")</f>
        <v>OKCountyRecords: 1992-001861</v>
      </c>
      <c r="L1742" s="467">
        <v>2</v>
      </c>
      <c r="M1742" s="467" t="s">
        <v>404</v>
      </c>
      <c r="N1742" s="470">
        <f t="shared" ref="N1742:N1747" si="32">4.8329635/791.47</f>
        <v>6.1063129366874299E-3</v>
      </c>
      <c r="O1742" s="471">
        <f t="shared" si="27"/>
        <v>160</v>
      </c>
      <c r="P1742" s="472">
        <f t="shared" si="28"/>
        <v>6.1063129366874299E-3</v>
      </c>
      <c r="Q1742" s="472">
        <f t="shared" si="29"/>
        <v>-6.1063129366874299E-3</v>
      </c>
      <c r="R1742" s="473">
        <f t="shared" si="30"/>
        <v>0.97701006986998884</v>
      </c>
      <c r="S1742" s="467" t="str">
        <f t="shared" si="31"/>
        <v>Mineral; basis Conv Amt(dec). Gross=tract-map basis.</v>
      </c>
      <c r="T1742" s="490"/>
      <c r="U1742" s="490"/>
      <c r="V1742" s="450"/>
      <c r="W1742" s="450"/>
      <c r="X1742" s="450"/>
      <c r="Y1742" s="450"/>
      <c r="Z1742" s="450"/>
    </row>
    <row r="1743" spans="1:26" x14ac:dyDescent="0.25">
      <c r="A1743" s="467" t="s">
        <v>1207</v>
      </c>
      <c r="B1743" s="467"/>
      <c r="C1743" s="467" t="s">
        <v>1074</v>
      </c>
      <c r="D1743" s="467" t="s">
        <v>1208</v>
      </c>
      <c r="E1743" s="468">
        <v>33750</v>
      </c>
      <c r="F1743" s="468">
        <v>33750</v>
      </c>
      <c r="G1743" s="467" t="s">
        <v>1204</v>
      </c>
      <c r="H1743" s="467" t="s">
        <v>1054</v>
      </c>
      <c r="I1743" s="467" t="s">
        <v>722</v>
      </c>
      <c r="J1743" s="467" t="s">
        <v>1206</v>
      </c>
      <c r="K1743" s="469" t="str">
        <f>HYPERLINK("https://okcountyrecords.com/detail/roger+mills/1992-001862","OKCountyRecords: 1992-001862")</f>
        <v>OKCountyRecords: 1992-001862</v>
      </c>
      <c r="L1743" s="467">
        <v>2</v>
      </c>
      <c r="M1743" s="467" t="s">
        <v>404</v>
      </c>
      <c r="N1743" s="470">
        <f t="shared" si="32"/>
        <v>6.1063129366874299E-3</v>
      </c>
      <c r="O1743" s="471">
        <f t="shared" si="27"/>
        <v>160</v>
      </c>
      <c r="P1743" s="472">
        <f t="shared" si="28"/>
        <v>6.1063129366874299E-3</v>
      </c>
      <c r="Q1743" s="472">
        <f t="shared" si="29"/>
        <v>-6.1063129366874299E-3</v>
      </c>
      <c r="R1743" s="473">
        <f t="shared" si="30"/>
        <v>0.97701006986998884</v>
      </c>
      <c r="S1743" s="467" t="str">
        <f t="shared" si="31"/>
        <v>Mineral; basis Conv Amt(dec). Gross=tract-map basis.</v>
      </c>
      <c r="T1743" s="490"/>
      <c r="U1743" s="490"/>
      <c r="V1743" s="450"/>
      <c r="W1743" s="450"/>
      <c r="X1743" s="450"/>
      <c r="Y1743" s="450"/>
      <c r="Z1743" s="450"/>
    </row>
    <row r="1744" spans="1:26" x14ac:dyDescent="0.25">
      <c r="A1744" s="467" t="s">
        <v>1209</v>
      </c>
      <c r="B1744" s="467"/>
      <c r="C1744" s="467" t="s">
        <v>1074</v>
      </c>
      <c r="D1744" s="467" t="s">
        <v>1210</v>
      </c>
      <c r="E1744" s="468">
        <v>33750</v>
      </c>
      <c r="F1744" s="468">
        <v>33750</v>
      </c>
      <c r="G1744" s="467" t="s">
        <v>1204</v>
      </c>
      <c r="H1744" s="467" t="s">
        <v>1036</v>
      </c>
      <c r="I1744" s="467" t="s">
        <v>722</v>
      </c>
      <c r="J1744" s="467" t="s">
        <v>1206</v>
      </c>
      <c r="K1744" s="469" t="str">
        <f>HYPERLINK("https://okcountyrecords.com/detail/roger+mills/1992-001863","OKCountyRecords: 1992-001863")</f>
        <v>OKCountyRecords: 1992-001863</v>
      </c>
      <c r="L1744" s="467">
        <v>2</v>
      </c>
      <c r="M1744" s="467" t="s">
        <v>404</v>
      </c>
      <c r="N1744" s="470">
        <f t="shared" si="32"/>
        <v>6.1063129366874299E-3</v>
      </c>
      <c r="O1744" s="471">
        <f t="shared" si="27"/>
        <v>160</v>
      </c>
      <c r="P1744" s="472">
        <f t="shared" si="28"/>
        <v>6.1063129366874299E-3</v>
      </c>
      <c r="Q1744" s="472">
        <f t="shared" si="29"/>
        <v>-6.1063129366874299E-3</v>
      </c>
      <c r="R1744" s="473">
        <f t="shared" si="30"/>
        <v>0.97701006986998884</v>
      </c>
      <c r="S1744" s="467" t="str">
        <f t="shared" si="31"/>
        <v>Mineral; basis Conv Amt(dec). Gross=tract-map basis.</v>
      </c>
      <c r="T1744" s="490"/>
      <c r="U1744" s="490"/>
      <c r="V1744" s="450"/>
      <c r="W1744" s="450"/>
      <c r="X1744" s="450"/>
      <c r="Y1744" s="450"/>
      <c r="Z1744" s="450"/>
    </row>
    <row r="1745" spans="1:26" x14ac:dyDescent="0.25">
      <c r="A1745" s="467" t="s">
        <v>1211</v>
      </c>
      <c r="B1745" s="467"/>
      <c r="C1745" s="467" t="s">
        <v>1074</v>
      </c>
      <c r="D1745" s="467" t="s">
        <v>1212</v>
      </c>
      <c r="E1745" s="468">
        <v>33750</v>
      </c>
      <c r="F1745" s="468">
        <v>33750</v>
      </c>
      <c r="G1745" s="467" t="s">
        <v>1204</v>
      </c>
      <c r="H1745" s="467" t="s">
        <v>1039</v>
      </c>
      <c r="I1745" s="467" t="s">
        <v>722</v>
      </c>
      <c r="J1745" s="467" t="s">
        <v>1206</v>
      </c>
      <c r="K1745" s="469" t="str">
        <f>HYPERLINK("https://okcountyrecords.com/detail/roger+mills/1992-001865","OKCountyRecords: 1992-001865")</f>
        <v>OKCountyRecords: 1992-001865</v>
      </c>
      <c r="L1745" s="467">
        <v>2</v>
      </c>
      <c r="M1745" s="467" t="s">
        <v>404</v>
      </c>
      <c r="N1745" s="470">
        <f t="shared" si="32"/>
        <v>6.1063129366874299E-3</v>
      </c>
      <c r="O1745" s="471">
        <f t="shared" si="27"/>
        <v>160</v>
      </c>
      <c r="P1745" s="472">
        <f t="shared" si="28"/>
        <v>6.1063129366874299E-3</v>
      </c>
      <c r="Q1745" s="472">
        <f t="shared" si="29"/>
        <v>-6.1063129366874299E-3</v>
      </c>
      <c r="R1745" s="473">
        <f t="shared" si="30"/>
        <v>0.97701006986998884</v>
      </c>
      <c r="S1745" s="467" t="str">
        <f t="shared" si="31"/>
        <v>Mineral; basis Conv Amt(dec). Gross=tract-map basis.</v>
      </c>
      <c r="T1745" s="490"/>
      <c r="U1745" s="490"/>
      <c r="V1745" s="450"/>
      <c r="W1745" s="450"/>
      <c r="X1745" s="450"/>
      <c r="Y1745" s="450"/>
      <c r="Z1745" s="450"/>
    </row>
    <row r="1746" spans="1:26" x14ac:dyDescent="0.25">
      <c r="A1746" s="467" t="s">
        <v>1213</v>
      </c>
      <c r="B1746" s="467"/>
      <c r="C1746" s="467" t="s">
        <v>1074</v>
      </c>
      <c r="D1746" s="467" t="s">
        <v>1214</v>
      </c>
      <c r="E1746" s="468">
        <v>33750</v>
      </c>
      <c r="F1746" s="468">
        <v>33750</v>
      </c>
      <c r="G1746" s="467" t="s">
        <v>1204</v>
      </c>
      <c r="H1746" s="467" t="s">
        <v>1215</v>
      </c>
      <c r="I1746" s="467" t="s">
        <v>722</v>
      </c>
      <c r="J1746" s="467" t="s">
        <v>1206</v>
      </c>
      <c r="K1746" s="491" t="str">
        <f>HYPERLINK("https://okcountyrecords.com/detail/roger+mills/1992-001866","OKCountyRecords: 1992-001866")</f>
        <v>OKCountyRecords: 1992-001866</v>
      </c>
      <c r="L1746" s="467">
        <v>2</v>
      </c>
      <c r="M1746" s="467" t="s">
        <v>404</v>
      </c>
      <c r="N1746" s="470">
        <f t="shared" si="32"/>
        <v>6.1063129366874299E-3</v>
      </c>
      <c r="O1746" s="471">
        <f t="shared" si="27"/>
        <v>160</v>
      </c>
      <c r="P1746" s="472">
        <f t="shared" si="28"/>
        <v>6.1063129366874299E-3</v>
      </c>
      <c r="Q1746" s="472">
        <f t="shared" si="29"/>
        <v>-6.1063129366874299E-3</v>
      </c>
      <c r="R1746" s="473">
        <f t="shared" si="30"/>
        <v>0.97701006986998884</v>
      </c>
      <c r="S1746" s="467" t="str">
        <f t="shared" si="31"/>
        <v>Mineral; basis Conv Amt(dec). Gross=tract-map basis.</v>
      </c>
      <c r="T1746" s="490"/>
      <c r="U1746" s="490"/>
      <c r="V1746" s="450"/>
      <c r="W1746" s="450"/>
      <c r="X1746" s="450"/>
      <c r="Y1746" s="450"/>
      <c r="Z1746" s="450"/>
    </row>
    <row r="1747" spans="1:26" x14ac:dyDescent="0.25">
      <c r="A1747" s="467" t="s">
        <v>1216</v>
      </c>
      <c r="B1747" s="467"/>
      <c r="C1747" s="467" t="s">
        <v>1074</v>
      </c>
      <c r="D1747" s="467" t="s">
        <v>1217</v>
      </c>
      <c r="E1747" s="468">
        <v>33750</v>
      </c>
      <c r="F1747" s="468">
        <v>33750</v>
      </c>
      <c r="G1747" s="467" t="s">
        <v>1204</v>
      </c>
      <c r="H1747" s="467" t="s">
        <v>1045</v>
      </c>
      <c r="I1747" s="467" t="s">
        <v>722</v>
      </c>
      <c r="J1747" s="467" t="s">
        <v>1206</v>
      </c>
      <c r="K1747" s="491" t="str">
        <f>HYPERLINK("https://okcountyrecords.com/detail/roger+mills/1992-001867","OKCountyRecords: 1992-001867")</f>
        <v>OKCountyRecords: 1992-001867</v>
      </c>
      <c r="L1747" s="467">
        <v>2</v>
      </c>
      <c r="M1747" s="467" t="s">
        <v>404</v>
      </c>
      <c r="N1747" s="470">
        <f t="shared" si="32"/>
        <v>6.1063129366874299E-3</v>
      </c>
      <c r="O1747" s="471">
        <f t="shared" si="27"/>
        <v>160</v>
      </c>
      <c r="P1747" s="472">
        <f t="shared" si="28"/>
        <v>6.1063129366874299E-3</v>
      </c>
      <c r="Q1747" s="472">
        <f t="shared" si="29"/>
        <v>-6.1063129366874299E-3</v>
      </c>
      <c r="R1747" s="473">
        <f t="shared" si="30"/>
        <v>0.97701006986998884</v>
      </c>
      <c r="S1747" s="467" t="str">
        <f t="shared" si="31"/>
        <v>Mineral; basis Conv Amt(dec). Gross=tract-map basis.</v>
      </c>
      <c r="T1747" s="490"/>
      <c r="U1747" s="490"/>
      <c r="V1747" s="450"/>
      <c r="W1747" s="450"/>
      <c r="X1747" s="450"/>
      <c r="Y1747" s="450"/>
      <c r="Z1747" s="450"/>
    </row>
    <row r="1748" spans="1:26" x14ac:dyDescent="0.25">
      <c r="A1748" s="467" t="s">
        <v>1218</v>
      </c>
      <c r="B1748" s="467"/>
      <c r="C1748" s="467" t="s">
        <v>619</v>
      </c>
      <c r="D1748" s="467" t="s">
        <v>1219</v>
      </c>
      <c r="E1748" s="468">
        <v>33857</v>
      </c>
      <c r="F1748" s="468">
        <v>33857</v>
      </c>
      <c r="G1748" s="467" t="s">
        <v>1220</v>
      </c>
      <c r="H1748" s="467" t="s">
        <v>1221</v>
      </c>
      <c r="I1748" s="467" t="s">
        <v>677</v>
      </c>
      <c r="J1748" s="467" t="s">
        <v>1222</v>
      </c>
      <c r="K1748" s="469" t="str">
        <f>HYPERLINK("https://okcountyrecords.com/detail/roger+mills/1992-003373","OKCountyRecords: 1992-003373")</f>
        <v>OKCountyRecords: 1992-003373</v>
      </c>
      <c r="L1748" s="467" t="s">
        <v>438</v>
      </c>
      <c r="M1748" s="467" t="s">
        <v>404</v>
      </c>
      <c r="N1748" s="470" t="s">
        <v>1223</v>
      </c>
      <c r="O1748" s="471">
        <f t="shared" si="27"/>
        <v>240</v>
      </c>
      <c r="P1748" s="472" t="str">
        <f t="shared" si="28"/>
        <v/>
      </c>
      <c r="Q1748" s="472" t="str">
        <f t="shared" si="29"/>
        <v/>
      </c>
      <c r="R1748" s="473" t="str">
        <f t="shared" si="30"/>
        <v/>
      </c>
      <c r="S1748" s="467"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90" t="s">
        <v>641</v>
      </c>
      <c r="U1748" s="490" t="s">
        <v>1223</v>
      </c>
      <c r="V1748" s="450"/>
      <c r="W1748" s="450"/>
      <c r="X1748" s="450"/>
      <c r="Y1748" s="450"/>
      <c r="Z1748" s="450"/>
    </row>
    <row r="1749" spans="1:26" x14ac:dyDescent="0.25">
      <c r="A1749" s="467" t="s">
        <v>1225</v>
      </c>
      <c r="B1749" s="467"/>
      <c r="C1749" s="467" t="s">
        <v>619</v>
      </c>
      <c r="D1749" s="467" t="s">
        <v>1226</v>
      </c>
      <c r="E1749" s="468">
        <v>33868</v>
      </c>
      <c r="F1749" s="468">
        <v>33868</v>
      </c>
      <c r="G1749" s="467" t="s">
        <v>989</v>
      </c>
      <c r="H1749" s="467" t="s">
        <v>234</v>
      </c>
      <c r="I1749" s="467" t="s">
        <v>722</v>
      </c>
      <c r="J1749" s="467" t="s">
        <v>1227</v>
      </c>
      <c r="K1749" s="469" t="str">
        <f>HYPERLINK("https://okcountyrecords.com/detail/roger+mills/1992-003494","OKCountyRecords: 1992-003494")</f>
        <v>OKCountyRecords: 1992-003494</v>
      </c>
      <c r="L1749" s="467">
        <v>2</v>
      </c>
      <c r="M1749" s="467" t="s">
        <v>404</v>
      </c>
      <c r="N1749" s="470">
        <f>5/791.47</f>
        <v>6.317358838616751E-3</v>
      </c>
      <c r="O1749" s="471">
        <f t="shared" si="27"/>
        <v>160</v>
      </c>
      <c r="P1749" s="472">
        <f t="shared" si="28"/>
        <v>6.317358838616751E-3</v>
      </c>
      <c r="Q1749" s="472">
        <f t="shared" si="29"/>
        <v>-6.317358838616751E-3</v>
      </c>
      <c r="R1749" s="473">
        <f t="shared" si="30"/>
        <v>1.0107774141786803</v>
      </c>
      <c r="S1749" s="467"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90"/>
      <c r="U1749" s="490"/>
      <c r="V1749" s="450"/>
      <c r="W1749" s="450"/>
      <c r="X1749" s="450"/>
      <c r="Y1749" s="450"/>
      <c r="Z1749" s="450"/>
    </row>
    <row r="1750" spans="1:26" x14ac:dyDescent="0.25">
      <c r="A1750" s="467" t="s">
        <v>1228</v>
      </c>
      <c r="B1750" s="467"/>
      <c r="C1750" s="467" t="s">
        <v>756</v>
      </c>
      <c r="D1750" s="467" t="s">
        <v>1229</v>
      </c>
      <c r="E1750" s="468">
        <v>34018</v>
      </c>
      <c r="F1750" s="468">
        <v>34018</v>
      </c>
      <c r="G1750" s="467" t="s">
        <v>1230</v>
      </c>
      <c r="H1750" s="467" t="s">
        <v>1231</v>
      </c>
      <c r="I1750" s="467" t="s">
        <v>530</v>
      </c>
      <c r="J1750" s="467" t="s">
        <v>760</v>
      </c>
      <c r="K1750" s="469" t="str">
        <f>HYPERLINK("https://okcountyrecords.com/detail/roger+mills/1993-000717","OKCountyRecords: 1993-000717")</f>
        <v>OKCountyRecords: 1993-000717</v>
      </c>
      <c r="L1750" s="467" t="s">
        <v>502</v>
      </c>
      <c r="M1750" s="467" t="s">
        <v>465</v>
      </c>
      <c r="N1750" s="470"/>
      <c r="O1750" s="471">
        <f t="shared" si="27"/>
        <v>640</v>
      </c>
      <c r="P1750" s="472" t="str">
        <f t="shared" si="28"/>
        <v/>
      </c>
      <c r="Q1750" s="472" t="str">
        <f t="shared" si="29"/>
        <v/>
      </c>
      <c r="R1750" s="473" t="str">
        <f t="shared" si="30"/>
        <v/>
      </c>
      <c r="S1750" s="467"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89"/>
      <c r="U1750" s="490"/>
      <c r="V1750" s="450"/>
      <c r="W1750" s="450"/>
      <c r="X1750" s="450"/>
      <c r="Y1750" s="450"/>
      <c r="Z1750" s="450"/>
    </row>
    <row r="1751" spans="1:26" x14ac:dyDescent="0.25">
      <c r="A1751" s="467" t="s">
        <v>1232</v>
      </c>
      <c r="B1751" s="467"/>
      <c r="C1751" s="467" t="s">
        <v>585</v>
      </c>
      <c r="D1751" s="467" t="s">
        <v>1233</v>
      </c>
      <c r="E1751" s="468">
        <v>34032</v>
      </c>
      <c r="F1751" s="468">
        <v>34032</v>
      </c>
      <c r="G1751" s="467" t="s">
        <v>1234</v>
      </c>
      <c r="H1751" s="467" t="s">
        <v>1235</v>
      </c>
      <c r="I1751" s="467" t="s">
        <v>1236</v>
      </c>
      <c r="J1751" s="467" t="s">
        <v>1237</v>
      </c>
      <c r="K1751" s="469" t="str">
        <f>HYPERLINK("https://okcountyrecords.com/detail/roger+mills/1993-000918","OKCountyRecords: 1993-000918")</f>
        <v>OKCountyRecords: 1993-000918</v>
      </c>
      <c r="L1751" s="467" t="s">
        <v>613</v>
      </c>
      <c r="M1751" s="467" t="s">
        <v>404</v>
      </c>
      <c r="N1751" s="470">
        <f>IF(O1751&gt;0,10/O1751,"")</f>
        <v>2.2727272727272728E-2</v>
      </c>
      <c r="O1751" s="471">
        <f t="shared" si="27"/>
        <v>440</v>
      </c>
      <c r="P1751" s="472">
        <f t="shared" si="28"/>
        <v>2.2727272727272728E-2</v>
      </c>
      <c r="Q1751" s="472">
        <f t="shared" si="29"/>
        <v>-2.2727272727272728E-2</v>
      </c>
      <c r="R1751" s="473">
        <f t="shared" si="30"/>
        <v>10</v>
      </c>
      <c r="S1751" s="467"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90" t="s">
        <v>641</v>
      </c>
      <c r="U1751" s="490" t="s">
        <v>668</v>
      </c>
      <c r="V1751" s="450"/>
      <c r="W1751" s="450"/>
      <c r="X1751" s="450"/>
      <c r="Y1751" s="450"/>
      <c r="Z1751" s="450"/>
    </row>
    <row r="1752" spans="1:26" x14ac:dyDescent="0.25">
      <c r="A1752" s="467" t="s">
        <v>1238</v>
      </c>
      <c r="B1752" s="467"/>
      <c r="C1752" s="467" t="s">
        <v>1239</v>
      </c>
      <c r="D1752" s="467" t="s">
        <v>1240</v>
      </c>
      <c r="E1752" s="468">
        <v>34036</v>
      </c>
      <c r="F1752" s="468">
        <v>34036</v>
      </c>
      <c r="G1752" s="467" t="s">
        <v>266</v>
      </c>
      <c r="H1752" s="467" t="s">
        <v>1241</v>
      </c>
      <c r="I1752" s="467" t="s">
        <v>579</v>
      </c>
      <c r="J1752" s="467" t="s">
        <v>994</v>
      </c>
      <c r="K1752" s="469" t="str">
        <f>HYPERLINK("https://okcountyrecords.com/detail/roger+mills/1993-000978","OKCountyRecords: 1993-000978")</f>
        <v>OKCountyRecords: 1993-000978</v>
      </c>
      <c r="L1752" s="467">
        <v>5</v>
      </c>
      <c r="M1752" s="467" t="s">
        <v>404</v>
      </c>
      <c r="N1752" s="470">
        <v>1</v>
      </c>
      <c r="O1752" s="471">
        <f t="shared" si="27"/>
        <v>120</v>
      </c>
      <c r="P1752" s="472">
        <f t="shared" si="28"/>
        <v>1</v>
      </c>
      <c r="Q1752" s="472">
        <f t="shared" si="29"/>
        <v>-1</v>
      </c>
      <c r="R1752" s="473">
        <f t="shared" si="30"/>
        <v>120</v>
      </c>
      <c r="S1752" s="467"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90" t="s">
        <v>641</v>
      </c>
      <c r="U1752" s="490" t="s">
        <v>1021</v>
      </c>
      <c r="V1752" s="450"/>
      <c r="W1752" s="450"/>
      <c r="X1752" s="450"/>
      <c r="Y1752" s="450"/>
      <c r="Z1752" s="450"/>
    </row>
    <row r="1753" spans="1:26" x14ac:dyDescent="0.25">
      <c r="A1753" s="467" t="s">
        <v>1242</v>
      </c>
      <c r="B1753" s="467"/>
      <c r="C1753" s="467" t="s">
        <v>1243</v>
      </c>
      <c r="D1753" s="467" t="s">
        <v>1244</v>
      </c>
      <c r="E1753" s="468">
        <v>34199</v>
      </c>
      <c r="F1753" s="468">
        <v>34199</v>
      </c>
      <c r="G1753" s="467" t="s">
        <v>1245</v>
      </c>
      <c r="H1753" s="467" t="s">
        <v>1246</v>
      </c>
      <c r="I1753" s="467" t="s">
        <v>569</v>
      </c>
      <c r="J1753" s="467" t="s">
        <v>63</v>
      </c>
      <c r="K1753" s="469" t="str">
        <f>HYPERLINK("https://okcountyrecords.com/detail/roger+mills/1993-003365","OKCountyRecords: 1993-003365")</f>
        <v>OKCountyRecords: 1993-003365</v>
      </c>
      <c r="L1753" s="467" t="s">
        <v>502</v>
      </c>
      <c r="M1753" s="467" t="s">
        <v>404</v>
      </c>
      <c r="N1753" s="470">
        <v>1</v>
      </c>
      <c r="O1753" s="471">
        <f t="shared" si="27"/>
        <v>640</v>
      </c>
      <c r="P1753" s="472">
        <f t="shared" si="28"/>
        <v>1</v>
      </c>
      <c r="Q1753" s="472">
        <f t="shared" si="29"/>
        <v>-1</v>
      </c>
      <c r="R1753" s="473">
        <f t="shared" si="30"/>
        <v>640</v>
      </c>
      <c r="S1753" s="467"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90"/>
      <c r="U1753" s="490"/>
      <c r="V1753" s="450"/>
      <c r="W1753" s="450"/>
      <c r="X1753" s="450"/>
      <c r="Y1753" s="450"/>
      <c r="Z1753" s="450"/>
    </row>
    <row r="1754" spans="1:26" x14ac:dyDescent="0.25">
      <c r="A1754" s="467" t="s">
        <v>1247</v>
      </c>
      <c r="B1754" s="467"/>
      <c r="C1754" s="467" t="s">
        <v>1248</v>
      </c>
      <c r="D1754" s="467" t="s">
        <v>1249</v>
      </c>
      <c r="E1754" s="468">
        <v>34452</v>
      </c>
      <c r="F1754" s="468">
        <v>34452</v>
      </c>
      <c r="G1754" s="467" t="s">
        <v>1250</v>
      </c>
      <c r="H1754" s="467" t="s">
        <v>1251</v>
      </c>
      <c r="I1754" s="467" t="s">
        <v>579</v>
      </c>
      <c r="J1754" s="467" t="s">
        <v>1252</v>
      </c>
      <c r="K1754" s="491" t="str">
        <f>HYPERLINK("https://okcountyrecords.com/detail/roger+mills/1994-004940","OKCountyRecords: 1994-004940")</f>
        <v>OKCountyRecords: 1994-004940</v>
      </c>
      <c r="L1754" s="467">
        <v>5</v>
      </c>
      <c r="M1754" s="467" t="s">
        <v>404</v>
      </c>
      <c r="N1754" s="470">
        <v>1</v>
      </c>
      <c r="O1754" s="471">
        <f t="shared" si="27"/>
        <v>120</v>
      </c>
      <c r="P1754" s="472">
        <f t="shared" si="28"/>
        <v>1</v>
      </c>
      <c r="Q1754" s="472">
        <f t="shared" si="29"/>
        <v>-1</v>
      </c>
      <c r="R1754" s="473">
        <f t="shared" si="30"/>
        <v>120</v>
      </c>
      <c r="S1754" s="467" t="str">
        <f t="shared" si="33"/>
        <v>Mineral; basis Conv Amt(dec). Gross=tract-map basis.</v>
      </c>
      <c r="T1754" s="490"/>
      <c r="U1754" s="490"/>
      <c r="V1754" s="450"/>
      <c r="W1754" s="450"/>
      <c r="X1754" s="450"/>
      <c r="Y1754" s="450"/>
      <c r="Z1754" s="450"/>
    </row>
    <row r="1755" spans="1:26" x14ac:dyDescent="0.25">
      <c r="A1755" s="467" t="s">
        <v>1253</v>
      </c>
      <c r="B1755" s="467"/>
      <c r="C1755" s="467" t="s">
        <v>619</v>
      </c>
      <c r="D1755" s="467" t="s">
        <v>1254</v>
      </c>
      <c r="E1755" s="468">
        <v>34542</v>
      </c>
      <c r="F1755" s="468">
        <v>34542</v>
      </c>
      <c r="G1755" s="467" t="s">
        <v>1156</v>
      </c>
      <c r="H1755" s="467" t="s">
        <v>1255</v>
      </c>
      <c r="I1755" s="467" t="s">
        <v>1256</v>
      </c>
      <c r="J1755" s="467" t="s">
        <v>1257</v>
      </c>
      <c r="K1755" s="469" t="str">
        <f>HYPERLINK("https://okcountyrecords.com/detail/roger+mills/1994-006415","OKCountyRecords: 1994-006415")</f>
        <v>OKCountyRecords: 1994-006415</v>
      </c>
      <c r="L1755" s="467" t="s">
        <v>625</v>
      </c>
      <c r="M1755" s="467" t="s">
        <v>404</v>
      </c>
      <c r="N1755" s="476">
        <f>2/260</f>
        <v>7.6923076923076927E-3</v>
      </c>
      <c r="O1755" s="471">
        <f t="shared" si="27"/>
        <v>280</v>
      </c>
      <c r="P1755" s="472">
        <f t="shared" si="28"/>
        <v>7.6923076923076927E-3</v>
      </c>
      <c r="Q1755" s="472">
        <f t="shared" si="29"/>
        <v>-7.6923076923076927E-3</v>
      </c>
      <c r="R1755" s="473">
        <f t="shared" si="30"/>
        <v>2.1538461538461542</v>
      </c>
      <c r="S1755" s="467" t="str">
        <f t="shared" si="33"/>
        <v>Mineral; basis Conv Amt(dec). Gross=tract-map basis.</v>
      </c>
      <c r="T1755" s="489"/>
      <c r="U1755" s="489"/>
      <c r="V1755" s="450"/>
      <c r="W1755" s="450"/>
      <c r="X1755" s="450"/>
      <c r="Y1755" s="450"/>
      <c r="Z1755" s="450"/>
    </row>
    <row r="1756" spans="1:26" x14ac:dyDescent="0.25">
      <c r="A1756" s="467" t="s">
        <v>1258</v>
      </c>
      <c r="B1756" s="467"/>
      <c r="C1756" s="467" t="s">
        <v>619</v>
      </c>
      <c r="D1756" s="467" t="s">
        <v>1259</v>
      </c>
      <c r="E1756" s="468">
        <v>34754</v>
      </c>
      <c r="F1756" s="468">
        <v>34754</v>
      </c>
      <c r="G1756" s="467" t="s">
        <v>1260</v>
      </c>
      <c r="H1756" s="467" t="s">
        <v>1261</v>
      </c>
      <c r="I1756" s="467" t="s">
        <v>1256</v>
      </c>
      <c r="J1756" s="467" t="s">
        <v>63</v>
      </c>
      <c r="K1756" s="469" t="str">
        <f>HYPERLINK("https://okcountyrecords.com/detail/roger+mills/1995-003404","OKCountyRecords: 1995-003404")</f>
        <v>OKCountyRecords: 1995-003404</v>
      </c>
      <c r="L1756" s="467" t="s">
        <v>625</v>
      </c>
      <c r="M1756" s="467" t="s">
        <v>404</v>
      </c>
      <c r="N1756" s="476">
        <v>1</v>
      </c>
      <c r="O1756" s="471">
        <f t="shared" si="27"/>
        <v>280</v>
      </c>
      <c r="P1756" s="472">
        <f t="shared" si="28"/>
        <v>1</v>
      </c>
      <c r="Q1756" s="472">
        <f t="shared" si="29"/>
        <v>-1</v>
      </c>
      <c r="R1756" s="473">
        <f t="shared" si="30"/>
        <v>280</v>
      </c>
      <c r="S1756" s="467" t="str">
        <f t="shared" si="33"/>
        <v>Mineral; basis Conv Amt(dec). Gross=tract-map basis.</v>
      </c>
      <c r="T1756" s="490"/>
      <c r="U1756" s="490"/>
      <c r="V1756" s="450"/>
      <c r="W1756" s="450"/>
      <c r="X1756" s="450"/>
      <c r="Y1756" s="450"/>
      <c r="Z1756" s="450"/>
    </row>
    <row r="1757" spans="1:26" x14ac:dyDescent="0.25">
      <c r="A1757" s="467" t="s">
        <v>1262</v>
      </c>
      <c r="B1757" s="467"/>
      <c r="C1757" s="467" t="s">
        <v>533</v>
      </c>
      <c r="D1757" s="467" t="s">
        <v>1263</v>
      </c>
      <c r="E1757" s="468">
        <v>34778</v>
      </c>
      <c r="F1757" s="468">
        <v>34778</v>
      </c>
      <c r="G1757" s="467" t="s">
        <v>266</v>
      </c>
      <c r="H1757" s="467" t="s">
        <v>1264</v>
      </c>
      <c r="I1757" s="467" t="s">
        <v>579</v>
      </c>
      <c r="J1757" s="467" t="s">
        <v>994</v>
      </c>
      <c r="K1757" s="469" t="str">
        <f>HYPERLINK("https://okcountyrecords.com/detail/roger+mills/1995-003767","OKCountyRecords: 1995-003767")</f>
        <v>OKCountyRecords: 1995-003767</v>
      </c>
      <c r="L1757" s="467">
        <v>5</v>
      </c>
      <c r="M1757" s="467" t="s">
        <v>404</v>
      </c>
      <c r="N1757" s="470">
        <v>1</v>
      </c>
      <c r="O1757" s="471">
        <f t="shared" si="27"/>
        <v>120</v>
      </c>
      <c r="P1757" s="472">
        <f t="shared" si="28"/>
        <v>1</v>
      </c>
      <c r="Q1757" s="472">
        <f t="shared" si="29"/>
        <v>-1</v>
      </c>
      <c r="R1757" s="473">
        <f t="shared" si="30"/>
        <v>120</v>
      </c>
      <c r="S1757" s="467" t="str">
        <f t="shared" si="33"/>
        <v>Mineral; basis Conv Amt(dec). Gross=tract-map basis.</v>
      </c>
      <c r="T1757" s="490"/>
      <c r="U1757" s="490"/>
      <c r="V1757" s="450"/>
      <c r="W1757" s="450"/>
      <c r="X1757" s="450"/>
      <c r="Y1757" s="450"/>
      <c r="Z1757" s="450"/>
    </row>
    <row r="1758" spans="1:26" x14ac:dyDescent="0.25">
      <c r="A1758" s="467" t="s">
        <v>1265</v>
      </c>
      <c r="B1758" s="467"/>
      <c r="C1758" s="467" t="s">
        <v>619</v>
      </c>
      <c r="D1758" s="467" t="s">
        <v>1266</v>
      </c>
      <c r="E1758" s="468">
        <v>34920</v>
      </c>
      <c r="F1758" s="468">
        <v>34920</v>
      </c>
      <c r="G1758" s="467" t="s">
        <v>1267</v>
      </c>
      <c r="H1758" s="467" t="s">
        <v>1188</v>
      </c>
      <c r="I1758" s="467" t="s">
        <v>1268</v>
      </c>
      <c r="J1758" s="467" t="s">
        <v>1269</v>
      </c>
      <c r="K1758" s="469" t="str">
        <f>HYPERLINK("https://okcountyrecords.com/detail/roger+mills/1995-000396","OKCountyRecords: 1995-000396")</f>
        <v>OKCountyRecords: 1995-000396</v>
      </c>
      <c r="L1758" s="467">
        <v>2</v>
      </c>
      <c r="M1758" s="467" t="s">
        <v>404</v>
      </c>
      <c r="N1758" s="470">
        <v>1</v>
      </c>
      <c r="O1758" s="471">
        <f t="shared" si="27"/>
        <v>160</v>
      </c>
      <c r="P1758" s="472">
        <f t="shared" si="28"/>
        <v>1</v>
      </c>
      <c r="Q1758" s="472">
        <f t="shared" si="29"/>
        <v>-1</v>
      </c>
      <c r="R1758" s="473">
        <f t="shared" si="30"/>
        <v>160</v>
      </c>
      <c r="S1758" s="467" t="str">
        <f t="shared" si="33"/>
        <v>Mineral; basis Conv Amt(dec). Gross=tract-map basis.</v>
      </c>
      <c r="T1758" s="490"/>
      <c r="U1758" s="490"/>
      <c r="V1758" s="450"/>
      <c r="W1758" s="450"/>
      <c r="X1758" s="450"/>
      <c r="Y1758" s="450"/>
      <c r="Z1758" s="450"/>
    </row>
    <row r="1759" spans="1:26" x14ac:dyDescent="0.25">
      <c r="A1759" s="467" t="s">
        <v>1270</v>
      </c>
      <c r="B1759" s="467"/>
      <c r="C1759" s="467" t="s">
        <v>1160</v>
      </c>
      <c r="D1759" s="467" t="s">
        <v>1271</v>
      </c>
      <c r="E1759" s="468">
        <v>34950</v>
      </c>
      <c r="F1759" s="468">
        <v>34950</v>
      </c>
      <c r="G1759" s="467" t="s">
        <v>1272</v>
      </c>
      <c r="H1759" s="467" t="s">
        <v>1273</v>
      </c>
      <c r="I1759" s="467" t="s">
        <v>1274</v>
      </c>
      <c r="J1759" s="467" t="s">
        <v>1275</v>
      </c>
      <c r="K1759" s="469" t="str">
        <f>HYPERLINK("https://okcountyrecords.com/detail/roger+mills/1995-000748","OKCountyRecords: 1995-000748")</f>
        <v>OKCountyRecords: 1995-000748</v>
      </c>
      <c r="L1759" s="467" t="s">
        <v>403</v>
      </c>
      <c r="M1759" s="467" t="s">
        <v>404</v>
      </c>
      <c r="N1759" s="470">
        <v>1</v>
      </c>
      <c r="O1759" s="471">
        <f t="shared" si="27"/>
        <v>200</v>
      </c>
      <c r="P1759" s="472">
        <f t="shared" si="28"/>
        <v>1</v>
      </c>
      <c r="Q1759" s="472">
        <f t="shared" si="29"/>
        <v>-1</v>
      </c>
      <c r="R1759" s="473">
        <f t="shared" si="30"/>
        <v>200</v>
      </c>
      <c r="S1759" s="467" t="str">
        <f t="shared" si="33"/>
        <v>Mineral; basis Conv Amt(dec). Gross=tract-map basis.</v>
      </c>
      <c r="T1759" s="490"/>
      <c r="U1759" s="490"/>
      <c r="V1759" s="450"/>
      <c r="W1759" s="450"/>
      <c r="X1759" s="450"/>
      <c r="Y1759" s="450"/>
      <c r="Z1759" s="450"/>
    </row>
    <row r="1760" spans="1:26" x14ac:dyDescent="0.25">
      <c r="A1760" s="467" t="s">
        <v>1276</v>
      </c>
      <c r="B1760" s="467"/>
      <c r="C1760" s="467" t="s">
        <v>585</v>
      </c>
      <c r="D1760" s="467" t="s">
        <v>1277</v>
      </c>
      <c r="E1760" s="468">
        <v>35038</v>
      </c>
      <c r="F1760" s="468">
        <v>35038</v>
      </c>
      <c r="G1760" s="467" t="s">
        <v>1278</v>
      </c>
      <c r="H1760" s="467" t="s">
        <v>1279</v>
      </c>
      <c r="I1760" s="467" t="s">
        <v>1280</v>
      </c>
      <c r="J1760" s="467" t="s">
        <v>1281</v>
      </c>
      <c r="K1760" s="469" t="str">
        <f>HYPERLINK("https://okcountyrecords.com/detail/roger+mills/1995-001954","OKCountyRecords: 1995-001954")</f>
        <v>OKCountyRecords: 1995-001954</v>
      </c>
      <c r="L1760" s="467">
        <v>2</v>
      </c>
      <c r="M1760" s="467" t="s">
        <v>404</v>
      </c>
      <c r="N1760" s="470">
        <v>1</v>
      </c>
      <c r="O1760" s="471">
        <f t="shared" si="27"/>
        <v>160</v>
      </c>
      <c r="P1760" s="472">
        <f t="shared" si="28"/>
        <v>1</v>
      </c>
      <c r="Q1760" s="472">
        <f t="shared" si="29"/>
        <v>-1</v>
      </c>
      <c r="R1760" s="473">
        <f t="shared" si="30"/>
        <v>160</v>
      </c>
      <c r="S1760" s="467" t="str">
        <f t="shared" si="33"/>
        <v>Mineral; basis Conv Amt(dec). Gross=tract-map basis.</v>
      </c>
      <c r="T1760" s="490"/>
      <c r="U1760" s="490"/>
      <c r="V1760" s="450"/>
      <c r="W1760" s="450"/>
      <c r="X1760" s="450"/>
      <c r="Y1760" s="450"/>
      <c r="Z1760" s="450"/>
    </row>
    <row r="1761" spans="1:26" x14ac:dyDescent="0.25">
      <c r="A1761" s="467" t="s">
        <v>1282</v>
      </c>
      <c r="B1761" s="467"/>
      <c r="C1761" s="467" t="s">
        <v>533</v>
      </c>
      <c r="D1761" s="467" t="s">
        <v>1283</v>
      </c>
      <c r="E1761" s="468">
        <v>35430</v>
      </c>
      <c r="F1761" s="468">
        <v>35432</v>
      </c>
      <c r="G1761" s="467" t="s">
        <v>1284</v>
      </c>
      <c r="H1761" s="467" t="s">
        <v>1285</v>
      </c>
      <c r="I1761" s="467" t="s">
        <v>1286</v>
      </c>
      <c r="J1761" s="467" t="s">
        <v>63</v>
      </c>
      <c r="K1761" s="491" t="str">
        <f>HYPERLINK("https://okcountyrecords.com/detail/roger+mills/1997-006370","OKCountyRecords: 1997-006370")</f>
        <v>OKCountyRecords: 1997-006370</v>
      </c>
      <c r="L1761" s="467" t="s">
        <v>1287</v>
      </c>
      <c r="M1761" s="467" t="s">
        <v>404</v>
      </c>
      <c r="N1761" s="470">
        <v>1</v>
      </c>
      <c r="O1761" s="471">
        <f t="shared" si="27"/>
        <v>280</v>
      </c>
      <c r="P1761" s="472">
        <f t="shared" si="28"/>
        <v>1</v>
      </c>
      <c r="Q1761" s="472">
        <f t="shared" si="29"/>
        <v>-1</v>
      </c>
      <c r="R1761" s="473">
        <f t="shared" si="30"/>
        <v>280</v>
      </c>
      <c r="S1761" s="467" t="str">
        <f t="shared" si="33"/>
        <v>Mineral; basis Conv Amt(dec). Gross=tract-map basis.</v>
      </c>
      <c r="T1761" s="490"/>
      <c r="U1761" s="490"/>
      <c r="V1761" s="450"/>
      <c r="W1761" s="450"/>
      <c r="X1761" s="450"/>
      <c r="Y1761" s="450"/>
      <c r="Z1761" s="450"/>
    </row>
    <row r="1762" spans="1:26" x14ac:dyDescent="0.25">
      <c r="A1762" s="467" t="s">
        <v>1288</v>
      </c>
      <c r="B1762" s="467"/>
      <c r="C1762" s="467" t="s">
        <v>533</v>
      </c>
      <c r="D1762" s="467" t="s">
        <v>1289</v>
      </c>
      <c r="E1762" s="468">
        <v>35432</v>
      </c>
      <c r="F1762" s="468">
        <v>35433</v>
      </c>
      <c r="G1762" s="467" t="s">
        <v>1284</v>
      </c>
      <c r="H1762" s="467" t="s">
        <v>1285</v>
      </c>
      <c r="I1762" s="467" t="s">
        <v>1286</v>
      </c>
      <c r="J1762" s="467" t="s">
        <v>63</v>
      </c>
      <c r="K1762" s="469" t="str">
        <f>HYPERLINK("https://okcountyrecords.com/detail/roger+mills/1997-005183","OKCountyRecords: 1997-005183")</f>
        <v>OKCountyRecords: 1997-005183</v>
      </c>
      <c r="L1762" s="467" t="s">
        <v>1287</v>
      </c>
      <c r="M1762" s="467" t="s">
        <v>404</v>
      </c>
      <c r="N1762" s="470">
        <v>1</v>
      </c>
      <c r="O1762" s="471">
        <f t="shared" si="27"/>
        <v>280</v>
      </c>
      <c r="P1762" s="472">
        <f t="shared" si="28"/>
        <v>1</v>
      </c>
      <c r="Q1762" s="472">
        <f t="shared" si="29"/>
        <v>-1</v>
      </c>
      <c r="R1762" s="473">
        <f t="shared" si="30"/>
        <v>280</v>
      </c>
      <c r="S1762" s="467" t="str">
        <f t="shared" si="33"/>
        <v>Mineral; basis Conv Amt(dec). Gross=tract-map basis.</v>
      </c>
      <c r="T1762" s="489"/>
      <c r="U1762" s="490"/>
      <c r="V1762" s="450"/>
      <c r="W1762" s="450"/>
      <c r="X1762" s="450"/>
      <c r="Y1762" s="450"/>
      <c r="Z1762" s="450"/>
    </row>
    <row r="1763" spans="1:26" x14ac:dyDescent="0.25">
      <c r="A1763" s="467" t="s">
        <v>1290</v>
      </c>
      <c r="B1763" s="467"/>
      <c r="C1763" s="467" t="s">
        <v>545</v>
      </c>
      <c r="D1763" s="467" t="s">
        <v>1291</v>
      </c>
      <c r="E1763" s="468">
        <v>35479</v>
      </c>
      <c r="F1763" s="468">
        <v>35479</v>
      </c>
      <c r="G1763" s="467" t="s">
        <v>1292</v>
      </c>
      <c r="H1763" s="467" t="s">
        <v>1293</v>
      </c>
      <c r="I1763" s="467" t="s">
        <v>1294</v>
      </c>
      <c r="J1763" s="467" t="s">
        <v>63</v>
      </c>
      <c r="K1763" s="469" t="str">
        <f>HYPERLINK("https://okcountyrecords.com/detail/roger+mills/1997-003023","OKCountyRecords: 1997-003023")</f>
        <v>OKCountyRecords: 1997-003023</v>
      </c>
      <c r="L1763" s="467">
        <v>5</v>
      </c>
      <c r="M1763" s="467" t="s">
        <v>404</v>
      </c>
      <c r="N1763" s="470">
        <v>1</v>
      </c>
      <c r="O1763" s="471">
        <f t="shared" si="27"/>
        <v>120</v>
      </c>
      <c r="P1763" s="472">
        <f t="shared" si="28"/>
        <v>1</v>
      </c>
      <c r="Q1763" s="472">
        <f t="shared" si="29"/>
        <v>-1</v>
      </c>
      <c r="R1763" s="473">
        <f t="shared" si="30"/>
        <v>120</v>
      </c>
      <c r="S1763" s="467" t="str">
        <f t="shared" si="33"/>
        <v>Mineral; basis Conv Amt(dec). Gross=tract-map basis.</v>
      </c>
      <c r="T1763" s="490"/>
      <c r="U1763" s="490"/>
      <c r="V1763" s="450"/>
      <c r="W1763" s="450"/>
      <c r="X1763" s="450"/>
      <c r="Y1763" s="450"/>
      <c r="Z1763" s="450"/>
    </row>
    <row r="1764" spans="1:26" x14ac:dyDescent="0.25">
      <c r="A1764" s="467" t="s">
        <v>1295</v>
      </c>
      <c r="B1764" s="467"/>
      <c r="C1764" s="467" t="s">
        <v>1239</v>
      </c>
      <c r="D1764" s="467" t="s">
        <v>1296</v>
      </c>
      <c r="E1764" s="468">
        <v>35549</v>
      </c>
      <c r="F1764" s="468">
        <v>35549</v>
      </c>
      <c r="G1764" s="467" t="s">
        <v>1297</v>
      </c>
      <c r="H1764" s="467" t="s">
        <v>1298</v>
      </c>
      <c r="I1764" s="467" t="s">
        <v>1299</v>
      </c>
      <c r="J1764" s="467" t="s">
        <v>1300</v>
      </c>
      <c r="K1764" s="469" t="str">
        <f>HYPERLINK("https://okcountyrecords.com/detail/roger+mills/1997-004254","OKCountyRecords: 1997-004254")</f>
        <v>OKCountyRecords: 1997-004254</v>
      </c>
      <c r="L1764" s="467" t="s">
        <v>403</v>
      </c>
      <c r="M1764" s="467" t="s">
        <v>404</v>
      </c>
      <c r="N1764" s="470">
        <v>1</v>
      </c>
      <c r="O1764" s="471">
        <f t="shared" si="27"/>
        <v>200</v>
      </c>
      <c r="P1764" s="472">
        <f t="shared" si="28"/>
        <v>1</v>
      </c>
      <c r="Q1764" s="472">
        <f t="shared" si="29"/>
        <v>-1</v>
      </c>
      <c r="R1764" s="473">
        <f t="shared" si="30"/>
        <v>200</v>
      </c>
      <c r="S1764" s="467"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90" t="s">
        <v>641</v>
      </c>
      <c r="U1764" s="490" t="s">
        <v>1021</v>
      </c>
      <c r="V1764" s="450"/>
      <c r="W1764" s="450"/>
      <c r="X1764" s="450"/>
      <c r="Y1764" s="450"/>
      <c r="Z1764" s="450"/>
    </row>
    <row r="1765" spans="1:26" x14ac:dyDescent="0.25">
      <c r="A1765" s="467" t="s">
        <v>1301</v>
      </c>
      <c r="B1765" s="467"/>
      <c r="C1765" s="467" t="s">
        <v>1160</v>
      </c>
      <c r="D1765" s="467" t="s">
        <v>1302</v>
      </c>
      <c r="E1765" s="468">
        <v>36026</v>
      </c>
      <c r="F1765" s="468">
        <v>36026</v>
      </c>
      <c r="G1765" s="467" t="s">
        <v>1303</v>
      </c>
      <c r="H1765" s="467" t="s">
        <v>1304</v>
      </c>
      <c r="I1765" s="467" t="s">
        <v>1280</v>
      </c>
      <c r="J1765" s="467" t="s">
        <v>63</v>
      </c>
      <c r="K1765" s="469" t="str">
        <f>HYPERLINK("https://okcountyrecords.com/detail/roger+mills/1998-000584","OKCountyRecords: 1998-000584")</f>
        <v>OKCountyRecords: 1998-000584</v>
      </c>
      <c r="L1765" s="467">
        <v>2</v>
      </c>
      <c r="M1765" s="467" t="s">
        <v>404</v>
      </c>
      <c r="N1765" s="470">
        <v>1</v>
      </c>
      <c r="O1765" s="471">
        <f t="shared" si="27"/>
        <v>160</v>
      </c>
      <c r="P1765" s="472">
        <f t="shared" si="28"/>
        <v>1</v>
      </c>
      <c r="Q1765" s="472">
        <f t="shared" si="29"/>
        <v>-1</v>
      </c>
      <c r="R1765" s="473">
        <f t="shared" si="30"/>
        <v>160</v>
      </c>
      <c r="S1765" s="467"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90"/>
      <c r="U1765" s="490"/>
      <c r="V1765" s="450"/>
      <c r="W1765" s="450"/>
      <c r="X1765" s="450"/>
      <c r="Y1765" s="450"/>
      <c r="Z1765" s="450"/>
    </row>
    <row r="1766" spans="1:26" x14ac:dyDescent="0.25">
      <c r="A1766" s="467" t="s">
        <v>1305</v>
      </c>
      <c r="B1766" s="467"/>
      <c r="C1766" s="467" t="s">
        <v>1160</v>
      </c>
      <c r="D1766" s="467" t="s">
        <v>1306</v>
      </c>
      <c r="E1766" s="468">
        <v>36043</v>
      </c>
      <c r="F1766" s="468">
        <v>36059</v>
      </c>
      <c r="G1766" s="467" t="s">
        <v>285</v>
      </c>
      <c r="H1766" s="467" t="s">
        <v>1307</v>
      </c>
      <c r="I1766" s="467" t="s">
        <v>1280</v>
      </c>
      <c r="J1766" s="467" t="s">
        <v>63</v>
      </c>
      <c r="K1766" s="469" t="str">
        <f>HYPERLINK("https://okcountyrecords.com/detail/roger+mills/1998-000907","OKCountyRecords: 1998-000907")</f>
        <v>OKCountyRecords: 1998-000907</v>
      </c>
      <c r="L1766" s="467">
        <v>2</v>
      </c>
      <c r="M1766" s="467" t="s">
        <v>404</v>
      </c>
      <c r="N1766" s="470">
        <v>1</v>
      </c>
      <c r="O1766" s="471">
        <f t="shared" si="27"/>
        <v>160</v>
      </c>
      <c r="P1766" s="472">
        <f t="shared" si="28"/>
        <v>1</v>
      </c>
      <c r="Q1766" s="472">
        <f t="shared" si="29"/>
        <v>-1</v>
      </c>
      <c r="R1766" s="473">
        <f t="shared" si="30"/>
        <v>160</v>
      </c>
      <c r="S1766" s="467"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89"/>
      <c r="U1766" s="490"/>
      <c r="V1766" s="450"/>
      <c r="W1766" s="450"/>
      <c r="X1766" s="450"/>
      <c r="Y1766" s="450"/>
      <c r="Z1766" s="450"/>
    </row>
    <row r="1767" spans="1:26" x14ac:dyDescent="0.25">
      <c r="A1767" s="467" t="s">
        <v>1309</v>
      </c>
      <c r="B1767" s="467"/>
      <c r="C1767" s="467" t="s">
        <v>619</v>
      </c>
      <c r="D1767" s="467" t="s">
        <v>1310</v>
      </c>
      <c r="E1767" s="468">
        <v>36175</v>
      </c>
      <c r="F1767" s="468">
        <v>36175</v>
      </c>
      <c r="G1767" s="467" t="s">
        <v>959</v>
      </c>
      <c r="H1767" s="467" t="s">
        <v>357</v>
      </c>
      <c r="I1767" s="467" t="s">
        <v>1280</v>
      </c>
      <c r="J1767" s="467" t="s">
        <v>1311</v>
      </c>
      <c r="K1767" s="469" t="str">
        <f>HYPERLINK("https://okcountyrecords.com/detail/roger+mills/1999-002220","OKCountyRecords: 1999-002220")</f>
        <v>OKCountyRecords: 1999-002220</v>
      </c>
      <c r="L1767" s="467">
        <v>2</v>
      </c>
      <c r="M1767" s="467" t="s">
        <v>404</v>
      </c>
      <c r="N1767" s="470">
        <f>1/791.47</f>
        <v>1.2634717677233501E-3</v>
      </c>
      <c r="O1767" s="471">
        <f t="shared" si="27"/>
        <v>160</v>
      </c>
      <c r="P1767" s="472">
        <f t="shared" si="28"/>
        <v>1.2634717677233501E-3</v>
      </c>
      <c r="Q1767" s="472">
        <f t="shared" si="29"/>
        <v>-1.2634717677233501E-3</v>
      </c>
      <c r="R1767" s="473">
        <f t="shared" si="30"/>
        <v>0.20215548283573603</v>
      </c>
      <c r="S1767" s="467"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90"/>
      <c r="U1767" s="490"/>
      <c r="V1767" s="450"/>
      <c r="W1767" s="450"/>
      <c r="X1767" s="450"/>
      <c r="Y1767" s="450"/>
      <c r="Z1767" s="450"/>
    </row>
    <row r="1768" spans="1:26" x14ac:dyDescent="0.25">
      <c r="A1768" s="467" t="s">
        <v>1312</v>
      </c>
      <c r="B1768" s="467"/>
      <c r="C1768" s="467" t="s">
        <v>619</v>
      </c>
      <c r="D1768" s="467" t="s">
        <v>1313</v>
      </c>
      <c r="E1768" s="468">
        <v>36175</v>
      </c>
      <c r="F1768" s="468">
        <v>36175</v>
      </c>
      <c r="G1768" s="467" t="s">
        <v>959</v>
      </c>
      <c r="H1768" s="467" t="s">
        <v>357</v>
      </c>
      <c r="I1768" s="467" t="s">
        <v>1280</v>
      </c>
      <c r="J1768" s="467" t="s">
        <v>1314</v>
      </c>
      <c r="K1768" s="469" t="str">
        <f>HYPERLINK("https://okcountyrecords.com/detail/roger+mills/1999-002219","OKCountyRecords: 1999-002219")</f>
        <v>OKCountyRecords: 1999-002219</v>
      </c>
      <c r="L1768" s="467">
        <v>2</v>
      </c>
      <c r="M1768" s="467" t="s">
        <v>404</v>
      </c>
      <c r="N1768" s="470">
        <f>6/791.47</f>
        <v>7.5808306063401007E-3</v>
      </c>
      <c r="O1768" s="471">
        <f t="shared" si="27"/>
        <v>160</v>
      </c>
      <c r="P1768" s="472">
        <f t="shared" si="28"/>
        <v>7.5808306063401007E-3</v>
      </c>
      <c r="Q1768" s="472">
        <f t="shared" si="29"/>
        <v>-7.5808306063401007E-3</v>
      </c>
      <c r="R1768" s="473">
        <f t="shared" si="30"/>
        <v>1.2129328970144162</v>
      </c>
      <c r="S1768" s="467"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90"/>
      <c r="U1768" s="490"/>
      <c r="V1768" s="450"/>
      <c r="W1768" s="450"/>
      <c r="X1768" s="450"/>
      <c r="Y1768" s="450"/>
      <c r="Z1768" s="450"/>
    </row>
    <row r="1769" spans="1:26" x14ac:dyDescent="0.25">
      <c r="A1769" s="467" t="s">
        <v>1315</v>
      </c>
      <c r="B1769" s="467"/>
      <c r="C1769" s="467" t="s">
        <v>1160</v>
      </c>
      <c r="D1769" s="467" t="s">
        <v>1316</v>
      </c>
      <c r="E1769" s="468">
        <v>36215</v>
      </c>
      <c r="F1769" s="468">
        <v>36215</v>
      </c>
      <c r="G1769" s="467" t="s">
        <v>1317</v>
      </c>
      <c r="H1769" s="467" t="s">
        <v>1318</v>
      </c>
      <c r="I1769" s="467" t="s">
        <v>1280</v>
      </c>
      <c r="J1769" s="467" t="s">
        <v>63</v>
      </c>
      <c r="K1769" s="469" t="str">
        <f>HYPERLINK("https://okcountyrecords.com/detail/roger+mills/1999-002739","OKCountyRecords: 1999-002739")</f>
        <v>OKCountyRecords: 1999-002739</v>
      </c>
      <c r="L1769" s="467">
        <v>2</v>
      </c>
      <c r="M1769" s="467" t="s">
        <v>404</v>
      </c>
      <c r="N1769" s="470">
        <v>1</v>
      </c>
      <c r="O1769" s="471">
        <f t="shared" si="27"/>
        <v>160</v>
      </c>
      <c r="P1769" s="472">
        <f t="shared" si="28"/>
        <v>1</v>
      </c>
      <c r="Q1769" s="472">
        <f t="shared" si="29"/>
        <v>-1</v>
      </c>
      <c r="R1769" s="473">
        <f t="shared" si="30"/>
        <v>160</v>
      </c>
      <c r="S1769" s="467"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90"/>
      <c r="U1769" s="490"/>
      <c r="V1769" s="450"/>
      <c r="W1769" s="450"/>
      <c r="X1769" s="450"/>
      <c r="Y1769" s="450"/>
      <c r="Z1769" s="450"/>
    </row>
    <row r="1770" spans="1:26" x14ac:dyDescent="0.25">
      <c r="A1770" s="467" t="s">
        <v>1319</v>
      </c>
      <c r="B1770" s="467"/>
      <c r="C1770" s="467" t="s">
        <v>1320</v>
      </c>
      <c r="D1770" s="467" t="s">
        <v>1321</v>
      </c>
      <c r="E1770" s="468">
        <v>36250</v>
      </c>
      <c r="F1770" s="468">
        <v>36250</v>
      </c>
      <c r="G1770" s="467" t="s">
        <v>374</v>
      </c>
      <c r="H1770" s="467" t="s">
        <v>102</v>
      </c>
      <c r="I1770" s="467" t="s">
        <v>1322</v>
      </c>
      <c r="J1770" s="467" t="s">
        <v>1323</v>
      </c>
      <c r="K1770" s="469" t="str">
        <f>HYPERLINK("https://okcountyrecords.com/detail/roger+mills/1999-003117","OKCountyRecords: 1999-003117")</f>
        <v>OKCountyRecords: 1999-003117</v>
      </c>
      <c r="L1770" s="467" t="s">
        <v>403</v>
      </c>
      <c r="M1770" s="467" t="s">
        <v>404</v>
      </c>
      <c r="N1770" s="470"/>
      <c r="O1770" s="471">
        <f t="shared" si="27"/>
        <v>200</v>
      </c>
      <c r="P1770" s="472" t="str">
        <f t="shared" si="28"/>
        <v/>
      </c>
      <c r="Q1770" s="472" t="str">
        <f t="shared" si="29"/>
        <v/>
      </c>
      <c r="R1770" s="473" t="str">
        <f t="shared" si="30"/>
        <v/>
      </c>
      <c r="S1770" s="467" t="s">
        <v>1224</v>
      </c>
      <c r="T1770" s="490" t="s">
        <v>467</v>
      </c>
      <c r="U1770" s="490" t="s">
        <v>1324</v>
      </c>
      <c r="V1770" s="450"/>
      <c r="W1770" s="450"/>
      <c r="X1770" s="450"/>
      <c r="Y1770" s="450"/>
      <c r="Z1770" s="450"/>
    </row>
    <row r="1771" spans="1:26" x14ac:dyDescent="0.25">
      <c r="A1771" s="467" t="s">
        <v>1325</v>
      </c>
      <c r="B1771" s="467"/>
      <c r="C1771" s="467" t="s">
        <v>461</v>
      </c>
      <c r="D1771" s="467" t="s">
        <v>1326</v>
      </c>
      <c r="E1771" s="468">
        <v>36270</v>
      </c>
      <c r="F1771" s="468">
        <v>36270</v>
      </c>
      <c r="G1771" s="467" t="s">
        <v>1327</v>
      </c>
      <c r="H1771" s="467" t="s">
        <v>1328</v>
      </c>
      <c r="I1771" s="467" t="s">
        <v>1280</v>
      </c>
      <c r="J1771" s="467" t="s">
        <v>1329</v>
      </c>
      <c r="K1771" s="469" t="str">
        <f>HYPERLINK("https://okcountyrecords.com/detail/roger+mills/1999-003362","OKCountyRecords: 1999-003362")</f>
        <v>OKCountyRecords: 1999-003362</v>
      </c>
      <c r="L1771" s="467">
        <v>2</v>
      </c>
      <c r="M1771" s="467" t="s">
        <v>404</v>
      </c>
      <c r="N1771" s="470">
        <v>1</v>
      </c>
      <c r="O1771" s="471">
        <f t="shared" si="27"/>
        <v>160</v>
      </c>
      <c r="P1771" s="472">
        <f t="shared" si="28"/>
        <v>1</v>
      </c>
      <c r="Q1771" s="472">
        <f t="shared" si="29"/>
        <v>-1</v>
      </c>
      <c r="R1771" s="473">
        <f t="shared" si="30"/>
        <v>160</v>
      </c>
      <c r="S1771" s="467"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90" t="s">
        <v>641</v>
      </c>
      <c r="U1771" s="490" t="s">
        <v>1021</v>
      </c>
      <c r="V1771" s="450"/>
      <c r="W1771" s="450"/>
      <c r="X1771" s="450"/>
      <c r="Y1771" s="450"/>
      <c r="Z1771" s="450"/>
    </row>
    <row r="1772" spans="1:26" x14ac:dyDescent="0.25">
      <c r="A1772" s="467" t="s">
        <v>1330</v>
      </c>
      <c r="B1772" s="467"/>
      <c r="C1772" s="467" t="s">
        <v>619</v>
      </c>
      <c r="D1772" s="467" t="s">
        <v>1331</v>
      </c>
      <c r="E1772" s="468">
        <v>36270</v>
      </c>
      <c r="F1772" s="468">
        <v>36270</v>
      </c>
      <c r="G1772" s="467" t="s">
        <v>1332</v>
      </c>
      <c r="H1772" s="467" t="s">
        <v>1333</v>
      </c>
      <c r="I1772" s="467" t="s">
        <v>1280</v>
      </c>
      <c r="J1772" s="467" t="s">
        <v>1334</v>
      </c>
      <c r="K1772" s="469" t="str">
        <f>HYPERLINK("https://okcountyrecords.com/detail/roger+mills/1999-003363","OKCountyRecords: 1999-003363")</f>
        <v>OKCountyRecords: 1999-003363</v>
      </c>
      <c r="L1772" s="467">
        <v>2</v>
      </c>
      <c r="M1772" s="467" t="s">
        <v>404</v>
      </c>
      <c r="N1772" s="470">
        <f>11.45787/791.47</f>
        <v>1.4476695263244342E-2</v>
      </c>
      <c r="O1772" s="471">
        <f t="shared" si="27"/>
        <v>160</v>
      </c>
      <c r="P1772" s="472">
        <f t="shared" si="28"/>
        <v>1.4476695263244342E-2</v>
      </c>
      <c r="Q1772" s="472">
        <f t="shared" si="29"/>
        <v>-1.4476695263244342E-2</v>
      </c>
      <c r="R1772" s="473">
        <f t="shared" si="30"/>
        <v>2.316271242119095</v>
      </c>
      <c r="S1772" s="467"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90"/>
      <c r="U1772" s="490"/>
      <c r="V1772" s="450"/>
      <c r="W1772" s="450"/>
      <c r="X1772" s="450"/>
      <c r="Y1772" s="450"/>
      <c r="Z1772" s="450"/>
    </row>
    <row r="1773" spans="1:26" x14ac:dyDescent="0.25">
      <c r="A1773" s="467" t="s">
        <v>1335</v>
      </c>
      <c r="B1773" s="467"/>
      <c r="C1773" s="467" t="s">
        <v>619</v>
      </c>
      <c r="D1773" s="467" t="s">
        <v>1336</v>
      </c>
      <c r="E1773" s="468">
        <v>36270</v>
      </c>
      <c r="F1773" s="468">
        <v>36270</v>
      </c>
      <c r="G1773" s="467" t="s">
        <v>1332</v>
      </c>
      <c r="H1773" s="467" t="s">
        <v>1337</v>
      </c>
      <c r="I1773" s="467" t="s">
        <v>1280</v>
      </c>
      <c r="J1773" s="467" t="s">
        <v>1338</v>
      </c>
      <c r="K1773" s="469" t="str">
        <f>HYPERLINK("https://okcountyrecords.com/detail/roger+mills/1999-003365","OKCountyRecords: 1999-003365")</f>
        <v>OKCountyRecords: 1999-003365</v>
      </c>
      <c r="L1773" s="467">
        <v>2</v>
      </c>
      <c r="M1773" s="467" t="s">
        <v>404</v>
      </c>
      <c r="N1773" s="470">
        <f>22.915741/791.47</f>
        <v>2.8953391789960453E-2</v>
      </c>
      <c r="O1773" s="471">
        <f t="shared" si="27"/>
        <v>160</v>
      </c>
      <c r="P1773" s="472">
        <f t="shared" si="28"/>
        <v>2.8953391789960453E-2</v>
      </c>
      <c r="Q1773" s="472">
        <f t="shared" si="29"/>
        <v>-2.8953391789960453E-2</v>
      </c>
      <c r="R1773" s="473">
        <f t="shared" si="30"/>
        <v>4.6325426863936725</v>
      </c>
      <c r="S1773" s="467" t="str">
        <f t="shared" si="34"/>
        <v>Mineral; basis Conv Amt(dec). Gross=tract-map basis.</v>
      </c>
      <c r="T1773" s="490"/>
      <c r="U1773" s="490"/>
      <c r="V1773" s="450"/>
      <c r="W1773" s="450"/>
      <c r="X1773" s="450"/>
      <c r="Y1773" s="450"/>
      <c r="Z1773" s="450"/>
    </row>
    <row r="1774" spans="1:26" x14ac:dyDescent="0.25">
      <c r="A1774" s="467" t="s">
        <v>1339</v>
      </c>
      <c r="B1774" s="467"/>
      <c r="C1774" s="467" t="s">
        <v>619</v>
      </c>
      <c r="D1774" s="467" t="s">
        <v>1340</v>
      </c>
      <c r="E1774" s="468">
        <v>36270</v>
      </c>
      <c r="F1774" s="468">
        <v>36270</v>
      </c>
      <c r="G1774" s="467" t="s">
        <v>1332</v>
      </c>
      <c r="H1774" s="467" t="s">
        <v>248</v>
      </c>
      <c r="I1774" s="467" t="s">
        <v>1280</v>
      </c>
      <c r="J1774" s="467" t="s">
        <v>1338</v>
      </c>
      <c r="K1774" s="469" t="str">
        <f>HYPERLINK("https://okcountyrecords.com/detail/roger+mills/1999-003366","OKCountyRecords: 1999-003366")</f>
        <v>OKCountyRecords: 1999-003366</v>
      </c>
      <c r="L1774" s="467">
        <v>2</v>
      </c>
      <c r="M1774" s="467" t="s">
        <v>404</v>
      </c>
      <c r="N1774" s="470">
        <f>22.915741/791.47</f>
        <v>2.8953391789960453E-2</v>
      </c>
      <c r="O1774" s="471">
        <f t="shared" si="27"/>
        <v>160</v>
      </c>
      <c r="P1774" s="472">
        <f t="shared" si="28"/>
        <v>2.8953391789960453E-2</v>
      </c>
      <c r="Q1774" s="472">
        <f t="shared" si="29"/>
        <v>-2.8953391789960453E-2</v>
      </c>
      <c r="R1774" s="473">
        <f t="shared" si="30"/>
        <v>4.6325426863936725</v>
      </c>
      <c r="S1774" s="467" t="str">
        <f t="shared" si="34"/>
        <v>Mineral; basis Conv Amt(dec). Gross=tract-map basis.</v>
      </c>
      <c r="T1774" s="490"/>
      <c r="U1774" s="490"/>
      <c r="V1774" s="450"/>
      <c r="W1774" s="450"/>
      <c r="X1774" s="450"/>
      <c r="Y1774" s="450"/>
      <c r="Z1774" s="450"/>
    </row>
    <row r="1775" spans="1:26" x14ac:dyDescent="0.25">
      <c r="A1775" s="467" t="s">
        <v>1341</v>
      </c>
      <c r="B1775" s="467"/>
      <c r="C1775" s="467" t="s">
        <v>619</v>
      </c>
      <c r="D1775" s="467" t="s">
        <v>1342</v>
      </c>
      <c r="E1775" s="468">
        <v>36270</v>
      </c>
      <c r="F1775" s="468">
        <v>36270</v>
      </c>
      <c r="G1775" s="467" t="s">
        <v>1332</v>
      </c>
      <c r="H1775" s="467" t="s">
        <v>246</v>
      </c>
      <c r="I1775" s="467" t="s">
        <v>1280</v>
      </c>
      <c r="J1775" s="467" t="s">
        <v>1343</v>
      </c>
      <c r="K1775" s="469" t="str">
        <f>HYPERLINK("https://okcountyrecords.com/detail/roger+mills/1999-003367","OKCountyRecords: 1999-003367")</f>
        <v>OKCountyRecords: 1999-003367</v>
      </c>
      <c r="L1775" s="467">
        <v>2</v>
      </c>
      <c r="M1775" s="467" t="s">
        <v>404</v>
      </c>
      <c r="N1775" s="470">
        <f>28.644676/791.47</f>
        <v>3.6191739421582624E-2</v>
      </c>
      <c r="O1775" s="471">
        <f t="shared" si="27"/>
        <v>160</v>
      </c>
      <c r="P1775" s="472">
        <f t="shared" si="28"/>
        <v>3.6191739421582624E-2</v>
      </c>
      <c r="Q1775" s="472">
        <f t="shared" si="29"/>
        <v>-3.6191739421582624E-2</v>
      </c>
      <c r="R1775" s="473">
        <f t="shared" si="30"/>
        <v>5.79067830745322</v>
      </c>
      <c r="S1775" s="467" t="str">
        <f t="shared" si="34"/>
        <v>Mineral; basis Conv Amt(dec). Gross=tract-map basis.</v>
      </c>
      <c r="T1775" s="489"/>
      <c r="U1775" s="490"/>
      <c r="V1775" s="450"/>
      <c r="W1775" s="450"/>
      <c r="X1775" s="450"/>
      <c r="Y1775" s="450"/>
      <c r="Z1775" s="450"/>
    </row>
    <row r="1776" spans="1:26" x14ac:dyDescent="0.25">
      <c r="A1776" s="467" t="s">
        <v>1344</v>
      </c>
      <c r="B1776" s="467"/>
      <c r="C1776" s="467" t="s">
        <v>619</v>
      </c>
      <c r="D1776" s="467" t="s">
        <v>1345</v>
      </c>
      <c r="E1776" s="468">
        <v>36270</v>
      </c>
      <c r="F1776" s="468">
        <v>36270</v>
      </c>
      <c r="G1776" s="467" t="s">
        <v>1332</v>
      </c>
      <c r="H1776" s="467" t="s">
        <v>1346</v>
      </c>
      <c r="I1776" s="467" t="s">
        <v>1280</v>
      </c>
      <c r="J1776" s="467" t="s">
        <v>1347</v>
      </c>
      <c r="K1776" s="469" t="str">
        <f>HYPERLINK("https://okcountyrecords.com/detail/roger+mills/1999-003368","OKCountyRecords: 1999-003368")</f>
        <v>OKCountyRecords: 1999-003368</v>
      </c>
      <c r="L1776" s="467">
        <v>2</v>
      </c>
      <c r="M1776" s="467" t="s">
        <v>404</v>
      </c>
      <c r="N1776" s="470">
        <f>4.8329635/791.47</f>
        <v>6.1063129366874299E-3</v>
      </c>
      <c r="O1776" s="471">
        <f t="shared" si="27"/>
        <v>160</v>
      </c>
      <c r="P1776" s="472">
        <f t="shared" si="28"/>
        <v>6.1063129366874299E-3</v>
      </c>
      <c r="Q1776" s="472">
        <f t="shared" si="29"/>
        <v>-6.1063129366874299E-3</v>
      </c>
      <c r="R1776" s="473">
        <f t="shared" si="30"/>
        <v>0.97701006986998884</v>
      </c>
      <c r="S1776" s="467" t="str">
        <f t="shared" si="34"/>
        <v>Mineral; basis Conv Amt(dec). Gross=tract-map basis.</v>
      </c>
      <c r="T1776" s="489"/>
      <c r="U1776" s="490"/>
      <c r="V1776" s="450"/>
      <c r="W1776" s="450"/>
      <c r="X1776" s="450"/>
      <c r="Y1776" s="450"/>
      <c r="Z1776" s="450"/>
    </row>
    <row r="1777" spans="1:26" x14ac:dyDescent="0.25">
      <c r="A1777" s="467" t="s">
        <v>1348</v>
      </c>
      <c r="B1777" s="467"/>
      <c r="C1777" s="467" t="s">
        <v>619</v>
      </c>
      <c r="D1777" s="467" t="s">
        <v>1349</v>
      </c>
      <c r="E1777" s="468">
        <v>36270</v>
      </c>
      <c r="F1777" s="468">
        <v>36270</v>
      </c>
      <c r="G1777" s="467" t="s">
        <v>1332</v>
      </c>
      <c r="H1777" s="467" t="s">
        <v>251</v>
      </c>
      <c r="I1777" s="467" t="s">
        <v>1280</v>
      </c>
      <c r="J1777" s="467" t="s">
        <v>1350</v>
      </c>
      <c r="K1777" s="469" t="str">
        <f>HYPERLINK("https://okcountyrecords.com/detail/roger+mills/1999-003364","OKCountyRecords: 1999-003364")</f>
        <v>OKCountyRecords: 1999-003364</v>
      </c>
      <c r="L1777" s="467">
        <v>2</v>
      </c>
      <c r="M1777" s="467" t="s">
        <v>404</v>
      </c>
      <c r="N1777" s="470">
        <f>5.728935/791.47</f>
        <v>7.2383476316221712E-3</v>
      </c>
      <c r="O1777" s="471">
        <f t="shared" si="27"/>
        <v>160</v>
      </c>
      <c r="P1777" s="472">
        <f t="shared" si="28"/>
        <v>7.2383476316221712E-3</v>
      </c>
      <c r="Q1777" s="472">
        <f t="shared" si="29"/>
        <v>-7.2383476316221712E-3</v>
      </c>
      <c r="R1777" s="473">
        <f t="shared" si="30"/>
        <v>1.1581356210595475</v>
      </c>
      <c r="S1777" s="467" t="str">
        <f t="shared" si="34"/>
        <v>Mineral; basis Conv Amt(dec). Gross=tract-map basis.</v>
      </c>
      <c r="T1777" s="490"/>
      <c r="U1777" s="490"/>
      <c r="V1777" s="450"/>
      <c r="W1777" s="450"/>
      <c r="X1777" s="450"/>
      <c r="Y1777" s="450"/>
      <c r="Z1777" s="450"/>
    </row>
    <row r="1778" spans="1:26" x14ac:dyDescent="0.25">
      <c r="A1778" s="467" t="s">
        <v>1351</v>
      </c>
      <c r="B1778" s="467"/>
      <c r="C1778" s="467" t="s">
        <v>604</v>
      </c>
      <c r="D1778" s="467" t="s">
        <v>1352</v>
      </c>
      <c r="E1778" s="468">
        <v>36389</v>
      </c>
      <c r="F1778" s="468">
        <v>42642</v>
      </c>
      <c r="G1778" s="467" t="s">
        <v>1353</v>
      </c>
      <c r="H1778" s="467" t="s">
        <v>102</v>
      </c>
      <c r="I1778" s="467" t="s">
        <v>1354</v>
      </c>
      <c r="J1778" s="467" t="s">
        <v>1355</v>
      </c>
      <c r="K1778" s="469" t="str">
        <f>HYPERLINK("https://okcountyrecords.com/detail/roger+mills/2016-002265","OKCountyRecords: 2016-002265")</f>
        <v>OKCountyRecords: 2016-002265</v>
      </c>
      <c r="L1778" s="467" t="s">
        <v>1356</v>
      </c>
      <c r="M1778" s="467" t="s">
        <v>465</v>
      </c>
      <c r="N1778" s="470"/>
      <c r="O1778" s="471">
        <f t="shared" si="27"/>
        <v>200</v>
      </c>
      <c r="P1778" s="472" t="str">
        <f t="shared" si="28"/>
        <v/>
      </c>
      <c r="Q1778" s="472" t="str">
        <f t="shared" si="29"/>
        <v/>
      </c>
      <c r="R1778" s="473" t="str">
        <f t="shared" si="30"/>
        <v/>
      </c>
      <c r="S1778" s="467" t="s">
        <v>466</v>
      </c>
      <c r="T1778" s="490" t="s">
        <v>467</v>
      </c>
      <c r="U1778" s="490" t="s">
        <v>504</v>
      </c>
      <c r="V1778" s="450"/>
      <c r="W1778" s="450"/>
      <c r="X1778" s="450"/>
      <c r="Y1778" s="450"/>
      <c r="Z1778" s="450"/>
    </row>
    <row r="1779" spans="1:26" x14ac:dyDescent="0.25">
      <c r="A1779" s="467" t="s">
        <v>1357</v>
      </c>
      <c r="B1779" s="467"/>
      <c r="C1779" s="467" t="s">
        <v>533</v>
      </c>
      <c r="D1779" s="467" t="s">
        <v>1358</v>
      </c>
      <c r="E1779" s="468">
        <v>36481</v>
      </c>
      <c r="F1779" s="468">
        <v>36481</v>
      </c>
      <c r="G1779" s="467" t="s">
        <v>1359</v>
      </c>
      <c r="H1779" s="467" t="s">
        <v>1360</v>
      </c>
      <c r="I1779" s="467" t="s">
        <v>569</v>
      </c>
      <c r="J1779" s="467" t="s">
        <v>63</v>
      </c>
      <c r="K1779" s="469" t="str">
        <f>HYPERLINK("https://okcountyrecords.com/detail/roger+mills/1999-005522","OKCountyRecords: 1999-005522")</f>
        <v>OKCountyRecords: 1999-005522</v>
      </c>
      <c r="L1779" s="467" t="s">
        <v>502</v>
      </c>
      <c r="M1779" s="467" t="s">
        <v>404</v>
      </c>
      <c r="N1779" s="470">
        <v>1</v>
      </c>
      <c r="O1779" s="471">
        <f t="shared" si="27"/>
        <v>640</v>
      </c>
      <c r="P1779" s="472">
        <f t="shared" si="28"/>
        <v>1</v>
      </c>
      <c r="Q1779" s="472">
        <f t="shared" si="29"/>
        <v>-1</v>
      </c>
      <c r="R1779" s="473">
        <f t="shared" si="30"/>
        <v>640</v>
      </c>
      <c r="S1779" s="467"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89"/>
      <c r="U1779" s="490"/>
      <c r="V1779" s="450"/>
      <c r="W1779" s="450"/>
      <c r="X1779" s="450"/>
      <c r="Y1779" s="450"/>
      <c r="Z1779" s="450"/>
    </row>
    <row r="1780" spans="1:26" x14ac:dyDescent="0.25">
      <c r="A1780" s="467" t="s">
        <v>1361</v>
      </c>
      <c r="B1780" s="467"/>
      <c r="C1780" s="467" t="s">
        <v>1362</v>
      </c>
      <c r="D1780" s="467" t="s">
        <v>1363</v>
      </c>
      <c r="E1780" s="468">
        <v>36511</v>
      </c>
      <c r="F1780" s="468">
        <v>36511</v>
      </c>
      <c r="G1780" s="467" t="s">
        <v>1364</v>
      </c>
      <c r="H1780" s="467" t="s">
        <v>230</v>
      </c>
      <c r="I1780" s="467" t="s">
        <v>1365</v>
      </c>
      <c r="J1780" s="467" t="s">
        <v>1366</v>
      </c>
      <c r="K1780" s="469" t="str">
        <f>HYPERLINK("https://okcountyrecords.com/detail/roger+mills/1999-005936","OKCountyRecords: 1999-005936")</f>
        <v>OKCountyRecords: 1999-005936</v>
      </c>
      <c r="L1780" s="467" t="s">
        <v>403</v>
      </c>
      <c r="M1780" s="467" t="s">
        <v>404</v>
      </c>
      <c r="N1780" s="470">
        <v>1</v>
      </c>
      <c r="O1780" s="471">
        <f t="shared" si="27"/>
        <v>200</v>
      </c>
      <c r="P1780" s="472">
        <f t="shared" si="28"/>
        <v>1</v>
      </c>
      <c r="Q1780" s="472">
        <f t="shared" si="29"/>
        <v>-1</v>
      </c>
      <c r="R1780" s="473">
        <f t="shared" si="30"/>
        <v>200</v>
      </c>
      <c r="S1780" s="467" t="str">
        <f t="shared" si="35"/>
        <v>Mineral; basis Conv Amt(dec). Gross=tract-map basis.</v>
      </c>
      <c r="T1780" s="489"/>
      <c r="U1780" s="490"/>
      <c r="V1780" s="450"/>
      <c r="W1780" s="450"/>
      <c r="X1780" s="450"/>
      <c r="Y1780" s="450"/>
      <c r="Z1780" s="450"/>
    </row>
    <row r="1781" spans="1:26" x14ac:dyDescent="0.25">
      <c r="A1781" s="467" t="s">
        <v>6939</v>
      </c>
      <c r="B1781" s="467"/>
      <c r="C1781" s="467" t="s">
        <v>202</v>
      </c>
      <c r="D1781" s="467" t="s">
        <v>8506</v>
      </c>
      <c r="E1781" s="468">
        <v>36516</v>
      </c>
      <c r="F1781" s="468">
        <v>36516</v>
      </c>
      <c r="G1781" s="467" t="s">
        <v>8507</v>
      </c>
      <c r="H1781" s="467" t="s">
        <v>262</v>
      </c>
      <c r="I1781" s="467" t="s">
        <v>215</v>
      </c>
      <c r="J1781" s="467" t="s">
        <v>8508</v>
      </c>
      <c r="K1781" s="469" t="str">
        <f>HYPERLINK("https://okcountyrecords.com/detail/roger+mills/1999-006000","OKCountyRecords: 1999-006000")</f>
        <v>OKCountyRecords: 1999-006000</v>
      </c>
      <c r="L1781" s="467">
        <v>2</v>
      </c>
      <c r="M1781" s="467" t="s">
        <v>1489</v>
      </c>
      <c r="N1781" s="470"/>
      <c r="O1781" s="471">
        <f t="shared" si="27"/>
        <v>160</v>
      </c>
      <c r="P1781" s="472" t="str">
        <f t="shared" si="28"/>
        <v/>
      </c>
      <c r="Q1781" s="472" t="str">
        <f t="shared" si="29"/>
        <v/>
      </c>
      <c r="R1781" s="473" t="str">
        <f t="shared" si="30"/>
        <v/>
      </c>
      <c r="S1781" s="467" t="str">
        <f t="shared" si="35"/>
        <v>Leasehold (non-mineral; excluded from mineral NMA). Gross=tract-map basis.</v>
      </c>
      <c r="T1781" s="489"/>
      <c r="U1781" s="490"/>
      <c r="V1781" s="450"/>
      <c r="W1781" s="450"/>
      <c r="X1781" s="450"/>
      <c r="Y1781" s="450"/>
      <c r="Z1781" s="450"/>
    </row>
    <row r="1782" spans="1:26" x14ac:dyDescent="0.25">
      <c r="A1782" s="467" t="s">
        <v>6943</v>
      </c>
      <c r="B1782" s="467"/>
      <c r="C1782" s="467" t="s">
        <v>202</v>
      </c>
      <c r="D1782" s="467" t="s">
        <v>8509</v>
      </c>
      <c r="E1782" s="468">
        <v>36532</v>
      </c>
      <c r="F1782" s="468">
        <v>36532</v>
      </c>
      <c r="G1782" s="467" t="s">
        <v>8510</v>
      </c>
      <c r="H1782" s="467" t="s">
        <v>262</v>
      </c>
      <c r="I1782" s="467" t="s">
        <v>215</v>
      </c>
      <c r="J1782" s="467" t="s">
        <v>8508</v>
      </c>
      <c r="K1782" s="469" t="str">
        <f>HYPERLINK("https://okcountyrecords.com/detail/roger+mills/2000-006217","OKCountyRecords: 2000-006217")</f>
        <v>OKCountyRecords: 2000-006217</v>
      </c>
      <c r="L1782" s="467">
        <v>2</v>
      </c>
      <c r="M1782" s="467" t="s">
        <v>1489</v>
      </c>
      <c r="N1782" s="470"/>
      <c r="O1782" s="471">
        <f t="shared" si="27"/>
        <v>160</v>
      </c>
      <c r="P1782" s="472" t="str">
        <f t="shared" si="28"/>
        <v/>
      </c>
      <c r="Q1782" s="472" t="str">
        <f t="shared" si="29"/>
        <v/>
      </c>
      <c r="R1782" s="473" t="str">
        <f t="shared" si="30"/>
        <v/>
      </c>
      <c r="S1782" s="467" t="str">
        <f t="shared" si="35"/>
        <v>Leasehold (non-mineral; excluded from mineral NMA). Gross=tract-map basis.</v>
      </c>
      <c r="T1782" s="489"/>
      <c r="U1782" s="490"/>
      <c r="V1782" s="450"/>
      <c r="W1782" s="450"/>
      <c r="X1782" s="450"/>
      <c r="Y1782" s="450"/>
      <c r="Z1782" s="450"/>
    </row>
    <row r="1783" spans="1:26" x14ac:dyDescent="0.25">
      <c r="A1783" s="467" t="s">
        <v>6947</v>
      </c>
      <c r="B1783" s="467"/>
      <c r="C1783" s="467" t="s">
        <v>202</v>
      </c>
      <c r="D1783" s="467" t="s">
        <v>8511</v>
      </c>
      <c r="E1783" s="468">
        <v>36545</v>
      </c>
      <c r="F1783" s="468">
        <v>36545</v>
      </c>
      <c r="G1783" s="467" t="s">
        <v>8512</v>
      </c>
      <c r="H1783" s="467" t="s">
        <v>262</v>
      </c>
      <c r="I1783" s="467" t="s">
        <v>6950</v>
      </c>
      <c r="J1783" s="467" t="s">
        <v>8513</v>
      </c>
      <c r="K1783" s="469" t="str">
        <f>HYPERLINK("https://okcountyrecords.com/detail/roger+mills/2000-006360","OKCountyRecords: 2000-006360")</f>
        <v>OKCountyRecords: 2000-006360</v>
      </c>
      <c r="L1783" s="467" t="s">
        <v>1470</v>
      </c>
      <c r="M1783" s="467" t="s">
        <v>1489</v>
      </c>
      <c r="N1783" s="476"/>
      <c r="O1783" s="471">
        <f t="shared" si="27"/>
        <v>240</v>
      </c>
      <c r="P1783" s="472" t="str">
        <f t="shared" si="28"/>
        <v/>
      </c>
      <c r="Q1783" s="472" t="str">
        <f t="shared" si="29"/>
        <v/>
      </c>
      <c r="R1783" s="473" t="str">
        <f t="shared" si="30"/>
        <v/>
      </c>
      <c r="S1783" s="467" t="str">
        <f t="shared" si="35"/>
        <v>Leasehold (non-mineral; excluded from mineral NMA). Gross=tract-map basis.</v>
      </c>
      <c r="T1783" s="489"/>
      <c r="U1783" s="490"/>
      <c r="V1783" s="450"/>
      <c r="W1783" s="450"/>
      <c r="X1783" s="450"/>
      <c r="Y1783" s="450"/>
      <c r="Z1783" s="450"/>
    </row>
    <row r="1784" spans="1:26" x14ac:dyDescent="0.25">
      <c r="A1784" s="467" t="s">
        <v>6952</v>
      </c>
      <c r="B1784" s="467"/>
      <c r="C1784" s="467" t="s">
        <v>202</v>
      </c>
      <c r="D1784" s="467" t="s">
        <v>8514</v>
      </c>
      <c r="E1784" s="468">
        <v>36546</v>
      </c>
      <c r="F1784" s="468">
        <v>36546</v>
      </c>
      <c r="G1784" s="467" t="s">
        <v>8515</v>
      </c>
      <c r="H1784" s="467" t="s">
        <v>4078</v>
      </c>
      <c r="I1784" s="467" t="s">
        <v>321</v>
      </c>
      <c r="J1784" s="467" t="s">
        <v>8508</v>
      </c>
      <c r="K1784" s="469" t="str">
        <f>HYPERLINK("https://okcountyrecords.com/detail/roger+mills/2000-006371","OKCountyRecords: 2000-006371")</f>
        <v>OKCountyRecords: 2000-006371</v>
      </c>
      <c r="L1784" s="467">
        <v>2</v>
      </c>
      <c r="M1784" s="467" t="s">
        <v>1489</v>
      </c>
      <c r="N1784" s="470"/>
      <c r="O1784" s="471">
        <f t="shared" si="27"/>
        <v>160</v>
      </c>
      <c r="P1784" s="472" t="str">
        <f t="shared" si="28"/>
        <v/>
      </c>
      <c r="Q1784" s="472" t="str">
        <f t="shared" si="29"/>
        <v/>
      </c>
      <c r="R1784" s="473" t="str">
        <f t="shared" si="30"/>
        <v/>
      </c>
      <c r="S1784" s="467" t="str">
        <f t="shared" si="35"/>
        <v>Leasehold (non-mineral; excluded from mineral NMA). Gross=tract-map basis.</v>
      </c>
      <c r="T1784" s="489"/>
      <c r="U1784" s="490"/>
      <c r="V1784" s="450"/>
      <c r="W1784" s="450"/>
      <c r="X1784" s="450"/>
      <c r="Y1784" s="450"/>
      <c r="Z1784" s="450"/>
    </row>
    <row r="1785" spans="1:26" x14ac:dyDescent="0.25">
      <c r="A1785" s="467" t="s">
        <v>6956</v>
      </c>
      <c r="B1785" s="467"/>
      <c r="C1785" s="467" t="s">
        <v>202</v>
      </c>
      <c r="D1785" s="467" t="s">
        <v>8356</v>
      </c>
      <c r="E1785" s="468">
        <v>36549</v>
      </c>
      <c r="F1785" s="468">
        <v>36549</v>
      </c>
      <c r="G1785" s="467" t="s">
        <v>8357</v>
      </c>
      <c r="H1785" s="467" t="s">
        <v>4078</v>
      </c>
      <c r="I1785" s="467" t="s">
        <v>321</v>
      </c>
      <c r="J1785" s="467" t="s">
        <v>8358</v>
      </c>
      <c r="K1785" s="469" t="str">
        <f>HYPERLINK("https://okcountyrecords.com/detail/roger+mills/2000-006403","OKCountyRecords: 2000-006403")</f>
        <v>OKCountyRecords: 2000-006403</v>
      </c>
      <c r="L1785" s="467">
        <v>2</v>
      </c>
      <c r="M1785" s="467" t="s">
        <v>1489</v>
      </c>
      <c r="N1785" s="470"/>
      <c r="O1785" s="471">
        <f t="shared" si="27"/>
        <v>160</v>
      </c>
      <c r="P1785" s="472" t="str">
        <f t="shared" si="28"/>
        <v/>
      </c>
      <c r="Q1785" s="472" t="str">
        <f t="shared" si="29"/>
        <v/>
      </c>
      <c r="R1785" s="473" t="str">
        <f t="shared" si="30"/>
        <v/>
      </c>
      <c r="S1785" s="467" t="str">
        <f t="shared" si="35"/>
        <v>Leasehold (non-mineral; excluded from mineral NMA). Gross=tract-map basis.</v>
      </c>
      <c r="T1785" s="489"/>
      <c r="U1785" s="490"/>
      <c r="V1785" s="450"/>
      <c r="W1785" s="450"/>
      <c r="X1785" s="450"/>
      <c r="Y1785" s="450"/>
      <c r="Z1785" s="450"/>
    </row>
    <row r="1786" spans="1:26" x14ac:dyDescent="0.25">
      <c r="A1786" s="467" t="s">
        <v>6970</v>
      </c>
      <c r="B1786" s="467"/>
      <c r="C1786" s="467" t="s">
        <v>202</v>
      </c>
      <c r="D1786" s="467" t="s">
        <v>8360</v>
      </c>
      <c r="E1786" s="468">
        <v>36558</v>
      </c>
      <c r="F1786" s="468">
        <v>36558</v>
      </c>
      <c r="G1786" s="467" t="s">
        <v>8361</v>
      </c>
      <c r="H1786" s="467" t="s">
        <v>262</v>
      </c>
      <c r="I1786" s="467" t="s">
        <v>222</v>
      </c>
      <c r="J1786" s="467" t="s">
        <v>8362</v>
      </c>
      <c r="K1786" s="469" t="str">
        <f>HYPERLINK("https://okcountyrecords.com/detail/roger+mills/2000-006545","OKCountyRecords: 2000-006545")</f>
        <v>OKCountyRecords: 2000-006545</v>
      </c>
      <c r="L1786" s="467" t="s">
        <v>625</v>
      </c>
      <c r="M1786" s="467" t="s">
        <v>1489</v>
      </c>
      <c r="N1786" s="476"/>
      <c r="O1786" s="471">
        <f t="shared" si="27"/>
        <v>280</v>
      </c>
      <c r="P1786" s="472" t="str">
        <f t="shared" si="28"/>
        <v/>
      </c>
      <c r="Q1786" s="472" t="str">
        <f t="shared" si="29"/>
        <v/>
      </c>
      <c r="R1786" s="473" t="str">
        <f t="shared" si="30"/>
        <v/>
      </c>
      <c r="S1786" s="467" t="str">
        <f t="shared" si="35"/>
        <v>Leasehold (non-mineral; excluded from mineral NMA). Gross=tract-map basis.</v>
      </c>
      <c r="T1786" s="489"/>
      <c r="U1786" s="490"/>
      <c r="V1786" s="450"/>
      <c r="W1786" s="450"/>
      <c r="X1786" s="450"/>
      <c r="Y1786" s="450"/>
      <c r="Z1786" s="450"/>
    </row>
    <row r="1787" spans="1:26" x14ac:dyDescent="0.25">
      <c r="A1787" s="467" t="s">
        <v>6965</v>
      </c>
      <c r="B1787" s="467"/>
      <c r="C1787" s="467" t="s">
        <v>202</v>
      </c>
      <c r="D1787" s="467" t="s">
        <v>8364</v>
      </c>
      <c r="E1787" s="468">
        <v>36558</v>
      </c>
      <c r="F1787" s="468">
        <v>36558</v>
      </c>
      <c r="G1787" s="467" t="s">
        <v>8365</v>
      </c>
      <c r="H1787" s="467" t="s">
        <v>4078</v>
      </c>
      <c r="I1787" s="467" t="s">
        <v>263</v>
      </c>
      <c r="J1787" s="467" t="s">
        <v>8366</v>
      </c>
      <c r="K1787" s="469" t="str">
        <f>HYPERLINK("https://okcountyrecords.com/detail/roger+mills/2000-006544","OKCountyRecords: 2000-006544")</f>
        <v>OKCountyRecords: 2000-006544</v>
      </c>
      <c r="L1787" s="467">
        <v>5</v>
      </c>
      <c r="M1787" s="467" t="s">
        <v>1489</v>
      </c>
      <c r="N1787" s="470"/>
      <c r="O1787" s="471">
        <f t="shared" si="27"/>
        <v>120</v>
      </c>
      <c r="P1787" s="472" t="str">
        <f t="shared" si="28"/>
        <v/>
      </c>
      <c r="Q1787" s="472" t="str">
        <f t="shared" si="29"/>
        <v/>
      </c>
      <c r="R1787" s="473" t="str">
        <f t="shared" si="30"/>
        <v/>
      </c>
      <c r="S1787" s="467" t="str">
        <f t="shared" si="35"/>
        <v>Leasehold (non-mineral; excluded from mineral NMA). Gross=tract-map basis.</v>
      </c>
      <c r="T1787" s="489"/>
      <c r="U1787" s="490"/>
      <c r="V1787" s="450"/>
      <c r="W1787" s="450"/>
      <c r="X1787" s="450"/>
      <c r="Y1787" s="450"/>
      <c r="Z1787" s="450"/>
    </row>
    <row r="1788" spans="1:26" x14ac:dyDescent="0.25">
      <c r="A1788" s="467" t="s">
        <v>6980</v>
      </c>
      <c r="B1788" s="467">
        <v>3</v>
      </c>
      <c r="C1788" s="467" t="s">
        <v>202</v>
      </c>
      <c r="D1788" s="478" t="s">
        <v>4086</v>
      </c>
      <c r="E1788" s="468">
        <v>36564</v>
      </c>
      <c r="F1788" s="468">
        <v>36564</v>
      </c>
      <c r="G1788" s="467" t="s">
        <v>279</v>
      </c>
      <c r="H1788" s="467" t="s">
        <v>4078</v>
      </c>
      <c r="I1788" s="467" t="s">
        <v>321</v>
      </c>
      <c r="J1788" s="467" t="s">
        <v>4452</v>
      </c>
      <c r="K1788" s="469" t="str">
        <f>HYPERLINK("https://okcountyrecords.com/detail/roger+mills/2000-006662","63e8b9a8d056433a9994fe46ca85076b.pdf | OKCountyRecords: 2000-006662")</f>
        <v>63e8b9a8d056433a9994fe46ca85076b.pdf | OKCountyRecords: 2000-006662</v>
      </c>
      <c r="L1788" s="467">
        <v>2</v>
      </c>
      <c r="M1788" s="467" t="s">
        <v>1489</v>
      </c>
      <c r="N1788" s="470"/>
      <c r="O1788" s="471">
        <f t="shared" si="27"/>
        <v>160</v>
      </c>
      <c r="P1788" s="472" t="str">
        <f t="shared" si="28"/>
        <v/>
      </c>
      <c r="Q1788" s="472" t="str">
        <f t="shared" si="29"/>
        <v/>
      </c>
      <c r="R1788" s="473" t="str">
        <f t="shared" si="30"/>
        <v/>
      </c>
      <c r="S1788" s="467" t="str">
        <f t="shared" si="35"/>
        <v>Leasehold (non-mineral; excluded from mineral NMA). Gross=tract-map basis.</v>
      </c>
      <c r="T1788" s="489"/>
      <c r="U1788" s="490"/>
      <c r="V1788" s="450"/>
      <c r="W1788" s="450"/>
      <c r="X1788" s="450"/>
      <c r="Y1788" s="450"/>
      <c r="Z1788" s="450"/>
    </row>
    <row r="1789" spans="1:26" x14ac:dyDescent="0.25">
      <c r="A1789" s="467" t="s">
        <v>6973</v>
      </c>
      <c r="B1789" s="467">
        <v>1</v>
      </c>
      <c r="C1789" s="467" t="s">
        <v>202</v>
      </c>
      <c r="D1789" s="478" t="s">
        <v>4076</v>
      </c>
      <c r="E1789" s="468">
        <v>36564</v>
      </c>
      <c r="F1789" s="468">
        <v>36564</v>
      </c>
      <c r="G1789" s="467" t="s">
        <v>4077</v>
      </c>
      <c r="H1789" s="467" t="s">
        <v>4078</v>
      </c>
      <c r="I1789" s="467" t="s">
        <v>321</v>
      </c>
      <c r="J1789" s="467" t="s">
        <v>4452</v>
      </c>
      <c r="K1789" s="469" t="str">
        <f>HYPERLINK("https://okcountyrecords.com/detail/roger+mills/2000-006657","63e8b9a8d056433a9994fe46ca85076b.pdf | OKCountyRecords: 2000-006657")</f>
        <v>63e8b9a8d056433a9994fe46ca85076b.pdf | OKCountyRecords: 2000-006657</v>
      </c>
      <c r="L1789" s="467">
        <v>2</v>
      </c>
      <c r="M1789" s="467" t="s">
        <v>1489</v>
      </c>
      <c r="N1789" s="470"/>
      <c r="O1789" s="471">
        <f t="shared" si="27"/>
        <v>160</v>
      </c>
      <c r="P1789" s="472" t="str">
        <f t="shared" si="28"/>
        <v/>
      </c>
      <c r="Q1789" s="472" t="str">
        <f t="shared" si="29"/>
        <v/>
      </c>
      <c r="R1789" s="473" t="str">
        <f t="shared" si="30"/>
        <v/>
      </c>
      <c r="S1789" s="467" t="str">
        <f t="shared" si="35"/>
        <v>Leasehold (non-mineral; excluded from mineral NMA). Gross=tract-map basis.</v>
      </c>
      <c r="T1789" s="489"/>
      <c r="U1789" s="490"/>
      <c r="V1789" s="450"/>
      <c r="W1789" s="450"/>
      <c r="X1789" s="450"/>
      <c r="Y1789" s="450"/>
      <c r="Z1789" s="450"/>
    </row>
    <row r="1790" spans="1:26" x14ac:dyDescent="0.25">
      <c r="A1790" s="467" t="s">
        <v>6976</v>
      </c>
      <c r="B1790" s="467">
        <v>2</v>
      </c>
      <c r="C1790" s="467" t="s">
        <v>202</v>
      </c>
      <c r="D1790" s="478" t="s">
        <v>4082</v>
      </c>
      <c r="E1790" s="468">
        <v>36564</v>
      </c>
      <c r="F1790" s="468">
        <v>36564</v>
      </c>
      <c r="G1790" s="467" t="s">
        <v>4083</v>
      </c>
      <c r="H1790" s="467" t="s">
        <v>4078</v>
      </c>
      <c r="I1790" s="467" t="s">
        <v>321</v>
      </c>
      <c r="J1790" s="467" t="s">
        <v>4452</v>
      </c>
      <c r="K1790" s="469" t="str">
        <f>HYPERLINK("https://okcountyrecords.com/detail/roger+mills/2000-006661","63e8b9a8d056433a9994fe46ca85076b.pdf | OKCountyRecords: 2000-006661")</f>
        <v>63e8b9a8d056433a9994fe46ca85076b.pdf | OKCountyRecords: 2000-006661</v>
      </c>
      <c r="L1790" s="467">
        <v>2</v>
      </c>
      <c r="M1790" s="467" t="s">
        <v>1489</v>
      </c>
      <c r="N1790" s="470"/>
      <c r="O1790" s="471">
        <f t="shared" si="27"/>
        <v>160</v>
      </c>
      <c r="P1790" s="472" t="str">
        <f t="shared" si="28"/>
        <v/>
      </c>
      <c r="Q1790" s="472" t="str">
        <f t="shared" si="29"/>
        <v/>
      </c>
      <c r="R1790" s="473" t="str">
        <f t="shared" si="30"/>
        <v/>
      </c>
      <c r="S1790" s="467" t="str">
        <f t="shared" si="35"/>
        <v>Leasehold (non-mineral; excluded from mineral NMA). Gross=tract-map basis.</v>
      </c>
      <c r="T1790" s="489"/>
      <c r="U1790" s="490"/>
      <c r="V1790" s="450"/>
      <c r="W1790" s="450"/>
      <c r="X1790" s="450"/>
      <c r="Y1790" s="450"/>
      <c r="Z1790" s="450"/>
    </row>
    <row r="1791" spans="1:26" x14ac:dyDescent="0.25">
      <c r="A1791" s="467" t="s">
        <v>6991</v>
      </c>
      <c r="B1791" s="467">
        <v>6</v>
      </c>
      <c r="C1791" s="467" t="s">
        <v>202</v>
      </c>
      <c r="D1791" s="478" t="s">
        <v>4093</v>
      </c>
      <c r="E1791" s="468">
        <v>36565</v>
      </c>
      <c r="F1791" s="468">
        <v>36565</v>
      </c>
      <c r="G1791" s="467" t="s">
        <v>2397</v>
      </c>
      <c r="H1791" s="467" t="s">
        <v>205</v>
      </c>
      <c r="I1791" s="467" t="s">
        <v>8516</v>
      </c>
      <c r="J1791" s="467" t="s">
        <v>4452</v>
      </c>
      <c r="K1791" s="469" t="str">
        <f>HYPERLINK("https://okcountyrecords.com/detail/roger+mills/2000-006692","63e8b9a8d056433a9994fe46ca85076b.pdf | OKCountyRecords: 2000-006692")</f>
        <v>63e8b9a8d056433a9994fe46ca85076b.pdf | OKCountyRecords: 2000-006692</v>
      </c>
      <c r="L1791" s="467" t="s">
        <v>8517</v>
      </c>
      <c r="M1791" s="467" t="s">
        <v>1489</v>
      </c>
      <c r="N1791" s="470"/>
      <c r="O1791" s="471">
        <f t="shared" si="27"/>
        <v>320</v>
      </c>
      <c r="P1791" s="472" t="str">
        <f t="shared" si="28"/>
        <v/>
      </c>
      <c r="Q1791" s="472" t="str">
        <f t="shared" si="29"/>
        <v/>
      </c>
      <c r="R1791" s="473" t="str">
        <f t="shared" si="30"/>
        <v/>
      </c>
      <c r="S1791" s="467" t="str">
        <f t="shared" si="35"/>
        <v>Leasehold (non-mineral; excluded from mineral NMA). Gross=tract-map basis.</v>
      </c>
      <c r="T1791" s="489"/>
      <c r="U1791" s="490"/>
      <c r="V1791" s="450"/>
      <c r="W1791" s="450"/>
      <c r="X1791" s="450"/>
      <c r="Y1791" s="450"/>
      <c r="Z1791" s="450"/>
    </row>
    <row r="1792" spans="1:26" x14ac:dyDescent="0.25">
      <c r="A1792" s="467" t="s">
        <v>7002</v>
      </c>
      <c r="B1792" s="467">
        <v>9</v>
      </c>
      <c r="C1792" s="467" t="s">
        <v>202</v>
      </c>
      <c r="D1792" s="478" t="s">
        <v>4101</v>
      </c>
      <c r="E1792" s="468">
        <v>36565</v>
      </c>
      <c r="F1792" s="468">
        <v>36565</v>
      </c>
      <c r="G1792" s="467" t="s">
        <v>251</v>
      </c>
      <c r="H1792" s="467" t="s">
        <v>4078</v>
      </c>
      <c r="I1792" s="467" t="s">
        <v>321</v>
      </c>
      <c r="J1792" s="467" t="s">
        <v>4452</v>
      </c>
      <c r="K1792" s="469" t="str">
        <f>HYPERLINK("https://okcountyrecords.com/detail/roger+mills/2000-006711","63e8b9a8d056433a9994fe46ca85076b.pdf | OKCountyRecords: 2000-006711")</f>
        <v>63e8b9a8d056433a9994fe46ca85076b.pdf | OKCountyRecords: 2000-006711</v>
      </c>
      <c r="L1792" s="467">
        <v>2</v>
      </c>
      <c r="M1792" s="467" t="s">
        <v>1489</v>
      </c>
      <c r="N1792" s="470"/>
      <c r="O1792" s="471">
        <f t="shared" si="27"/>
        <v>160</v>
      </c>
      <c r="P1792" s="472" t="str">
        <f t="shared" si="28"/>
        <v/>
      </c>
      <c r="Q1792" s="472" t="str">
        <f t="shared" si="29"/>
        <v/>
      </c>
      <c r="R1792" s="473" t="str">
        <f t="shared" si="30"/>
        <v/>
      </c>
      <c r="S1792" s="467" t="str">
        <f t="shared" si="35"/>
        <v>Leasehold (non-mineral; excluded from mineral NMA). Gross=tract-map basis.</v>
      </c>
      <c r="T1792" s="489"/>
      <c r="U1792" s="490"/>
      <c r="V1792" s="450"/>
      <c r="W1792" s="450"/>
      <c r="X1792" s="450"/>
      <c r="Y1792" s="450"/>
      <c r="Z1792" s="450"/>
    </row>
    <row r="1793" spans="1:26" x14ac:dyDescent="0.25">
      <c r="A1793" s="467" t="s">
        <v>6998</v>
      </c>
      <c r="B1793" s="467">
        <v>8</v>
      </c>
      <c r="C1793" s="467" t="s">
        <v>202</v>
      </c>
      <c r="D1793" s="478" t="s">
        <v>4098</v>
      </c>
      <c r="E1793" s="468">
        <v>36565</v>
      </c>
      <c r="F1793" s="468">
        <v>36565</v>
      </c>
      <c r="G1793" s="467" t="s">
        <v>4099</v>
      </c>
      <c r="H1793" s="467" t="s">
        <v>4078</v>
      </c>
      <c r="I1793" s="467" t="s">
        <v>321</v>
      </c>
      <c r="J1793" s="467" t="s">
        <v>4452</v>
      </c>
      <c r="K1793" s="469" t="str">
        <f>HYPERLINK("https://okcountyrecords.com/detail/roger+mills/2000-006710","63e8b9a8d056433a9994fe46ca85076b.pdf | OKCountyRecords: 2000-006710")</f>
        <v>63e8b9a8d056433a9994fe46ca85076b.pdf | OKCountyRecords: 2000-006710</v>
      </c>
      <c r="L1793" s="467">
        <v>2</v>
      </c>
      <c r="M1793" s="467" t="s">
        <v>1489</v>
      </c>
      <c r="N1793" s="470"/>
      <c r="O1793" s="471">
        <f t="shared" si="27"/>
        <v>160</v>
      </c>
      <c r="P1793" s="472" t="str">
        <f t="shared" si="28"/>
        <v/>
      </c>
      <c r="Q1793" s="472" t="str">
        <f t="shared" si="29"/>
        <v/>
      </c>
      <c r="R1793" s="473" t="str">
        <f t="shared" si="30"/>
        <v/>
      </c>
      <c r="S1793" s="467" t="str">
        <f t="shared" si="35"/>
        <v>Leasehold (non-mineral; excluded from mineral NMA). Gross=tract-map basis.</v>
      </c>
      <c r="T1793" s="489"/>
      <c r="U1793" s="490"/>
      <c r="V1793" s="450"/>
      <c r="W1793" s="450"/>
      <c r="X1793" s="450"/>
      <c r="Y1793" s="450"/>
      <c r="Z1793" s="450"/>
    </row>
    <row r="1794" spans="1:26" x14ac:dyDescent="0.25">
      <c r="A1794" s="467" t="s">
        <v>6995</v>
      </c>
      <c r="B1794" s="467">
        <v>7</v>
      </c>
      <c r="C1794" s="467" t="s">
        <v>202</v>
      </c>
      <c r="D1794" s="478" t="s">
        <v>4096</v>
      </c>
      <c r="E1794" s="468">
        <v>36565</v>
      </c>
      <c r="F1794" s="468">
        <v>36565</v>
      </c>
      <c r="G1794" s="467" t="s">
        <v>2813</v>
      </c>
      <c r="H1794" s="467" t="s">
        <v>205</v>
      </c>
      <c r="I1794" s="467" t="s">
        <v>8518</v>
      </c>
      <c r="J1794" s="467" t="s">
        <v>4452</v>
      </c>
      <c r="K1794" s="469" t="str">
        <f>HYPERLINK("https://okcountyrecords.com/detail/roger+mills/2000-006696","63e8b9a8d056433a9994fe46ca85076b.pdf | OKCountyRecords: 2000-006696")</f>
        <v>63e8b9a8d056433a9994fe46ca85076b.pdf | OKCountyRecords: 2000-006696</v>
      </c>
      <c r="L1794" s="467" t="s">
        <v>438</v>
      </c>
      <c r="M1794" s="467" t="s">
        <v>1489</v>
      </c>
      <c r="N1794" s="470"/>
      <c r="O1794" s="471">
        <f t="shared" si="27"/>
        <v>240</v>
      </c>
      <c r="P1794" s="472" t="str">
        <f t="shared" si="28"/>
        <v/>
      </c>
      <c r="Q1794" s="472" t="str">
        <f t="shared" si="29"/>
        <v/>
      </c>
      <c r="R1794" s="473" t="str">
        <f t="shared" si="30"/>
        <v/>
      </c>
      <c r="S1794" s="467" t="str">
        <f t="shared" si="35"/>
        <v>Leasehold (non-mineral; excluded from mineral NMA). Gross=tract-map basis.</v>
      </c>
      <c r="T1794" s="489"/>
      <c r="U1794" s="490"/>
      <c r="V1794" s="450"/>
      <c r="W1794" s="450"/>
      <c r="X1794" s="450"/>
      <c r="Y1794" s="450"/>
      <c r="Z1794" s="450"/>
    </row>
    <row r="1795" spans="1:26" x14ac:dyDescent="0.25">
      <c r="A1795" s="467" t="s">
        <v>7005</v>
      </c>
      <c r="B1795" s="467">
        <v>10</v>
      </c>
      <c r="C1795" s="467" t="s">
        <v>202</v>
      </c>
      <c r="D1795" s="478" t="s">
        <v>4103</v>
      </c>
      <c r="E1795" s="468">
        <v>36565</v>
      </c>
      <c r="F1795" s="468">
        <v>36565</v>
      </c>
      <c r="G1795" s="467" t="s">
        <v>4104</v>
      </c>
      <c r="H1795" s="467" t="s">
        <v>4078</v>
      </c>
      <c r="I1795" s="467" t="s">
        <v>321</v>
      </c>
      <c r="J1795" s="467" t="s">
        <v>4452</v>
      </c>
      <c r="K1795" s="469" t="str">
        <f>HYPERLINK("https://okcountyrecords.com/detail/roger+mills/2000-006712","63e8b9a8d056433a9994fe46ca85076b.pdf | OKCountyRecords: 2000-006712")</f>
        <v>63e8b9a8d056433a9994fe46ca85076b.pdf | OKCountyRecords: 2000-006712</v>
      </c>
      <c r="L1795" s="467">
        <v>2</v>
      </c>
      <c r="M1795" s="467" t="s">
        <v>1489</v>
      </c>
      <c r="N1795" s="470"/>
      <c r="O1795" s="471">
        <f t="shared" si="27"/>
        <v>160</v>
      </c>
      <c r="P1795" s="472" t="str">
        <f t="shared" si="28"/>
        <v/>
      </c>
      <c r="Q1795" s="472" t="str">
        <f t="shared" si="29"/>
        <v/>
      </c>
      <c r="R1795" s="473" t="str">
        <f t="shared" si="30"/>
        <v/>
      </c>
      <c r="S1795" s="467" t="str">
        <f t="shared" si="35"/>
        <v>Leasehold (non-mineral; excluded from mineral NMA). Gross=tract-map basis.</v>
      </c>
      <c r="T1795" s="489"/>
      <c r="U1795" s="490"/>
      <c r="V1795" s="450"/>
      <c r="W1795" s="450"/>
      <c r="X1795" s="450"/>
      <c r="Y1795" s="450"/>
      <c r="Z1795" s="450"/>
    </row>
    <row r="1796" spans="1:26" x14ac:dyDescent="0.25">
      <c r="A1796" s="467" t="s">
        <v>7008</v>
      </c>
      <c r="B1796" s="467">
        <v>11</v>
      </c>
      <c r="C1796" s="467" t="s">
        <v>202</v>
      </c>
      <c r="D1796" s="478" t="s">
        <v>4106</v>
      </c>
      <c r="E1796" s="468">
        <v>36566</v>
      </c>
      <c r="F1796" s="468">
        <v>36566</v>
      </c>
      <c r="G1796" s="467" t="s">
        <v>236</v>
      </c>
      <c r="H1796" s="467" t="s">
        <v>262</v>
      </c>
      <c r="I1796" s="467" t="s">
        <v>238</v>
      </c>
      <c r="J1796" s="467" t="s">
        <v>4452</v>
      </c>
      <c r="K1796" s="469" t="str">
        <f>HYPERLINK("https://okcountyrecords.com/detail/roger+mills/2000-006716","63e8b9a8d056433a9994fe46ca85076b.pdf | OKCountyRecords: 2000-006716")</f>
        <v>63e8b9a8d056433a9994fe46ca85076b.pdf | OKCountyRecords: 2000-006716</v>
      </c>
      <c r="L1796" s="467" t="s">
        <v>502</v>
      </c>
      <c r="M1796" s="467" t="s">
        <v>1489</v>
      </c>
      <c r="N1796" s="470"/>
      <c r="O1796" s="471">
        <f t="shared" si="27"/>
        <v>640</v>
      </c>
      <c r="P1796" s="472" t="str">
        <f t="shared" si="28"/>
        <v/>
      </c>
      <c r="Q1796" s="472" t="str">
        <f t="shared" si="29"/>
        <v/>
      </c>
      <c r="R1796" s="473" t="str">
        <f t="shared" si="30"/>
        <v/>
      </c>
      <c r="S1796" s="467" t="str">
        <f t="shared" si="35"/>
        <v>Leasehold (non-mineral; excluded from mineral NMA). All-section coverage. Gross=tract-map basis.</v>
      </c>
      <c r="T1796" s="489"/>
      <c r="U1796" s="490"/>
      <c r="V1796" s="450"/>
      <c r="W1796" s="450"/>
      <c r="X1796" s="450"/>
      <c r="Y1796" s="450"/>
      <c r="Z1796" s="450"/>
    </row>
    <row r="1797" spans="1:26" x14ac:dyDescent="0.25">
      <c r="A1797" s="467" t="s">
        <v>7011</v>
      </c>
      <c r="B1797" s="467">
        <v>12</v>
      </c>
      <c r="C1797" s="467" t="s">
        <v>202</v>
      </c>
      <c r="D1797" s="478" t="s">
        <v>4108</v>
      </c>
      <c r="E1797" s="468">
        <v>36572</v>
      </c>
      <c r="F1797" s="468">
        <v>36572</v>
      </c>
      <c r="G1797" s="467" t="s">
        <v>1370</v>
      </c>
      <c r="H1797" s="467" t="s">
        <v>4078</v>
      </c>
      <c r="I1797" s="467" t="s">
        <v>222</v>
      </c>
      <c r="J1797" s="467" t="s">
        <v>4452</v>
      </c>
      <c r="K1797" s="469" t="str">
        <f>HYPERLINK("https://okcountyrecords.com/detail/roger+mills/2000-006763","63e8b9a8d056433a9994fe46ca85076b.pdf | OKCountyRecords: 2000-006763")</f>
        <v>63e8b9a8d056433a9994fe46ca85076b.pdf | OKCountyRecords: 2000-006763</v>
      </c>
      <c r="L1797" s="467" t="s">
        <v>625</v>
      </c>
      <c r="M1797" s="467" t="s">
        <v>1489</v>
      </c>
      <c r="N1797" s="476"/>
      <c r="O1797" s="471">
        <f t="shared" si="27"/>
        <v>280</v>
      </c>
      <c r="P1797" s="472" t="str">
        <f t="shared" si="28"/>
        <v/>
      </c>
      <c r="Q1797" s="472" t="str">
        <f t="shared" si="29"/>
        <v/>
      </c>
      <c r="R1797" s="473" t="str">
        <f t="shared" si="30"/>
        <v/>
      </c>
      <c r="S1797" s="467" t="str">
        <f t="shared" si="35"/>
        <v>Leasehold (non-mineral; excluded from mineral NMA). Gross=tract-map basis.</v>
      </c>
      <c r="T1797" s="489"/>
      <c r="U1797" s="490"/>
      <c r="V1797" s="450"/>
      <c r="W1797" s="450"/>
      <c r="X1797" s="450"/>
      <c r="Y1797" s="450"/>
      <c r="Z1797" s="450"/>
    </row>
    <row r="1798" spans="1:26" x14ac:dyDescent="0.25">
      <c r="A1798" s="467" t="s">
        <v>1367</v>
      </c>
      <c r="B1798" s="467"/>
      <c r="C1798" s="467" t="s">
        <v>1368</v>
      </c>
      <c r="D1798" s="467" t="s">
        <v>1369</v>
      </c>
      <c r="E1798" s="468">
        <v>36572</v>
      </c>
      <c r="F1798" s="468">
        <v>36572</v>
      </c>
      <c r="G1798" s="467" t="s">
        <v>1370</v>
      </c>
      <c r="H1798" s="467" t="s">
        <v>1371</v>
      </c>
      <c r="I1798" s="467" t="s">
        <v>222</v>
      </c>
      <c r="J1798" s="467" t="s">
        <v>8519</v>
      </c>
      <c r="K1798" s="469" t="str">
        <f>HYPERLINK("https://okcountyrecords.com/detail/roger+mills/2000-006764","OKCountyRecords: 2000-006764")</f>
        <v>OKCountyRecords: 2000-006764</v>
      </c>
      <c r="L1798" s="467" t="s">
        <v>625</v>
      </c>
      <c r="M1798" s="467" t="s">
        <v>404</v>
      </c>
      <c r="N1798" s="476">
        <v>1</v>
      </c>
      <c r="O1798" s="471">
        <f t="shared" si="27"/>
        <v>280</v>
      </c>
      <c r="P1798" s="472">
        <f t="shared" si="28"/>
        <v>1</v>
      </c>
      <c r="Q1798" s="472">
        <f t="shared" si="29"/>
        <v>-1</v>
      </c>
      <c r="R1798" s="473">
        <f t="shared" si="30"/>
        <v>280</v>
      </c>
      <c r="S1798" s="467"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89" t="s">
        <v>641</v>
      </c>
      <c r="U1798" s="490" t="s">
        <v>1021</v>
      </c>
      <c r="V1798" s="450"/>
      <c r="W1798" s="450"/>
      <c r="X1798" s="450"/>
      <c r="Y1798" s="450"/>
      <c r="Z1798" s="450"/>
    </row>
    <row r="1799" spans="1:26" x14ac:dyDescent="0.25">
      <c r="A1799" s="467" t="s">
        <v>7019</v>
      </c>
      <c r="B1799" s="467"/>
      <c r="C1799" s="467" t="s">
        <v>202</v>
      </c>
      <c r="D1799" s="467" t="s">
        <v>8368</v>
      </c>
      <c r="E1799" s="468">
        <v>36586</v>
      </c>
      <c r="F1799" s="468">
        <v>36586</v>
      </c>
      <c r="G1799" s="467" t="s">
        <v>8369</v>
      </c>
      <c r="H1799" s="467" t="s">
        <v>4078</v>
      </c>
      <c r="I1799" s="467" t="s">
        <v>7022</v>
      </c>
      <c r="J1799" s="467" t="s">
        <v>8370</v>
      </c>
      <c r="K1799" s="469" t="str">
        <f>HYPERLINK("https://okcountyrecords.com/detail/roger+mills/2000-006917","OKCountyRecords: 2000-006917")</f>
        <v>OKCountyRecords: 2000-006917</v>
      </c>
      <c r="L1799" s="467" t="s">
        <v>8372</v>
      </c>
      <c r="M1799" s="467" t="s">
        <v>1489</v>
      </c>
      <c r="N1799" s="476"/>
      <c r="O1799" s="471">
        <f t="shared" si="27"/>
        <v>160</v>
      </c>
      <c r="P1799" s="472" t="str">
        <f t="shared" si="28"/>
        <v/>
      </c>
      <c r="Q1799" s="472" t="str">
        <f t="shared" si="29"/>
        <v/>
      </c>
      <c r="R1799" s="473" t="str">
        <f t="shared" si="30"/>
        <v/>
      </c>
      <c r="S1799" s="467"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89"/>
      <c r="U1799" s="490"/>
      <c r="V1799" s="450"/>
      <c r="W1799" s="450"/>
      <c r="X1799" s="450"/>
      <c r="Y1799" s="450"/>
      <c r="Z1799" s="450"/>
    </row>
    <row r="1800" spans="1:26" x14ac:dyDescent="0.25">
      <c r="A1800" s="467" t="s">
        <v>7024</v>
      </c>
      <c r="B1800" s="467"/>
      <c r="C1800" s="467" t="s">
        <v>202</v>
      </c>
      <c r="D1800" s="467" t="s">
        <v>8373</v>
      </c>
      <c r="E1800" s="468">
        <v>36586</v>
      </c>
      <c r="F1800" s="468">
        <v>36586</v>
      </c>
      <c r="G1800" s="467" t="s">
        <v>8374</v>
      </c>
      <c r="H1800" s="467" t="s">
        <v>4078</v>
      </c>
      <c r="I1800" s="467" t="s">
        <v>7026</v>
      </c>
      <c r="J1800" s="467" t="s">
        <v>8370</v>
      </c>
      <c r="K1800" s="469" t="str">
        <f>HYPERLINK("https://okcountyrecords.com/detail/roger+mills/2000-006918","OKCountyRecords: 2000-006918")</f>
        <v>OKCountyRecords: 2000-006918</v>
      </c>
      <c r="L1800" s="467" t="s">
        <v>8376</v>
      </c>
      <c r="M1800" s="467" t="s">
        <v>1489</v>
      </c>
      <c r="N1800" s="476"/>
      <c r="O1800" s="471">
        <f t="shared" si="27"/>
        <v>200</v>
      </c>
      <c r="P1800" s="472" t="str">
        <f t="shared" si="28"/>
        <v/>
      </c>
      <c r="Q1800" s="472" t="str">
        <f t="shared" si="29"/>
        <v/>
      </c>
      <c r="R1800" s="473" t="str">
        <f t="shared" si="30"/>
        <v/>
      </c>
      <c r="S1800" s="467" t="str">
        <f t="shared" si="36"/>
        <v>Leasehold (non-mineral; excluded from mineral NMA). Gross=tract-map basis.</v>
      </c>
      <c r="T1800" s="489"/>
      <c r="U1800" s="490"/>
      <c r="V1800" s="450"/>
      <c r="W1800" s="450"/>
      <c r="X1800" s="450"/>
      <c r="Y1800" s="450"/>
      <c r="Z1800" s="450"/>
    </row>
    <row r="1801" spans="1:26" x14ac:dyDescent="0.25">
      <c r="A1801" s="467" t="s">
        <v>7037</v>
      </c>
      <c r="B1801" s="467"/>
      <c r="C1801" s="467" t="s">
        <v>202</v>
      </c>
      <c r="D1801" s="467" t="s">
        <v>8377</v>
      </c>
      <c r="E1801" s="468">
        <v>36593</v>
      </c>
      <c r="F1801" s="468">
        <v>36593</v>
      </c>
      <c r="G1801" s="467" t="s">
        <v>8378</v>
      </c>
      <c r="H1801" s="467" t="s">
        <v>262</v>
      </c>
      <c r="I1801" s="467" t="s">
        <v>222</v>
      </c>
      <c r="J1801" s="467" t="s">
        <v>8379</v>
      </c>
      <c r="K1801" s="469" t="str">
        <f>HYPERLINK("https://okcountyrecords.com/detail/roger+mills/2000-006986","OKCountyRecords: 2000-006986")</f>
        <v>OKCountyRecords: 2000-006986</v>
      </c>
      <c r="L1801" s="467" t="s">
        <v>625</v>
      </c>
      <c r="M1801" s="467" t="s">
        <v>1489</v>
      </c>
      <c r="N1801" s="476"/>
      <c r="O1801" s="471">
        <f t="shared" si="27"/>
        <v>280</v>
      </c>
      <c r="P1801" s="472" t="str">
        <f t="shared" si="28"/>
        <v/>
      </c>
      <c r="Q1801" s="472" t="str">
        <f t="shared" si="29"/>
        <v/>
      </c>
      <c r="R1801" s="473" t="str">
        <f t="shared" si="30"/>
        <v/>
      </c>
      <c r="S1801" s="467" t="str">
        <f t="shared" si="36"/>
        <v>Leasehold (non-mineral; excluded from mineral NMA). Gross=tract-map basis.</v>
      </c>
      <c r="T1801" s="489"/>
      <c r="U1801" s="490"/>
      <c r="V1801" s="450"/>
      <c r="W1801" s="450"/>
      <c r="X1801" s="450"/>
      <c r="Y1801" s="450"/>
      <c r="Z1801" s="450"/>
    </row>
    <row r="1802" spans="1:26" x14ac:dyDescent="0.25">
      <c r="A1802" s="467" t="s">
        <v>7033</v>
      </c>
      <c r="B1802" s="467"/>
      <c r="C1802" s="467" t="s">
        <v>202</v>
      </c>
      <c r="D1802" s="467" t="s">
        <v>8381</v>
      </c>
      <c r="E1802" s="468">
        <v>36593</v>
      </c>
      <c r="F1802" s="468">
        <v>36593</v>
      </c>
      <c r="G1802" s="467" t="s">
        <v>8382</v>
      </c>
      <c r="H1802" s="467" t="s">
        <v>262</v>
      </c>
      <c r="I1802" s="467" t="s">
        <v>8383</v>
      </c>
      <c r="J1802" s="467" t="s">
        <v>8384</v>
      </c>
      <c r="K1802" s="469" t="str">
        <f>HYPERLINK("https://okcountyrecords.com/detail/roger+mills/2000-006985","OKCountyRecords: 2000-006985")</f>
        <v>OKCountyRecords: 2000-006985</v>
      </c>
      <c r="L1802" s="467" t="s">
        <v>8386</v>
      </c>
      <c r="M1802" s="467" t="s">
        <v>1489</v>
      </c>
      <c r="N1802" s="470"/>
      <c r="O1802" s="471">
        <f t="shared" ref="O1802:O1865" si="37">IF($L1802="","",IF(ISNUMBER(SEARCH("all",$L1802)),640,(ISNUMBER(SEARCH("1",$L1802)))*80+(ISNUMBER(SEARCH("2",$L1802)))*160+(ISNUMBER(SEARCH("3",$L1802)))*40+(ISNUMBER(SEARCH("4",$L1802)))*80+(ISNUMBER(SEARCH("5",$L1802)))*120+(ISNUMBER(SEARCH("6",$L1802)))*80+(ISNUMBER(SEARCH("7",$L1802)))*40+(ISNUMBER(SEARCH("8",$L1802)))*40))</f>
        <v>440</v>
      </c>
      <c r="P1802" s="472" t="str">
        <f t="shared" ref="P1802:P1865" si="38">IF($M1802&lt;&gt;"Mineral","",IF(ISNUMBER($N1802),$N1802,IF(OR(ISNUMBER(SEARCH("surface",$J1802)),ISNUMBER(SEARCH("reserv",$J1802)),ISNUMBER(SEARCH("less and except",$J1802))),0,"")))</f>
        <v/>
      </c>
      <c r="Q1802" s="472" t="str">
        <f t="shared" ref="Q1802:Q1865" si="39">IF($P1802="","",-$P1802)</f>
        <v/>
      </c>
      <c r="R1802" s="473" t="str">
        <f t="shared" ref="R1802:R1865" si="40">IF($P1802="","",$O1802*$P1802)</f>
        <v/>
      </c>
      <c r="S1802" s="467" t="str">
        <f t="shared" si="36"/>
        <v>Leasehold (non-mineral; excluded from mineral NMA). Gross=tract-map basis.</v>
      </c>
      <c r="T1802" s="489"/>
      <c r="U1802" s="490"/>
      <c r="V1802" s="450"/>
      <c r="W1802" s="450"/>
      <c r="X1802" s="450"/>
      <c r="Y1802" s="450"/>
      <c r="Z1802" s="450"/>
    </row>
    <row r="1803" spans="1:26" x14ac:dyDescent="0.25">
      <c r="A1803" s="467" t="s">
        <v>3033</v>
      </c>
      <c r="B1803" s="467">
        <v>93</v>
      </c>
      <c r="C1803" s="467" t="s">
        <v>1456</v>
      </c>
      <c r="D1803" s="478" t="s">
        <v>4111</v>
      </c>
      <c r="E1803" s="468">
        <v>36600</v>
      </c>
      <c r="F1803" s="468">
        <v>36600</v>
      </c>
      <c r="G1803" s="467" t="s">
        <v>205</v>
      </c>
      <c r="H1803" s="467" t="s">
        <v>85</v>
      </c>
      <c r="I1803" s="467" t="s">
        <v>269</v>
      </c>
      <c r="J1803" s="467" t="s">
        <v>8520</v>
      </c>
      <c r="K1803" s="491" t="s">
        <v>8521</v>
      </c>
      <c r="L1803" s="467" t="s">
        <v>613</v>
      </c>
      <c r="M1803" s="467" t="s">
        <v>1489</v>
      </c>
      <c r="N1803" s="470"/>
      <c r="O1803" s="471">
        <f t="shared" si="37"/>
        <v>440</v>
      </c>
      <c r="P1803" s="472" t="str">
        <f t="shared" si="38"/>
        <v/>
      </c>
      <c r="Q1803" s="472" t="str">
        <f t="shared" si="39"/>
        <v/>
      </c>
      <c r="R1803" s="473" t="str">
        <f t="shared" si="40"/>
        <v/>
      </c>
      <c r="S1803" s="467" t="str">
        <f t="shared" si="36"/>
        <v>Leasehold (non-mineral; excluded from mineral NMA). Gross=tract-map basis.</v>
      </c>
      <c r="T1803" s="489"/>
      <c r="U1803" s="490"/>
      <c r="V1803" s="450"/>
      <c r="W1803" s="450"/>
      <c r="X1803" s="450"/>
      <c r="Y1803" s="450"/>
      <c r="Z1803" s="450"/>
    </row>
    <row r="1804" spans="1:26" x14ac:dyDescent="0.25">
      <c r="A1804" s="467" t="s">
        <v>8522</v>
      </c>
      <c r="B1804" s="467">
        <v>69</v>
      </c>
      <c r="C1804" s="467" t="s">
        <v>1456</v>
      </c>
      <c r="D1804" s="467" t="s">
        <v>4111</v>
      </c>
      <c r="E1804" s="468">
        <v>36600</v>
      </c>
      <c r="F1804" s="468">
        <v>36600</v>
      </c>
      <c r="G1804" s="467" t="s">
        <v>205</v>
      </c>
      <c r="H1804" s="467" t="s">
        <v>85</v>
      </c>
      <c r="I1804" s="467" t="s">
        <v>2505</v>
      </c>
      <c r="J1804" s="467" t="s">
        <v>8523</v>
      </c>
      <c r="K1804" s="469" t="str">
        <f>HYPERLINK("https://okcountyrecords.com/detail/roger+mills/2000-007065","63e8b9a8d056433a9994fe46ca85076b.pdf | OKCountyRecords: 2000-007065")</f>
        <v>63e8b9a8d056433a9994fe46ca85076b.pdf | OKCountyRecords: 2000-007065</v>
      </c>
      <c r="L1804" s="467" t="s">
        <v>502</v>
      </c>
      <c r="M1804" s="467" t="s">
        <v>1489</v>
      </c>
      <c r="N1804" s="470"/>
      <c r="O1804" s="471">
        <f t="shared" si="37"/>
        <v>640</v>
      </c>
      <c r="P1804" s="472" t="str">
        <f t="shared" si="38"/>
        <v/>
      </c>
      <c r="Q1804" s="472" t="str">
        <f t="shared" si="39"/>
        <v/>
      </c>
      <c r="R1804" s="473" t="str">
        <f t="shared" si="40"/>
        <v/>
      </c>
      <c r="S1804" s="467" t="str">
        <f t="shared" si="36"/>
        <v>Leasehold (non-mineral; excluded from mineral NMA). All-section coverage. Gross=tract-map basis.</v>
      </c>
      <c r="T1804" s="489"/>
      <c r="U1804" s="490"/>
      <c r="V1804" s="450"/>
      <c r="W1804" s="450"/>
      <c r="X1804" s="450"/>
      <c r="Y1804" s="450"/>
      <c r="Z1804" s="450"/>
    </row>
    <row r="1805" spans="1:26" x14ac:dyDescent="0.25">
      <c r="A1805" s="467" t="s">
        <v>7043</v>
      </c>
      <c r="B1805" s="467">
        <v>94</v>
      </c>
      <c r="C1805" s="467" t="s">
        <v>202</v>
      </c>
      <c r="D1805" s="478" t="s">
        <v>4113</v>
      </c>
      <c r="E1805" s="468">
        <v>36612</v>
      </c>
      <c r="F1805" s="468">
        <v>36612</v>
      </c>
      <c r="G1805" s="467" t="s">
        <v>4114</v>
      </c>
      <c r="H1805" s="467" t="s">
        <v>205</v>
      </c>
      <c r="I1805" s="467" t="s">
        <v>269</v>
      </c>
      <c r="J1805" s="467" t="s">
        <v>4452</v>
      </c>
      <c r="K1805" s="491" t="s">
        <v>8524</v>
      </c>
      <c r="L1805" s="467" t="s">
        <v>613</v>
      </c>
      <c r="M1805" s="467" t="s">
        <v>1489</v>
      </c>
      <c r="N1805" s="470"/>
      <c r="O1805" s="471">
        <f t="shared" si="37"/>
        <v>440</v>
      </c>
      <c r="P1805" s="472" t="str">
        <f t="shared" si="38"/>
        <v/>
      </c>
      <c r="Q1805" s="472" t="str">
        <f t="shared" si="39"/>
        <v/>
      </c>
      <c r="R1805" s="473" t="str">
        <f t="shared" si="40"/>
        <v/>
      </c>
      <c r="S1805" s="467" t="str">
        <f t="shared" si="36"/>
        <v>Leasehold (non-mineral; excluded from mineral NMA). Gross=tract-map basis.</v>
      </c>
      <c r="T1805" s="489"/>
      <c r="U1805" s="490"/>
      <c r="V1805" s="450"/>
      <c r="W1805" s="450"/>
      <c r="X1805" s="450"/>
      <c r="Y1805" s="450"/>
      <c r="Z1805" s="450"/>
    </row>
    <row r="1806" spans="1:26" x14ac:dyDescent="0.25">
      <c r="A1806" s="467" t="s">
        <v>7047</v>
      </c>
      <c r="B1806" s="467">
        <v>95</v>
      </c>
      <c r="C1806" s="467" t="s">
        <v>202</v>
      </c>
      <c r="D1806" s="478" t="s">
        <v>4118</v>
      </c>
      <c r="E1806" s="468">
        <v>36613</v>
      </c>
      <c r="F1806" s="468">
        <v>36613</v>
      </c>
      <c r="G1806" s="467" t="s">
        <v>4119</v>
      </c>
      <c r="H1806" s="467" t="s">
        <v>262</v>
      </c>
      <c r="I1806" s="467" t="s">
        <v>8525</v>
      </c>
      <c r="J1806" s="467" t="s">
        <v>4452</v>
      </c>
      <c r="K1806" s="491" t="s">
        <v>8526</v>
      </c>
      <c r="L1806" s="467" t="s">
        <v>635</v>
      </c>
      <c r="M1806" s="467" t="s">
        <v>1489</v>
      </c>
      <c r="N1806" s="476"/>
      <c r="O1806" s="471">
        <f t="shared" si="37"/>
        <v>480</v>
      </c>
      <c r="P1806" s="472" t="str">
        <f t="shared" si="38"/>
        <v/>
      </c>
      <c r="Q1806" s="472" t="str">
        <f t="shared" si="39"/>
        <v/>
      </c>
      <c r="R1806" s="473" t="str">
        <f t="shared" si="40"/>
        <v/>
      </c>
      <c r="S1806" s="467" t="str">
        <f t="shared" si="36"/>
        <v>Leasehold (non-mineral; excluded from mineral NMA). Gross=tract-map basis.</v>
      </c>
      <c r="T1806" s="489"/>
      <c r="U1806" s="490"/>
      <c r="V1806" s="450"/>
      <c r="W1806" s="450"/>
      <c r="X1806" s="450"/>
      <c r="Y1806" s="450"/>
      <c r="Z1806" s="450"/>
    </row>
    <row r="1807" spans="1:26" x14ac:dyDescent="0.25">
      <c r="A1807" s="467" t="s">
        <v>7051</v>
      </c>
      <c r="B1807" s="467">
        <v>96</v>
      </c>
      <c r="C1807" s="467" t="s">
        <v>202</v>
      </c>
      <c r="D1807" s="478" t="s">
        <v>4121</v>
      </c>
      <c r="E1807" s="468">
        <v>36613</v>
      </c>
      <c r="F1807" s="468">
        <v>36613</v>
      </c>
      <c r="G1807" s="467" t="s">
        <v>209</v>
      </c>
      <c r="H1807" s="467" t="s">
        <v>262</v>
      </c>
      <c r="I1807" s="467" t="s">
        <v>8525</v>
      </c>
      <c r="J1807" s="467" t="s">
        <v>4452</v>
      </c>
      <c r="K1807" s="491" t="s">
        <v>8527</v>
      </c>
      <c r="L1807" s="467" t="s">
        <v>635</v>
      </c>
      <c r="M1807" s="467" t="s">
        <v>1489</v>
      </c>
      <c r="N1807" s="476"/>
      <c r="O1807" s="471">
        <f t="shared" si="37"/>
        <v>480</v>
      </c>
      <c r="P1807" s="472" t="str">
        <f t="shared" si="38"/>
        <v/>
      </c>
      <c r="Q1807" s="472" t="str">
        <f t="shared" si="39"/>
        <v/>
      </c>
      <c r="R1807" s="473" t="str">
        <f t="shared" si="40"/>
        <v/>
      </c>
      <c r="S1807" s="467" t="str">
        <f t="shared" si="36"/>
        <v>Leasehold (non-mineral; excluded from mineral NMA). Gross=tract-map basis.</v>
      </c>
      <c r="T1807" s="489"/>
      <c r="U1807" s="490"/>
      <c r="V1807" s="450"/>
      <c r="W1807" s="450"/>
      <c r="X1807" s="450"/>
      <c r="Y1807" s="450"/>
      <c r="Z1807" s="450"/>
    </row>
    <row r="1808" spans="1:26" x14ac:dyDescent="0.25">
      <c r="A1808" s="467" t="s">
        <v>7054</v>
      </c>
      <c r="B1808" s="467"/>
      <c r="C1808" s="467" t="s">
        <v>202</v>
      </c>
      <c r="D1808" s="467" t="s">
        <v>8387</v>
      </c>
      <c r="E1808" s="468">
        <v>36616</v>
      </c>
      <c r="F1808" s="468">
        <v>36616</v>
      </c>
      <c r="G1808" s="467" t="s">
        <v>8388</v>
      </c>
      <c r="H1808" s="467" t="s">
        <v>262</v>
      </c>
      <c r="I1808" s="467" t="s">
        <v>8389</v>
      </c>
      <c r="J1808" s="467" t="s">
        <v>8384</v>
      </c>
      <c r="K1808" s="469" t="str">
        <f>HYPERLINK("https://okcountyrecords.com/detail/roger+mills/2000-007332","OKCountyRecords: 2000-007332")</f>
        <v>OKCountyRecords: 2000-007332</v>
      </c>
      <c r="L1808" s="467" t="s">
        <v>635</v>
      </c>
      <c r="M1808" s="467" t="s">
        <v>1489</v>
      </c>
      <c r="N1808" s="476"/>
      <c r="O1808" s="471">
        <f t="shared" si="37"/>
        <v>480</v>
      </c>
      <c r="P1808" s="472" t="str">
        <f t="shared" si="38"/>
        <v/>
      </c>
      <c r="Q1808" s="472" t="str">
        <f t="shared" si="39"/>
        <v/>
      </c>
      <c r="R1808" s="473" t="str">
        <f t="shared" si="40"/>
        <v/>
      </c>
      <c r="S1808" s="467" t="str">
        <f t="shared" si="36"/>
        <v>Leasehold (non-mineral; excluded from mineral NMA). Gross=tract-map basis.</v>
      </c>
      <c r="T1808" s="489"/>
      <c r="U1808" s="490"/>
      <c r="V1808" s="450"/>
      <c r="W1808" s="450"/>
      <c r="X1808" s="450"/>
      <c r="Y1808" s="450"/>
      <c r="Z1808" s="450"/>
    </row>
    <row r="1809" spans="1:26" x14ac:dyDescent="0.25">
      <c r="A1809" s="467" t="s">
        <v>7058</v>
      </c>
      <c r="B1809" s="467"/>
      <c r="C1809" s="467" t="s">
        <v>202</v>
      </c>
      <c r="D1809" s="467" t="s">
        <v>8391</v>
      </c>
      <c r="E1809" s="468">
        <v>36621</v>
      </c>
      <c r="F1809" s="468">
        <v>36621</v>
      </c>
      <c r="G1809" s="467" t="s">
        <v>8392</v>
      </c>
      <c r="H1809" s="467" t="s">
        <v>4078</v>
      </c>
      <c r="I1809" s="467" t="s">
        <v>321</v>
      </c>
      <c r="J1809" s="467" t="s">
        <v>8358</v>
      </c>
      <c r="K1809" s="469" t="str">
        <f>HYPERLINK("https://okcountyrecords.com/detail/roger+mills/2000-007383","OKCountyRecords: 2000-007383")</f>
        <v>OKCountyRecords: 2000-007383</v>
      </c>
      <c r="L1809" s="467">
        <v>2</v>
      </c>
      <c r="M1809" s="467" t="s">
        <v>1489</v>
      </c>
      <c r="N1809" s="470"/>
      <c r="O1809" s="471">
        <f t="shared" si="37"/>
        <v>160</v>
      </c>
      <c r="P1809" s="472" t="str">
        <f t="shared" si="38"/>
        <v/>
      </c>
      <c r="Q1809" s="472" t="str">
        <f t="shared" si="39"/>
        <v/>
      </c>
      <c r="R1809" s="473" t="str">
        <f t="shared" si="40"/>
        <v/>
      </c>
      <c r="S1809" s="467" t="str">
        <f t="shared" si="36"/>
        <v>Leasehold (non-mineral; excluded from mineral NMA). Gross=tract-map basis.</v>
      </c>
      <c r="T1809" s="489"/>
      <c r="U1809" s="490"/>
      <c r="V1809" s="450"/>
      <c r="W1809" s="450"/>
      <c r="X1809" s="450"/>
      <c r="Y1809" s="450"/>
      <c r="Z1809" s="450"/>
    </row>
    <row r="1810" spans="1:26" x14ac:dyDescent="0.25">
      <c r="A1810" s="467" t="s">
        <v>7062</v>
      </c>
      <c r="B1810" s="467"/>
      <c r="C1810" s="467" t="s">
        <v>202</v>
      </c>
      <c r="D1810" s="467" t="s">
        <v>8394</v>
      </c>
      <c r="E1810" s="468">
        <v>36623</v>
      </c>
      <c r="F1810" s="468">
        <v>36623</v>
      </c>
      <c r="G1810" s="467" t="s">
        <v>8395</v>
      </c>
      <c r="H1810" s="467" t="s">
        <v>4078</v>
      </c>
      <c r="I1810" s="467" t="s">
        <v>222</v>
      </c>
      <c r="J1810" s="467" t="s">
        <v>8370</v>
      </c>
      <c r="K1810" s="469" t="str">
        <f>HYPERLINK("https://okcountyrecords.com/detail/roger+mills/2000-007411","OKCountyRecords: 2000-007411")</f>
        <v>OKCountyRecords: 2000-007411</v>
      </c>
      <c r="L1810" s="467" t="s">
        <v>625</v>
      </c>
      <c r="M1810" s="467" t="s">
        <v>1489</v>
      </c>
      <c r="N1810" s="476"/>
      <c r="O1810" s="471">
        <f t="shared" si="37"/>
        <v>280</v>
      </c>
      <c r="P1810" s="472" t="str">
        <f t="shared" si="38"/>
        <v/>
      </c>
      <c r="Q1810" s="472" t="str">
        <f t="shared" si="39"/>
        <v/>
      </c>
      <c r="R1810" s="473" t="str">
        <f t="shared" si="40"/>
        <v/>
      </c>
      <c r="S1810" s="467" t="str">
        <f t="shared" si="36"/>
        <v>Leasehold (non-mineral; excluded from mineral NMA). Gross=tract-map basis.</v>
      </c>
      <c r="T1810" s="489"/>
      <c r="U1810" s="490"/>
      <c r="V1810" s="450"/>
      <c r="W1810" s="450"/>
      <c r="X1810" s="450"/>
      <c r="Y1810" s="450"/>
      <c r="Z1810" s="450"/>
    </row>
    <row r="1811" spans="1:26" x14ac:dyDescent="0.25">
      <c r="A1811" s="467" t="s">
        <v>7067</v>
      </c>
      <c r="B1811" s="467"/>
      <c r="C1811" s="467" t="s">
        <v>1456</v>
      </c>
      <c r="D1811" s="467" t="s">
        <v>8397</v>
      </c>
      <c r="E1811" s="468">
        <v>36643</v>
      </c>
      <c r="F1811" s="468">
        <v>36643</v>
      </c>
      <c r="G1811" s="467" t="s">
        <v>7070</v>
      </c>
      <c r="H1811" s="467" t="s">
        <v>85</v>
      </c>
      <c r="I1811" s="467" t="s">
        <v>8398</v>
      </c>
      <c r="J1811" s="467" t="s">
        <v>8399</v>
      </c>
      <c r="K1811" s="469" t="str">
        <f>HYPERLINK("https://okcountyrecords.com/detail/roger+mills/2000-007634","OKCountyRecords: 2000-007634")</f>
        <v>OKCountyRecords: 2000-007634</v>
      </c>
      <c r="L1811" s="467" t="s">
        <v>613</v>
      </c>
      <c r="M1811" s="467" t="s">
        <v>1489</v>
      </c>
      <c r="N1811" s="470"/>
      <c r="O1811" s="471">
        <f t="shared" si="37"/>
        <v>440</v>
      </c>
      <c r="P1811" s="472" t="str">
        <f t="shared" si="38"/>
        <v/>
      </c>
      <c r="Q1811" s="472" t="str">
        <f t="shared" si="39"/>
        <v/>
      </c>
      <c r="R1811" s="473" t="str">
        <f t="shared" si="40"/>
        <v/>
      </c>
      <c r="S1811" s="467" t="str">
        <f t="shared" si="36"/>
        <v>Leasehold (non-mineral; excluded from mineral NMA). Gross=tract-map basis.</v>
      </c>
      <c r="T1811" s="489"/>
      <c r="U1811" s="490"/>
      <c r="V1811" s="450"/>
      <c r="W1811" s="450"/>
      <c r="X1811" s="450"/>
      <c r="Y1811" s="450"/>
      <c r="Z1811" s="450"/>
    </row>
    <row r="1812" spans="1:26" x14ac:dyDescent="0.25">
      <c r="A1812" s="467" t="s">
        <v>1372</v>
      </c>
      <c r="B1812" s="467"/>
      <c r="C1812" s="467" t="s">
        <v>619</v>
      </c>
      <c r="D1812" s="467" t="s">
        <v>1373</v>
      </c>
      <c r="E1812" s="468">
        <v>36647</v>
      </c>
      <c r="F1812" s="468">
        <v>36647</v>
      </c>
      <c r="G1812" s="467" t="s">
        <v>1374</v>
      </c>
      <c r="H1812" s="467" t="s">
        <v>1375</v>
      </c>
      <c r="I1812" s="467" t="s">
        <v>1256</v>
      </c>
      <c r="J1812" s="467" t="s">
        <v>63</v>
      </c>
      <c r="K1812" s="469" t="str">
        <f>HYPERLINK("https://okcountyrecords.com/detail/roger+mills/2000-007685","OKCountyRecords: 2000-007685")</f>
        <v>OKCountyRecords: 2000-007685</v>
      </c>
      <c r="L1812" s="467" t="s">
        <v>625</v>
      </c>
      <c r="M1812" s="467" t="s">
        <v>404</v>
      </c>
      <c r="N1812" s="476">
        <v>1</v>
      </c>
      <c r="O1812" s="471">
        <f t="shared" si="37"/>
        <v>280</v>
      </c>
      <c r="P1812" s="472">
        <f t="shared" si="38"/>
        <v>1</v>
      </c>
      <c r="Q1812" s="472">
        <f t="shared" si="39"/>
        <v>-1</v>
      </c>
      <c r="R1812" s="473">
        <f t="shared" si="40"/>
        <v>280</v>
      </c>
      <c r="S1812" s="467" t="str">
        <f t="shared" si="36"/>
        <v>Mineral; basis Conv Amt(dec). Gross=tract-map basis.</v>
      </c>
      <c r="T1812" s="490"/>
      <c r="U1812" s="490"/>
      <c r="V1812" s="450"/>
      <c r="W1812" s="450"/>
      <c r="X1812" s="450"/>
      <c r="Y1812" s="450"/>
      <c r="Z1812" s="450"/>
    </row>
    <row r="1813" spans="1:26" x14ac:dyDescent="0.25">
      <c r="A1813" s="467" t="s">
        <v>7075</v>
      </c>
      <c r="B1813" s="467"/>
      <c r="C1813" s="467" t="s">
        <v>202</v>
      </c>
      <c r="D1813" s="467" t="s">
        <v>8528</v>
      </c>
      <c r="E1813" s="468">
        <v>36671</v>
      </c>
      <c r="F1813" s="468">
        <v>36671</v>
      </c>
      <c r="G1813" s="467" t="s">
        <v>8529</v>
      </c>
      <c r="H1813" s="467" t="s">
        <v>262</v>
      </c>
      <c r="I1813" s="467" t="s">
        <v>8530</v>
      </c>
      <c r="J1813" s="467" t="s">
        <v>8531</v>
      </c>
      <c r="K1813" s="469" t="str">
        <f>HYPERLINK("https://okcountyrecords.com/detail/roger+mills/2000-008063","OKCountyRecords: 2000-008063")</f>
        <v>OKCountyRecords: 2000-008063</v>
      </c>
      <c r="L1813" s="467">
        <v>5</v>
      </c>
      <c r="M1813" s="467" t="s">
        <v>1489</v>
      </c>
      <c r="N1813" s="470"/>
      <c r="O1813" s="471">
        <f t="shared" si="37"/>
        <v>120</v>
      </c>
      <c r="P1813" s="472" t="str">
        <f t="shared" si="38"/>
        <v/>
      </c>
      <c r="Q1813" s="472" t="str">
        <f t="shared" si="39"/>
        <v/>
      </c>
      <c r="R1813" s="473" t="str">
        <f t="shared" si="40"/>
        <v/>
      </c>
      <c r="S1813" s="467" t="str">
        <f t="shared" si="36"/>
        <v>Leasehold (non-mineral; excluded from mineral NMA). Gross=tract-map basis.</v>
      </c>
      <c r="T1813" s="489"/>
      <c r="U1813" s="490"/>
      <c r="V1813" s="450"/>
      <c r="W1813" s="450"/>
      <c r="X1813" s="450"/>
      <c r="Y1813" s="450"/>
      <c r="Z1813" s="450"/>
    </row>
    <row r="1814" spans="1:26" x14ac:dyDescent="0.25">
      <c r="A1814" s="467" t="s">
        <v>7080</v>
      </c>
      <c r="B1814" s="467"/>
      <c r="C1814" s="467" t="s">
        <v>8532</v>
      </c>
      <c r="D1814" s="467" t="s">
        <v>8533</v>
      </c>
      <c r="E1814" s="468">
        <v>36679</v>
      </c>
      <c r="F1814" s="468">
        <v>36679</v>
      </c>
      <c r="G1814" s="467" t="s">
        <v>3301</v>
      </c>
      <c r="H1814" s="467" t="s">
        <v>7083</v>
      </c>
      <c r="I1814" s="467" t="s">
        <v>2111</v>
      </c>
      <c r="J1814" s="467" t="s">
        <v>760</v>
      </c>
      <c r="K1814" s="469" t="str">
        <f>HYPERLINK("https://okcountyrecords.com/detail/roger+mills/2000-008159","OKCountyRecords: 2000-008159")</f>
        <v>OKCountyRecords: 2000-008159</v>
      </c>
      <c r="L1814" s="467">
        <v>2</v>
      </c>
      <c r="M1814" s="467" t="s">
        <v>465</v>
      </c>
      <c r="N1814" s="470"/>
      <c r="O1814" s="471">
        <f t="shared" si="37"/>
        <v>160</v>
      </c>
      <c r="P1814" s="472" t="str">
        <f t="shared" si="38"/>
        <v/>
      </c>
      <c r="Q1814" s="472" t="str">
        <f t="shared" si="39"/>
        <v/>
      </c>
      <c r="R1814" s="473" t="str">
        <f t="shared" si="40"/>
        <v/>
      </c>
      <c r="S1814" s="467" t="str">
        <f t="shared" si="36"/>
        <v>Other (non-mineral; excluded from mineral NMA). Gross=tract-map basis.</v>
      </c>
      <c r="T1814" s="490"/>
      <c r="U1814" s="490"/>
      <c r="V1814" s="450"/>
      <c r="W1814" s="450"/>
      <c r="X1814" s="450"/>
      <c r="Y1814" s="450"/>
      <c r="Z1814" s="450"/>
    </row>
    <row r="1815" spans="1:26" x14ac:dyDescent="0.25">
      <c r="A1815" s="467" t="s">
        <v>7086</v>
      </c>
      <c r="B1815" s="467"/>
      <c r="C1815" s="467" t="s">
        <v>1456</v>
      </c>
      <c r="D1815" s="467" t="s">
        <v>8534</v>
      </c>
      <c r="E1815" s="468">
        <v>36717</v>
      </c>
      <c r="F1815" s="468">
        <v>36717</v>
      </c>
      <c r="G1815" s="467" t="s">
        <v>7089</v>
      </c>
      <c r="H1815" s="467" t="s">
        <v>8535</v>
      </c>
      <c r="I1815" s="467" t="s">
        <v>569</v>
      </c>
      <c r="J1815" s="467" t="s">
        <v>8536</v>
      </c>
      <c r="K1815" s="469" t="str">
        <f>HYPERLINK("https://okcountyrecords.com/detail/roger+mills/2000-008764","OKCountyRecords: 2000-008764")</f>
        <v>OKCountyRecords: 2000-008764</v>
      </c>
      <c r="L1815" s="467" t="s">
        <v>502</v>
      </c>
      <c r="M1815" s="467" t="s">
        <v>1489</v>
      </c>
      <c r="N1815" s="470"/>
      <c r="O1815" s="471">
        <f t="shared" si="37"/>
        <v>640</v>
      </c>
      <c r="P1815" s="472" t="str">
        <f t="shared" si="38"/>
        <v/>
      </c>
      <c r="Q1815" s="472" t="str">
        <f t="shared" si="39"/>
        <v/>
      </c>
      <c r="R1815" s="473" t="str">
        <f t="shared" si="40"/>
        <v/>
      </c>
      <c r="S1815" s="467" t="str">
        <f t="shared" si="36"/>
        <v>Leasehold (non-mineral; excluded from mineral NMA). All-section coverage. Gross=tract-map basis.</v>
      </c>
      <c r="T1815" s="489"/>
      <c r="U1815" s="490"/>
      <c r="V1815" s="450"/>
      <c r="W1815" s="450"/>
      <c r="X1815" s="450"/>
      <c r="Y1815" s="450"/>
      <c r="Z1815" s="450"/>
    </row>
    <row r="1816" spans="1:26" x14ac:dyDescent="0.25">
      <c r="A1816" s="467" t="s">
        <v>1376</v>
      </c>
      <c r="B1816" s="467"/>
      <c r="C1816" s="467" t="s">
        <v>1160</v>
      </c>
      <c r="D1816" s="467" t="s">
        <v>1377</v>
      </c>
      <c r="E1816" s="468">
        <v>36802</v>
      </c>
      <c r="F1816" s="468">
        <v>36815</v>
      </c>
      <c r="G1816" s="467" t="s">
        <v>1378</v>
      </c>
      <c r="H1816" s="467" t="s">
        <v>1379</v>
      </c>
      <c r="I1816" s="467" t="s">
        <v>1280</v>
      </c>
      <c r="J1816" s="467" t="s">
        <v>63</v>
      </c>
      <c r="K1816" s="469" t="str">
        <f>HYPERLINK("https://okcountyrecords.com/detail/roger+mills/2000-010180","OKCountyRecords: 2000-010180")</f>
        <v>OKCountyRecords: 2000-010180</v>
      </c>
      <c r="L1816" s="467">
        <v>2</v>
      </c>
      <c r="M1816" s="467" t="s">
        <v>404</v>
      </c>
      <c r="N1816" s="470">
        <v>1</v>
      </c>
      <c r="O1816" s="471">
        <f t="shared" si="37"/>
        <v>160</v>
      </c>
      <c r="P1816" s="472">
        <f t="shared" si="38"/>
        <v>1</v>
      </c>
      <c r="Q1816" s="472">
        <f t="shared" si="39"/>
        <v>-1</v>
      </c>
      <c r="R1816" s="473">
        <f t="shared" si="40"/>
        <v>160</v>
      </c>
      <c r="S1816" s="467" t="str">
        <f t="shared" si="36"/>
        <v>Mineral; basis Conv Amt(dec). Gross=tract-map basis.</v>
      </c>
      <c r="T1816" s="490"/>
      <c r="U1816" s="490"/>
      <c r="V1816" s="450"/>
      <c r="W1816" s="450"/>
      <c r="X1816" s="450"/>
      <c r="Y1816" s="450"/>
      <c r="Z1816" s="450"/>
    </row>
    <row r="1817" spans="1:26" x14ac:dyDescent="0.25">
      <c r="A1817" s="467" t="s">
        <v>7094</v>
      </c>
      <c r="B1817" s="467"/>
      <c r="C1817" s="467" t="s">
        <v>202</v>
      </c>
      <c r="D1817" s="467" t="s">
        <v>8537</v>
      </c>
      <c r="E1817" s="468">
        <v>36816</v>
      </c>
      <c r="F1817" s="468">
        <v>36829</v>
      </c>
      <c r="G1817" s="467" t="s">
        <v>8538</v>
      </c>
      <c r="H1817" s="467" t="s">
        <v>262</v>
      </c>
      <c r="I1817" s="467" t="s">
        <v>215</v>
      </c>
      <c r="J1817" s="467" t="s">
        <v>8539</v>
      </c>
      <c r="K1817" s="469" t="str">
        <f>HYPERLINK("https://okcountyrecords.com/detail/roger+mills/2000-010382","OKCountyRecords: 2000-010382")</f>
        <v>OKCountyRecords: 2000-010382</v>
      </c>
      <c r="L1817" s="467">
        <v>2</v>
      </c>
      <c r="M1817" s="467" t="s">
        <v>1489</v>
      </c>
      <c r="N1817" s="470"/>
      <c r="O1817" s="471">
        <f t="shared" si="37"/>
        <v>160</v>
      </c>
      <c r="P1817" s="472" t="str">
        <f t="shared" si="38"/>
        <v/>
      </c>
      <c r="Q1817" s="472" t="str">
        <f t="shared" si="39"/>
        <v/>
      </c>
      <c r="R1817" s="473" t="str">
        <f t="shared" si="40"/>
        <v/>
      </c>
      <c r="S1817" s="467" t="str">
        <f t="shared" si="36"/>
        <v>Leasehold (non-mineral; excluded from mineral NMA). Gross=tract-map basis.</v>
      </c>
      <c r="T1817" s="489"/>
      <c r="U1817" s="490"/>
      <c r="V1817" s="450"/>
      <c r="W1817" s="450"/>
      <c r="X1817" s="450"/>
      <c r="Y1817" s="450"/>
      <c r="Z1817" s="450"/>
    </row>
    <row r="1818" spans="1:26" x14ac:dyDescent="0.25">
      <c r="A1818" s="467" t="s">
        <v>7098</v>
      </c>
      <c r="B1818" s="467"/>
      <c r="C1818" s="467" t="s">
        <v>202</v>
      </c>
      <c r="D1818" s="467" t="s">
        <v>8401</v>
      </c>
      <c r="E1818" s="468">
        <v>36824</v>
      </c>
      <c r="F1818" s="468">
        <v>36866</v>
      </c>
      <c r="G1818" s="467" t="s">
        <v>8402</v>
      </c>
      <c r="H1818" s="467" t="s">
        <v>262</v>
      </c>
      <c r="I1818" s="467" t="s">
        <v>263</v>
      </c>
      <c r="J1818" s="467" t="s">
        <v>8366</v>
      </c>
      <c r="K1818" s="469" t="str">
        <f>HYPERLINK("https://okcountyrecords.com/detail/roger+mills/2000-010908","OKCountyRecords: 2000-010908")</f>
        <v>OKCountyRecords: 2000-010908</v>
      </c>
      <c r="L1818" s="467">
        <v>5</v>
      </c>
      <c r="M1818" s="467" t="s">
        <v>1489</v>
      </c>
      <c r="N1818" s="470"/>
      <c r="O1818" s="471">
        <f t="shared" si="37"/>
        <v>120</v>
      </c>
      <c r="P1818" s="472" t="str">
        <f t="shared" si="38"/>
        <v/>
      </c>
      <c r="Q1818" s="472" t="str">
        <f t="shared" si="39"/>
        <v/>
      </c>
      <c r="R1818" s="473" t="str">
        <f t="shared" si="40"/>
        <v/>
      </c>
      <c r="S1818" s="467" t="str">
        <f t="shared" si="36"/>
        <v>Leasehold (non-mineral; excluded from mineral NMA). Gross=tract-map basis.</v>
      </c>
      <c r="T1818" s="489"/>
      <c r="U1818" s="490"/>
      <c r="V1818" s="450"/>
      <c r="W1818" s="450"/>
      <c r="X1818" s="450"/>
      <c r="Y1818" s="450"/>
      <c r="Z1818" s="450"/>
    </row>
    <row r="1819" spans="1:26" x14ac:dyDescent="0.25">
      <c r="A1819" s="467" t="s">
        <v>7103</v>
      </c>
      <c r="B1819" s="467"/>
      <c r="C1819" s="467" t="s">
        <v>202</v>
      </c>
      <c r="D1819" s="467" t="s">
        <v>8404</v>
      </c>
      <c r="E1819" s="468">
        <v>36824</v>
      </c>
      <c r="F1819" s="468">
        <v>36866</v>
      </c>
      <c r="G1819" s="467" t="s">
        <v>8405</v>
      </c>
      <c r="H1819" s="467" t="s">
        <v>262</v>
      </c>
      <c r="I1819" s="467" t="s">
        <v>263</v>
      </c>
      <c r="J1819" s="467" t="s">
        <v>8366</v>
      </c>
      <c r="K1819" s="469" t="str">
        <f>HYPERLINK("https://okcountyrecords.com/detail/roger+mills/2000-010909","OKCountyRecords: 2000-010909")</f>
        <v>OKCountyRecords: 2000-010909</v>
      </c>
      <c r="L1819" s="467">
        <v>5</v>
      </c>
      <c r="M1819" s="467" t="s">
        <v>1489</v>
      </c>
      <c r="N1819" s="470"/>
      <c r="O1819" s="471">
        <f t="shared" si="37"/>
        <v>120</v>
      </c>
      <c r="P1819" s="472" t="str">
        <f t="shared" si="38"/>
        <v/>
      </c>
      <c r="Q1819" s="472" t="str">
        <f t="shared" si="39"/>
        <v/>
      </c>
      <c r="R1819" s="473" t="str">
        <f t="shared" si="40"/>
        <v/>
      </c>
      <c r="S1819" s="467" t="str">
        <f t="shared" si="36"/>
        <v>Leasehold (non-mineral; excluded from mineral NMA). Gross=tract-map basis.</v>
      </c>
      <c r="T1819" s="489"/>
      <c r="U1819" s="490"/>
      <c r="V1819" s="450"/>
      <c r="W1819" s="450"/>
      <c r="X1819" s="450"/>
      <c r="Y1819" s="450"/>
      <c r="Z1819" s="450"/>
    </row>
    <row r="1820" spans="1:26" x14ac:dyDescent="0.25">
      <c r="A1820" s="467" t="s">
        <v>1380</v>
      </c>
      <c r="B1820" s="467"/>
      <c r="C1820" s="467" t="s">
        <v>1381</v>
      </c>
      <c r="D1820" s="467" t="s">
        <v>1382</v>
      </c>
      <c r="E1820" s="468">
        <v>36835</v>
      </c>
      <c r="F1820" s="468">
        <v>39133</v>
      </c>
      <c r="G1820" s="467" t="s">
        <v>1383</v>
      </c>
      <c r="H1820" s="467" t="s">
        <v>299</v>
      </c>
      <c r="I1820" s="467" t="s">
        <v>579</v>
      </c>
      <c r="J1820" s="467" t="s">
        <v>1384</v>
      </c>
      <c r="K1820" s="469" t="str">
        <f>HYPERLINK("https://okcountyrecords.com/detail/roger+mills/2007-000723","OKCountyRecords: 2007-000723")</f>
        <v>OKCountyRecords: 2007-000723</v>
      </c>
      <c r="L1820" s="467">
        <v>5</v>
      </c>
      <c r="M1820" s="467" t="s">
        <v>404</v>
      </c>
      <c r="N1820" s="470">
        <v>0.5</v>
      </c>
      <c r="O1820" s="471">
        <f t="shared" si="37"/>
        <v>120</v>
      </c>
      <c r="P1820" s="472">
        <f t="shared" si="38"/>
        <v>0.5</v>
      </c>
      <c r="Q1820" s="472">
        <f t="shared" si="39"/>
        <v>-0.5</v>
      </c>
      <c r="R1820" s="473">
        <f t="shared" si="40"/>
        <v>60</v>
      </c>
      <c r="S1820" s="467" t="str">
        <f t="shared" si="36"/>
        <v>Mineral; basis Conv Amt(dec). Gross=tract-map basis.</v>
      </c>
      <c r="T1820" s="490"/>
      <c r="U1820" s="490"/>
      <c r="V1820" s="450"/>
      <c r="W1820" s="450"/>
      <c r="X1820" s="450"/>
      <c r="Y1820" s="450"/>
      <c r="Z1820" s="450"/>
    </row>
    <row r="1821" spans="1:26" x14ac:dyDescent="0.25">
      <c r="A1821" s="467" t="s">
        <v>1385</v>
      </c>
      <c r="B1821" s="467"/>
      <c r="C1821" s="467" t="s">
        <v>1381</v>
      </c>
      <c r="D1821" s="467" t="s">
        <v>1386</v>
      </c>
      <c r="E1821" s="468">
        <v>36877</v>
      </c>
      <c r="F1821" s="468">
        <v>36935</v>
      </c>
      <c r="G1821" s="467" t="s">
        <v>1387</v>
      </c>
      <c r="H1821" s="467" t="s">
        <v>1388</v>
      </c>
      <c r="I1821" s="467" t="s">
        <v>1286</v>
      </c>
      <c r="J1821" s="467" t="s">
        <v>63</v>
      </c>
      <c r="K1821" s="469" t="str">
        <f>HYPERLINK("https://okcountyrecords.com/detail/roger+mills/2001-000618","OKCountyRecords: 2001-000618")</f>
        <v>OKCountyRecords: 2001-000618</v>
      </c>
      <c r="L1821" s="467" t="s">
        <v>1287</v>
      </c>
      <c r="M1821" s="467" t="s">
        <v>404</v>
      </c>
      <c r="N1821" s="470"/>
      <c r="O1821" s="471">
        <f t="shared" si="37"/>
        <v>280</v>
      </c>
      <c r="P1821" s="472" t="str">
        <f t="shared" si="38"/>
        <v/>
      </c>
      <c r="Q1821" s="472" t="str">
        <f t="shared" si="39"/>
        <v/>
      </c>
      <c r="R1821" s="473" t="str">
        <f t="shared" si="40"/>
        <v/>
      </c>
      <c r="S1821" s="467" t="str">
        <f t="shared" si="36"/>
        <v>Mineral; NO AMOUNT-verify instrument. Gross=tract-map basis.</v>
      </c>
      <c r="T1821" s="489"/>
      <c r="U1821" s="490"/>
      <c r="V1821" s="450"/>
      <c r="W1821" s="450"/>
      <c r="X1821" s="450"/>
      <c r="Y1821" s="450"/>
      <c r="Z1821" s="450"/>
    </row>
    <row r="1822" spans="1:26" x14ac:dyDescent="0.25">
      <c r="A1822" s="467" t="s">
        <v>1389</v>
      </c>
      <c r="B1822" s="467"/>
      <c r="C1822" s="467" t="s">
        <v>533</v>
      </c>
      <c r="D1822" s="467" t="s">
        <v>1390</v>
      </c>
      <c r="E1822" s="468">
        <v>36881</v>
      </c>
      <c r="F1822" s="468">
        <v>36935</v>
      </c>
      <c r="G1822" s="467" t="s">
        <v>1391</v>
      </c>
      <c r="H1822" s="467" t="s">
        <v>1392</v>
      </c>
      <c r="I1822" s="467" t="s">
        <v>1393</v>
      </c>
      <c r="J1822" s="467" t="s">
        <v>63</v>
      </c>
      <c r="K1822" s="469" t="str">
        <f>HYPERLINK("https://okcountyrecords.com/detail/roger+mills/2001-000619","OKCountyRecords: 2001-000619")</f>
        <v>OKCountyRecords: 2001-000619</v>
      </c>
      <c r="L1822" s="467" t="s">
        <v>1287</v>
      </c>
      <c r="M1822" s="467" t="s">
        <v>404</v>
      </c>
      <c r="N1822" s="470">
        <v>1</v>
      </c>
      <c r="O1822" s="471">
        <f t="shared" si="37"/>
        <v>280</v>
      </c>
      <c r="P1822" s="472">
        <f t="shared" si="38"/>
        <v>1</v>
      </c>
      <c r="Q1822" s="472">
        <f t="shared" si="39"/>
        <v>-1</v>
      </c>
      <c r="R1822" s="473">
        <f t="shared" si="40"/>
        <v>280</v>
      </c>
      <c r="S1822" s="467" t="str">
        <f t="shared" si="36"/>
        <v>Mineral; basis Conv Amt(dec). Gross=tract-map basis.</v>
      </c>
      <c r="T1822" s="489"/>
      <c r="U1822" s="490"/>
      <c r="V1822" s="450"/>
      <c r="W1822" s="450"/>
      <c r="X1822" s="450"/>
      <c r="Y1822" s="450"/>
      <c r="Z1822" s="450"/>
    </row>
    <row r="1823" spans="1:26" x14ac:dyDescent="0.25">
      <c r="A1823" s="467" t="s">
        <v>1394</v>
      </c>
      <c r="B1823" s="467"/>
      <c r="C1823" s="467" t="s">
        <v>619</v>
      </c>
      <c r="D1823" s="467" t="s">
        <v>1395</v>
      </c>
      <c r="E1823" s="468">
        <v>36896</v>
      </c>
      <c r="F1823" s="468">
        <v>36899</v>
      </c>
      <c r="G1823" s="467" t="s">
        <v>1396</v>
      </c>
      <c r="H1823" s="467" t="s">
        <v>1397</v>
      </c>
      <c r="I1823" s="467" t="s">
        <v>1280</v>
      </c>
      <c r="J1823" s="467" t="s">
        <v>63</v>
      </c>
      <c r="K1823" s="469" t="str">
        <f>HYPERLINK("https://okcountyrecords.com/detail/roger+mills/2001-000103","OKCountyRecords: 2001-000103")</f>
        <v>OKCountyRecords: 2001-000103</v>
      </c>
      <c r="L1823" s="467">
        <v>2</v>
      </c>
      <c r="M1823" s="467" t="s">
        <v>404</v>
      </c>
      <c r="N1823" s="470">
        <v>1</v>
      </c>
      <c r="O1823" s="471">
        <f t="shared" si="37"/>
        <v>160</v>
      </c>
      <c r="P1823" s="472">
        <f t="shared" si="38"/>
        <v>1</v>
      </c>
      <c r="Q1823" s="472">
        <f t="shared" si="39"/>
        <v>-1</v>
      </c>
      <c r="R1823" s="473">
        <f t="shared" si="40"/>
        <v>160</v>
      </c>
      <c r="S1823" s="467" t="str">
        <f t="shared" si="36"/>
        <v>Mineral; basis Conv Amt(dec). Gross=tract-map basis.</v>
      </c>
      <c r="T1823" s="490"/>
      <c r="U1823" s="490"/>
      <c r="V1823" s="450"/>
      <c r="W1823" s="450"/>
      <c r="X1823" s="450"/>
      <c r="Y1823" s="450"/>
      <c r="Z1823" s="450"/>
    </row>
    <row r="1824" spans="1:26" x14ac:dyDescent="0.25">
      <c r="A1824" s="467" t="s">
        <v>7154</v>
      </c>
      <c r="B1824" s="467"/>
      <c r="C1824" s="467" t="s">
        <v>202</v>
      </c>
      <c r="D1824" s="467" t="s">
        <v>8540</v>
      </c>
      <c r="E1824" s="468">
        <v>36906</v>
      </c>
      <c r="F1824" s="468">
        <v>36985</v>
      </c>
      <c r="G1824" s="467" t="s">
        <v>8541</v>
      </c>
      <c r="H1824" s="467" t="s">
        <v>205</v>
      </c>
      <c r="I1824" s="467" t="s">
        <v>321</v>
      </c>
      <c r="J1824" s="467" t="s">
        <v>216</v>
      </c>
      <c r="K1824" s="469" t="str">
        <f>HYPERLINK("https://okcountyrecords.com/detail/roger+mills/2001-001362","OKCountyRecords: 2001-001362")</f>
        <v>OKCountyRecords: 2001-001362</v>
      </c>
      <c r="L1824" s="467">
        <v>2</v>
      </c>
      <c r="M1824" s="467" t="s">
        <v>1489</v>
      </c>
      <c r="N1824" s="470"/>
      <c r="O1824" s="471">
        <f t="shared" si="37"/>
        <v>160</v>
      </c>
      <c r="P1824" s="472" t="str">
        <f t="shared" si="38"/>
        <v/>
      </c>
      <c r="Q1824" s="472" t="str">
        <f t="shared" si="39"/>
        <v/>
      </c>
      <c r="R1824" s="473" t="str">
        <f t="shared" si="40"/>
        <v/>
      </c>
      <c r="S1824" s="467" t="str">
        <f t="shared" si="36"/>
        <v>Leasehold (non-mineral; excluded from mineral NMA). Gross=tract-map basis.</v>
      </c>
      <c r="T1824" s="489"/>
      <c r="U1824" s="490"/>
      <c r="V1824" s="450"/>
      <c r="W1824" s="450"/>
      <c r="X1824" s="450"/>
      <c r="Y1824" s="450"/>
      <c r="Z1824" s="450"/>
    </row>
    <row r="1825" spans="1:26" x14ac:dyDescent="0.25">
      <c r="A1825" s="467" t="s">
        <v>7157</v>
      </c>
      <c r="B1825" s="467"/>
      <c r="C1825" s="467" t="s">
        <v>202</v>
      </c>
      <c r="D1825" s="467" t="s">
        <v>8542</v>
      </c>
      <c r="E1825" s="468">
        <v>36906</v>
      </c>
      <c r="F1825" s="468">
        <v>36985</v>
      </c>
      <c r="G1825" s="467" t="s">
        <v>8543</v>
      </c>
      <c r="H1825" s="467" t="s">
        <v>205</v>
      </c>
      <c r="I1825" s="467" t="s">
        <v>321</v>
      </c>
      <c r="J1825" s="467" t="s">
        <v>216</v>
      </c>
      <c r="K1825" s="469" t="str">
        <f>HYPERLINK("https://okcountyrecords.com/detail/roger+mills/2001-001363","OKCountyRecords: 2001-001363")</f>
        <v>OKCountyRecords: 2001-001363</v>
      </c>
      <c r="L1825" s="467">
        <v>2</v>
      </c>
      <c r="M1825" s="467" t="s">
        <v>1489</v>
      </c>
      <c r="N1825" s="470"/>
      <c r="O1825" s="471">
        <f t="shared" si="37"/>
        <v>160</v>
      </c>
      <c r="P1825" s="472" t="str">
        <f t="shared" si="38"/>
        <v/>
      </c>
      <c r="Q1825" s="472" t="str">
        <f t="shared" si="39"/>
        <v/>
      </c>
      <c r="R1825" s="473" t="str">
        <f t="shared" si="40"/>
        <v/>
      </c>
      <c r="S1825" s="467" t="str">
        <f t="shared" si="36"/>
        <v>Leasehold (non-mineral; excluded from mineral NMA). Gross=tract-map basis.</v>
      </c>
      <c r="T1825" s="489"/>
      <c r="U1825" s="490"/>
      <c r="V1825" s="450"/>
      <c r="W1825" s="450"/>
      <c r="X1825" s="450"/>
      <c r="Y1825" s="450"/>
      <c r="Z1825" s="450"/>
    </row>
    <row r="1826" spans="1:26" x14ac:dyDescent="0.25">
      <c r="A1826" s="467" t="s">
        <v>7140</v>
      </c>
      <c r="B1826" s="467"/>
      <c r="C1826" s="467" t="s">
        <v>202</v>
      </c>
      <c r="D1826" s="467" t="s">
        <v>8407</v>
      </c>
      <c r="E1826" s="468">
        <v>36906</v>
      </c>
      <c r="F1826" s="468">
        <v>36985</v>
      </c>
      <c r="G1826" s="467" t="s">
        <v>8408</v>
      </c>
      <c r="H1826" s="467" t="s">
        <v>205</v>
      </c>
      <c r="I1826" s="467" t="s">
        <v>321</v>
      </c>
      <c r="J1826" s="467" t="s">
        <v>8358</v>
      </c>
      <c r="K1826" s="469" t="str">
        <f>HYPERLINK("https://okcountyrecords.com/detail/roger+mills/2001-001358","OKCountyRecords: 2001-001358")</f>
        <v>OKCountyRecords: 2001-001358</v>
      </c>
      <c r="L1826" s="467">
        <v>2</v>
      </c>
      <c r="M1826" s="467" t="s">
        <v>1489</v>
      </c>
      <c r="N1826" s="470"/>
      <c r="O1826" s="471">
        <f t="shared" si="37"/>
        <v>160</v>
      </c>
      <c r="P1826" s="472" t="str">
        <f t="shared" si="38"/>
        <v/>
      </c>
      <c r="Q1826" s="472" t="str">
        <f t="shared" si="39"/>
        <v/>
      </c>
      <c r="R1826" s="473" t="str">
        <f t="shared" si="40"/>
        <v/>
      </c>
      <c r="S1826" s="467" t="str">
        <f t="shared" si="36"/>
        <v>Leasehold (non-mineral; excluded from mineral NMA). Gross=tract-map basis.</v>
      </c>
      <c r="T1826" s="489"/>
      <c r="U1826" s="490"/>
      <c r="V1826" s="450"/>
      <c r="W1826" s="450"/>
      <c r="X1826" s="450"/>
      <c r="Y1826" s="450"/>
      <c r="Z1826" s="450"/>
    </row>
    <row r="1827" spans="1:26" x14ac:dyDescent="0.25">
      <c r="A1827" s="467" t="s">
        <v>7136</v>
      </c>
      <c r="B1827" s="467"/>
      <c r="C1827" s="467" t="s">
        <v>202</v>
      </c>
      <c r="D1827" s="467" t="s">
        <v>8410</v>
      </c>
      <c r="E1827" s="468">
        <v>36906</v>
      </c>
      <c r="F1827" s="468">
        <v>36985</v>
      </c>
      <c r="G1827" s="467" t="s">
        <v>8411</v>
      </c>
      <c r="H1827" s="467" t="s">
        <v>205</v>
      </c>
      <c r="I1827" s="467" t="s">
        <v>321</v>
      </c>
      <c r="J1827" s="467" t="s">
        <v>8358</v>
      </c>
      <c r="K1827" s="469" t="str">
        <f>HYPERLINK("https://okcountyrecords.com/detail/roger+mills/2001-001357","OKCountyRecords: 2001-001357")</f>
        <v>OKCountyRecords: 2001-001357</v>
      </c>
      <c r="L1827" s="467">
        <v>2</v>
      </c>
      <c r="M1827" s="467" t="s">
        <v>1489</v>
      </c>
      <c r="N1827" s="470"/>
      <c r="O1827" s="471">
        <f t="shared" si="37"/>
        <v>160</v>
      </c>
      <c r="P1827" s="472" t="str">
        <f t="shared" si="38"/>
        <v/>
      </c>
      <c r="Q1827" s="472" t="str">
        <f t="shared" si="39"/>
        <v/>
      </c>
      <c r="R1827" s="473" t="str">
        <f t="shared" si="40"/>
        <v/>
      </c>
      <c r="S1827" s="467" t="str">
        <f t="shared" si="36"/>
        <v>Leasehold (non-mineral; excluded from mineral NMA). Gross=tract-map basis.</v>
      </c>
      <c r="T1827" s="489"/>
      <c r="U1827" s="490"/>
      <c r="V1827" s="450"/>
      <c r="W1827" s="450"/>
      <c r="X1827" s="450"/>
      <c r="Y1827" s="450"/>
      <c r="Z1827" s="450"/>
    </row>
    <row r="1828" spans="1:26" x14ac:dyDescent="0.25">
      <c r="A1828" s="467" t="s">
        <v>7167</v>
      </c>
      <c r="B1828" s="467"/>
      <c r="C1828" s="467" t="s">
        <v>202</v>
      </c>
      <c r="D1828" s="467" t="s">
        <v>8413</v>
      </c>
      <c r="E1828" s="468">
        <v>36906</v>
      </c>
      <c r="F1828" s="468">
        <v>36985</v>
      </c>
      <c r="G1828" s="467" t="s">
        <v>1404</v>
      </c>
      <c r="H1828" s="467" t="s">
        <v>205</v>
      </c>
      <c r="I1828" s="467" t="s">
        <v>321</v>
      </c>
      <c r="J1828" s="467" t="s">
        <v>8358</v>
      </c>
      <c r="K1828" s="469" t="str">
        <f>HYPERLINK("https://okcountyrecords.com/detail/roger+mills/2001-001366","OKCountyRecords: 2001-001366")</f>
        <v>OKCountyRecords: 2001-001366</v>
      </c>
      <c r="L1828" s="467">
        <v>2</v>
      </c>
      <c r="M1828" s="467" t="s">
        <v>1489</v>
      </c>
      <c r="N1828" s="470"/>
      <c r="O1828" s="471">
        <f t="shared" si="37"/>
        <v>160</v>
      </c>
      <c r="P1828" s="472" t="str">
        <f t="shared" si="38"/>
        <v/>
      </c>
      <c r="Q1828" s="472" t="str">
        <f t="shared" si="39"/>
        <v/>
      </c>
      <c r="R1828" s="473" t="str">
        <f t="shared" si="40"/>
        <v/>
      </c>
      <c r="S1828" s="467" t="str">
        <f t="shared" si="36"/>
        <v>Leasehold (non-mineral; excluded from mineral NMA). Gross=tract-map basis.</v>
      </c>
      <c r="T1828" s="489"/>
      <c r="U1828" s="490"/>
      <c r="V1828" s="450"/>
      <c r="W1828" s="450"/>
      <c r="X1828" s="450"/>
      <c r="Y1828" s="450"/>
      <c r="Z1828" s="450"/>
    </row>
    <row r="1829" spans="1:26" x14ac:dyDescent="0.25">
      <c r="A1829" s="467" t="s">
        <v>7161</v>
      </c>
      <c r="B1829" s="467"/>
      <c r="C1829" s="467" t="s">
        <v>202</v>
      </c>
      <c r="D1829" s="467" t="s">
        <v>8415</v>
      </c>
      <c r="E1829" s="468">
        <v>36906</v>
      </c>
      <c r="F1829" s="468">
        <v>36985</v>
      </c>
      <c r="G1829" s="467" t="s">
        <v>8416</v>
      </c>
      <c r="H1829" s="467" t="s">
        <v>205</v>
      </c>
      <c r="I1829" s="467" t="s">
        <v>321</v>
      </c>
      <c r="J1829" s="467" t="s">
        <v>8358</v>
      </c>
      <c r="K1829" s="469" t="str">
        <f>HYPERLINK("https://okcountyrecords.com/detail/roger+mills/2001-001364","OKCountyRecords: 2001-001364")</f>
        <v>OKCountyRecords: 2001-001364</v>
      </c>
      <c r="L1829" s="467">
        <v>2</v>
      </c>
      <c r="M1829" s="467" t="s">
        <v>1489</v>
      </c>
      <c r="N1829" s="470"/>
      <c r="O1829" s="471">
        <f t="shared" si="37"/>
        <v>160</v>
      </c>
      <c r="P1829" s="472" t="str">
        <f t="shared" si="38"/>
        <v/>
      </c>
      <c r="Q1829" s="472" t="str">
        <f t="shared" si="39"/>
        <v/>
      </c>
      <c r="R1829" s="473" t="str">
        <f t="shared" si="40"/>
        <v/>
      </c>
      <c r="S1829" s="467" t="str">
        <f t="shared" si="36"/>
        <v>Leasehold (non-mineral; excluded from mineral NMA). Gross=tract-map basis.</v>
      </c>
      <c r="T1829" s="489"/>
      <c r="U1829" s="490"/>
      <c r="V1829" s="450"/>
      <c r="W1829" s="450"/>
      <c r="X1829" s="450"/>
      <c r="Y1829" s="450"/>
      <c r="Z1829" s="450"/>
    </row>
    <row r="1830" spans="1:26" x14ac:dyDescent="0.25">
      <c r="A1830" s="467" t="s">
        <v>7147</v>
      </c>
      <c r="B1830" s="467"/>
      <c r="C1830" s="467" t="s">
        <v>202</v>
      </c>
      <c r="D1830" s="467" t="s">
        <v>8418</v>
      </c>
      <c r="E1830" s="468">
        <v>36906</v>
      </c>
      <c r="F1830" s="468">
        <v>36985</v>
      </c>
      <c r="G1830" s="467" t="s">
        <v>1509</v>
      </c>
      <c r="H1830" s="467" t="s">
        <v>205</v>
      </c>
      <c r="I1830" s="467" t="s">
        <v>321</v>
      </c>
      <c r="J1830" s="467" t="s">
        <v>8358</v>
      </c>
      <c r="K1830" s="469" t="str">
        <f>HYPERLINK("https://okcountyrecords.com/detail/roger+mills/2001-001360","OKCountyRecords: 2001-001360")</f>
        <v>OKCountyRecords: 2001-001360</v>
      </c>
      <c r="L1830" s="467">
        <v>2</v>
      </c>
      <c r="M1830" s="467" t="s">
        <v>1489</v>
      </c>
      <c r="N1830" s="470"/>
      <c r="O1830" s="471">
        <f t="shared" si="37"/>
        <v>160</v>
      </c>
      <c r="P1830" s="472" t="str">
        <f t="shared" si="38"/>
        <v/>
      </c>
      <c r="Q1830" s="472" t="str">
        <f t="shared" si="39"/>
        <v/>
      </c>
      <c r="R1830" s="473" t="str">
        <f t="shared" si="40"/>
        <v/>
      </c>
      <c r="S1830" s="467" t="str">
        <f t="shared" si="36"/>
        <v>Leasehold (non-mineral; excluded from mineral NMA). Gross=tract-map basis.</v>
      </c>
      <c r="T1830" s="489"/>
      <c r="U1830" s="490"/>
      <c r="V1830" s="450"/>
      <c r="W1830" s="450"/>
      <c r="X1830" s="450"/>
      <c r="Y1830" s="450"/>
      <c r="Z1830" s="450"/>
    </row>
    <row r="1831" spans="1:26" x14ac:dyDescent="0.25">
      <c r="A1831" s="467" t="s">
        <v>7164</v>
      </c>
      <c r="B1831" s="467"/>
      <c r="C1831" s="467" t="s">
        <v>202</v>
      </c>
      <c r="D1831" s="467" t="s">
        <v>8420</v>
      </c>
      <c r="E1831" s="468">
        <v>36906</v>
      </c>
      <c r="F1831" s="468">
        <v>36985</v>
      </c>
      <c r="G1831" s="467" t="s">
        <v>8421</v>
      </c>
      <c r="H1831" s="467" t="s">
        <v>205</v>
      </c>
      <c r="I1831" s="467" t="s">
        <v>321</v>
      </c>
      <c r="J1831" s="467" t="s">
        <v>8358</v>
      </c>
      <c r="K1831" s="469" t="str">
        <f>HYPERLINK("https://okcountyrecords.com/detail/roger+mills/2001-001365","OKCountyRecords: 2001-001365")</f>
        <v>OKCountyRecords: 2001-001365</v>
      </c>
      <c r="L1831" s="467">
        <v>2</v>
      </c>
      <c r="M1831" s="467" t="s">
        <v>1489</v>
      </c>
      <c r="N1831" s="470"/>
      <c r="O1831" s="471">
        <f t="shared" si="37"/>
        <v>160</v>
      </c>
      <c r="P1831" s="472" t="str">
        <f t="shared" si="38"/>
        <v/>
      </c>
      <c r="Q1831" s="472" t="str">
        <f t="shared" si="39"/>
        <v/>
      </c>
      <c r="R1831" s="473" t="str">
        <f t="shared" si="40"/>
        <v/>
      </c>
      <c r="S1831" s="467" t="str">
        <f t="shared" si="36"/>
        <v>Leasehold (non-mineral; excluded from mineral NMA). Gross=tract-map basis.</v>
      </c>
      <c r="T1831" s="489"/>
      <c r="U1831" s="490"/>
      <c r="V1831" s="450"/>
      <c r="W1831" s="450"/>
      <c r="X1831" s="450"/>
      <c r="Y1831" s="450"/>
      <c r="Z1831" s="450"/>
    </row>
    <row r="1832" spans="1:26" x14ac:dyDescent="0.25">
      <c r="A1832" s="467" t="s">
        <v>7143</v>
      </c>
      <c r="B1832" s="467"/>
      <c r="C1832" s="467" t="s">
        <v>202</v>
      </c>
      <c r="D1832" s="467" t="s">
        <v>8423</v>
      </c>
      <c r="E1832" s="468">
        <v>36916</v>
      </c>
      <c r="F1832" s="468">
        <v>36985</v>
      </c>
      <c r="G1832" s="467" t="s">
        <v>8424</v>
      </c>
      <c r="H1832" s="467" t="s">
        <v>205</v>
      </c>
      <c r="I1832" s="467" t="s">
        <v>222</v>
      </c>
      <c r="J1832" s="467" t="s">
        <v>8379</v>
      </c>
      <c r="K1832" s="469" t="str">
        <f>HYPERLINK("https://okcountyrecords.com/detail/roger+mills/2001-001359","OKCountyRecords: 2001-001359")</f>
        <v>OKCountyRecords: 2001-001359</v>
      </c>
      <c r="L1832" s="467" t="s">
        <v>625</v>
      </c>
      <c r="M1832" s="467" t="s">
        <v>1489</v>
      </c>
      <c r="N1832" s="476"/>
      <c r="O1832" s="471">
        <f t="shared" si="37"/>
        <v>280</v>
      </c>
      <c r="P1832" s="472" t="str">
        <f t="shared" si="38"/>
        <v/>
      </c>
      <c r="Q1832" s="472" t="str">
        <f t="shared" si="39"/>
        <v/>
      </c>
      <c r="R1832" s="473" t="str">
        <f t="shared" si="40"/>
        <v/>
      </c>
      <c r="S1832" s="467" t="str">
        <f t="shared" si="36"/>
        <v>Leasehold (non-mineral; excluded from mineral NMA). Gross=tract-map basis.</v>
      </c>
      <c r="T1832" s="489"/>
      <c r="U1832" s="490"/>
      <c r="V1832" s="450"/>
      <c r="W1832" s="450"/>
      <c r="X1832" s="450"/>
      <c r="Y1832" s="450"/>
      <c r="Z1832" s="450"/>
    </row>
    <row r="1833" spans="1:26" x14ac:dyDescent="0.25">
      <c r="A1833" s="467" t="s">
        <v>7150</v>
      </c>
      <c r="B1833" s="467"/>
      <c r="C1833" s="467" t="s">
        <v>202</v>
      </c>
      <c r="D1833" s="467" t="s">
        <v>8544</v>
      </c>
      <c r="E1833" s="468">
        <v>36920</v>
      </c>
      <c r="F1833" s="468">
        <v>36985</v>
      </c>
      <c r="G1833" s="467" t="s">
        <v>7152</v>
      </c>
      <c r="H1833" s="467" t="s">
        <v>205</v>
      </c>
      <c r="I1833" s="467" t="s">
        <v>269</v>
      </c>
      <c r="J1833" s="467" t="s">
        <v>8545</v>
      </c>
      <c r="K1833" s="469" t="str">
        <f>HYPERLINK("https://okcountyrecords.com/detail/roger+mills/2001-001361","OKCountyRecords: 2001-001361")</f>
        <v>OKCountyRecords: 2001-001361</v>
      </c>
      <c r="L1833" s="467" t="s">
        <v>1658</v>
      </c>
      <c r="M1833" s="467" t="s">
        <v>1489</v>
      </c>
      <c r="N1833" s="470"/>
      <c r="O1833" s="471">
        <f t="shared" si="37"/>
        <v>360</v>
      </c>
      <c r="P1833" s="472" t="str">
        <f t="shared" si="38"/>
        <v/>
      </c>
      <c r="Q1833" s="472" t="str">
        <f t="shared" si="39"/>
        <v/>
      </c>
      <c r="R1833" s="473" t="str">
        <f t="shared" si="40"/>
        <v/>
      </c>
      <c r="S1833" s="467" t="str">
        <f t="shared" si="36"/>
        <v>Leasehold (non-mineral; excluded from mineral NMA). Gross=tract-map basis.</v>
      </c>
      <c r="T1833" s="489"/>
      <c r="U1833" s="490"/>
      <c r="V1833" s="450"/>
      <c r="W1833" s="450"/>
      <c r="X1833" s="450"/>
      <c r="Y1833" s="450"/>
      <c r="Z1833" s="450"/>
    </row>
    <row r="1834" spans="1:26" x14ac:dyDescent="0.25">
      <c r="A1834" s="467" t="s">
        <v>1398</v>
      </c>
      <c r="B1834" s="467"/>
      <c r="C1834" s="467" t="s">
        <v>619</v>
      </c>
      <c r="D1834" s="467" t="s">
        <v>1399</v>
      </c>
      <c r="E1834" s="468">
        <v>36921</v>
      </c>
      <c r="F1834" s="468">
        <v>36956</v>
      </c>
      <c r="G1834" s="467" t="s">
        <v>731</v>
      </c>
      <c r="H1834" s="467" t="s">
        <v>1400</v>
      </c>
      <c r="I1834" s="467" t="s">
        <v>215</v>
      </c>
      <c r="J1834" s="467" t="s">
        <v>1401</v>
      </c>
      <c r="K1834" s="469" t="str">
        <f>HYPERLINK("https://okcountyrecords.com/detail/roger+mills/2001-000921","OKCountyRecords: 2001-000921")</f>
        <v>OKCountyRecords: 2001-000921</v>
      </c>
      <c r="L1834" s="467">
        <v>2</v>
      </c>
      <c r="M1834" s="467" t="s">
        <v>404</v>
      </c>
      <c r="N1834" s="470">
        <f>3.33333/791.47</f>
        <v>4.2115683475052752E-3</v>
      </c>
      <c r="O1834" s="471">
        <f t="shared" si="37"/>
        <v>160</v>
      </c>
      <c r="P1834" s="472">
        <f t="shared" si="38"/>
        <v>4.2115683475052752E-3</v>
      </c>
      <c r="Q1834" s="472">
        <f t="shared" si="39"/>
        <v>-4.2115683475052752E-3</v>
      </c>
      <c r="R1834" s="473">
        <f t="shared" si="40"/>
        <v>0.67385093560084397</v>
      </c>
      <c r="S1834" s="467" t="str">
        <f t="shared" si="36"/>
        <v>Mineral; basis Conv Amt(dec). Gross=tract-map basis.</v>
      </c>
      <c r="T1834" s="490"/>
      <c r="U1834" s="490"/>
      <c r="V1834" s="450"/>
      <c r="W1834" s="450"/>
      <c r="X1834" s="450"/>
      <c r="Y1834" s="450"/>
      <c r="Z1834" s="450"/>
    </row>
    <row r="1835" spans="1:26" x14ac:dyDescent="0.25">
      <c r="A1835" s="467" t="s">
        <v>1402</v>
      </c>
      <c r="B1835" s="467"/>
      <c r="C1835" s="467" t="s">
        <v>619</v>
      </c>
      <c r="D1835" s="467" t="s">
        <v>1403</v>
      </c>
      <c r="E1835" s="468">
        <v>36921</v>
      </c>
      <c r="F1835" s="468">
        <v>36956</v>
      </c>
      <c r="G1835" s="467" t="s">
        <v>1404</v>
      </c>
      <c r="H1835" s="467" t="s">
        <v>1400</v>
      </c>
      <c r="I1835" s="467" t="s">
        <v>1280</v>
      </c>
      <c r="J1835" s="467" t="s">
        <v>63</v>
      </c>
      <c r="K1835" s="469" t="str">
        <f>HYPERLINK("https://okcountyrecords.com/detail/roger+mills/2001-000926","OKCountyRecords: 2001-000926")</f>
        <v>OKCountyRecords: 2001-000926</v>
      </c>
      <c r="L1835" s="467">
        <v>2</v>
      </c>
      <c r="M1835" s="467" t="s">
        <v>404</v>
      </c>
      <c r="N1835" s="470">
        <v>1</v>
      </c>
      <c r="O1835" s="471">
        <f t="shared" si="37"/>
        <v>160</v>
      </c>
      <c r="P1835" s="472">
        <f t="shared" si="38"/>
        <v>1</v>
      </c>
      <c r="Q1835" s="472">
        <f t="shared" si="39"/>
        <v>-1</v>
      </c>
      <c r="R1835" s="473">
        <f t="shared" si="40"/>
        <v>160</v>
      </c>
      <c r="S1835" s="467" t="str">
        <f t="shared" si="36"/>
        <v>Mineral; basis Conv Amt(dec). Gross=tract-map basis.</v>
      </c>
      <c r="T1835" s="489"/>
      <c r="U1835" s="490"/>
      <c r="V1835" s="450"/>
      <c r="W1835" s="450"/>
      <c r="X1835" s="450"/>
      <c r="Y1835" s="450"/>
      <c r="Z1835" s="450"/>
    </row>
    <row r="1836" spans="1:26" x14ac:dyDescent="0.25">
      <c r="A1836" s="467" t="s">
        <v>1405</v>
      </c>
      <c r="B1836" s="467"/>
      <c r="C1836" s="467" t="s">
        <v>619</v>
      </c>
      <c r="D1836" s="467" t="s">
        <v>1406</v>
      </c>
      <c r="E1836" s="468">
        <v>36921</v>
      </c>
      <c r="F1836" s="468">
        <v>36956</v>
      </c>
      <c r="G1836" s="467" t="s">
        <v>1407</v>
      </c>
      <c r="H1836" s="467" t="s">
        <v>1400</v>
      </c>
      <c r="I1836" s="467" t="s">
        <v>215</v>
      </c>
      <c r="J1836" s="467" t="s">
        <v>1408</v>
      </c>
      <c r="K1836" s="469" t="str">
        <f>HYPERLINK("https://okcountyrecords.com/detail/roger+mills/2001-000927","OKCountyRecords: 2001-000927")</f>
        <v>OKCountyRecords: 2001-000927</v>
      </c>
      <c r="L1836" s="467">
        <v>2</v>
      </c>
      <c r="M1836" s="467" t="s">
        <v>404</v>
      </c>
      <c r="N1836" s="470">
        <f>IF(O1836&gt;0,8.0862/O1836,"")</f>
        <v>5.053875E-2</v>
      </c>
      <c r="O1836" s="471">
        <f t="shared" si="37"/>
        <v>160</v>
      </c>
      <c r="P1836" s="472">
        <f t="shared" si="38"/>
        <v>5.053875E-2</v>
      </c>
      <c r="Q1836" s="472">
        <f t="shared" si="39"/>
        <v>-5.053875E-2</v>
      </c>
      <c r="R1836" s="473">
        <f t="shared" si="40"/>
        <v>8.0861999999999998</v>
      </c>
      <c r="S1836" s="467" t="str">
        <f t="shared" si="36"/>
        <v>Mineral; basis Conv Amt(dec). Gross=tract-map basis.</v>
      </c>
      <c r="T1836" s="489"/>
      <c r="U1836" s="490" t="s">
        <v>1003</v>
      </c>
      <c r="V1836" s="450"/>
      <c r="W1836" s="450"/>
      <c r="X1836" s="450"/>
      <c r="Y1836" s="450"/>
      <c r="Z1836" s="450"/>
    </row>
    <row r="1837" spans="1:26" x14ac:dyDescent="0.25">
      <c r="A1837" s="467" t="s">
        <v>1409</v>
      </c>
      <c r="B1837" s="467"/>
      <c r="C1837" s="467" t="s">
        <v>619</v>
      </c>
      <c r="D1837" s="467" t="s">
        <v>1410</v>
      </c>
      <c r="E1837" s="468">
        <v>36922</v>
      </c>
      <c r="F1837" s="468">
        <v>36957</v>
      </c>
      <c r="G1837" s="467" t="s">
        <v>1370</v>
      </c>
      <c r="H1837" s="467" t="s">
        <v>114</v>
      </c>
      <c r="I1837" s="467" t="s">
        <v>1256</v>
      </c>
      <c r="J1837" s="467" t="s">
        <v>63</v>
      </c>
      <c r="K1837" s="469" t="str">
        <f>HYPERLINK("https://okcountyrecords.com/detail/roger+mills/2001-000957","OKCountyRecords: 2001-000957")</f>
        <v>OKCountyRecords: 2001-000957</v>
      </c>
      <c r="L1837" s="467" t="s">
        <v>625</v>
      </c>
      <c r="M1837" s="467" t="s">
        <v>404</v>
      </c>
      <c r="N1837" s="476">
        <v>1</v>
      </c>
      <c r="O1837" s="471">
        <f t="shared" si="37"/>
        <v>280</v>
      </c>
      <c r="P1837" s="472">
        <f t="shared" si="38"/>
        <v>1</v>
      </c>
      <c r="Q1837" s="472">
        <f t="shared" si="39"/>
        <v>-1</v>
      </c>
      <c r="R1837" s="473">
        <f t="shared" si="40"/>
        <v>280</v>
      </c>
      <c r="S1837" s="467" t="str">
        <f t="shared" si="36"/>
        <v>Mineral; basis Conv Amt(dec). Gross=tract-map basis.</v>
      </c>
      <c r="T1837" s="490"/>
      <c r="U1837" s="490"/>
      <c r="V1837" s="450"/>
      <c r="W1837" s="450"/>
      <c r="X1837" s="450"/>
      <c r="Y1837" s="450"/>
      <c r="Z1837" s="450"/>
    </row>
    <row r="1838" spans="1:26" x14ac:dyDescent="0.25">
      <c r="A1838" s="467" t="s">
        <v>7176</v>
      </c>
      <c r="B1838" s="467"/>
      <c r="C1838" s="467" t="s">
        <v>1456</v>
      </c>
      <c r="D1838" s="467" t="s">
        <v>8426</v>
      </c>
      <c r="E1838" s="468">
        <v>36924</v>
      </c>
      <c r="F1838" s="468">
        <v>37005</v>
      </c>
      <c r="G1838" s="467" t="s">
        <v>205</v>
      </c>
      <c r="H1838" s="467" t="s">
        <v>7179</v>
      </c>
      <c r="I1838" s="467" t="s">
        <v>321</v>
      </c>
      <c r="J1838" s="467" t="s">
        <v>8427</v>
      </c>
      <c r="K1838" s="469" t="str">
        <f>HYPERLINK("https://okcountyrecords.com/detail/roger+mills/2001-001728","OKCountyRecords: 2001-001728")</f>
        <v>OKCountyRecords: 2001-001728</v>
      </c>
      <c r="L1838" s="467">
        <v>2</v>
      </c>
      <c r="M1838" s="467" t="s">
        <v>1489</v>
      </c>
      <c r="N1838" s="470"/>
      <c r="O1838" s="471">
        <f t="shared" si="37"/>
        <v>160</v>
      </c>
      <c r="P1838" s="472" t="str">
        <f t="shared" si="38"/>
        <v/>
      </c>
      <c r="Q1838" s="472" t="str">
        <f t="shared" si="39"/>
        <v/>
      </c>
      <c r="R1838" s="473" t="str">
        <f t="shared" si="40"/>
        <v/>
      </c>
      <c r="S1838" s="467" t="str">
        <f t="shared" si="36"/>
        <v>Leasehold (non-mineral; excluded from mineral NMA). Gross=tract-map basis.</v>
      </c>
      <c r="T1838" s="489"/>
      <c r="U1838" s="490"/>
      <c r="V1838" s="450"/>
      <c r="W1838" s="450"/>
      <c r="X1838" s="450"/>
      <c r="Y1838" s="450"/>
      <c r="Z1838" s="450"/>
    </row>
    <row r="1839" spans="1:26" x14ac:dyDescent="0.25">
      <c r="A1839" s="467" t="s">
        <v>7181</v>
      </c>
      <c r="B1839" s="467"/>
      <c r="C1839" s="467" t="s">
        <v>1456</v>
      </c>
      <c r="D1839" s="467" t="s">
        <v>8429</v>
      </c>
      <c r="E1839" s="468">
        <v>36941</v>
      </c>
      <c r="F1839" s="468">
        <v>37005</v>
      </c>
      <c r="G1839" s="467" t="s">
        <v>205</v>
      </c>
      <c r="H1839" s="467" t="s">
        <v>7179</v>
      </c>
      <c r="I1839" s="467" t="s">
        <v>321</v>
      </c>
      <c r="J1839" s="467" t="s">
        <v>8430</v>
      </c>
      <c r="K1839" s="469" t="str">
        <f>HYPERLINK("https://okcountyrecords.com/detail/roger+mills/2001-001729","OKCountyRecords: 2001-001729")</f>
        <v>OKCountyRecords: 2001-001729</v>
      </c>
      <c r="L1839" s="467">
        <v>2</v>
      </c>
      <c r="M1839" s="467" t="s">
        <v>1489</v>
      </c>
      <c r="N1839" s="470"/>
      <c r="O1839" s="471">
        <f t="shared" si="37"/>
        <v>160</v>
      </c>
      <c r="P1839" s="472" t="str">
        <f t="shared" si="38"/>
        <v/>
      </c>
      <c r="Q1839" s="472" t="str">
        <f t="shared" si="39"/>
        <v/>
      </c>
      <c r="R1839" s="473" t="str">
        <f t="shared" si="40"/>
        <v/>
      </c>
      <c r="S1839" s="467" t="str">
        <f t="shared" si="36"/>
        <v>Leasehold (non-mineral; excluded from mineral NMA). Gross=tract-map basis.</v>
      </c>
      <c r="T1839" s="489"/>
      <c r="U1839" s="490"/>
      <c r="V1839" s="450"/>
      <c r="W1839" s="450"/>
      <c r="X1839" s="450"/>
      <c r="Y1839" s="450"/>
      <c r="Z1839" s="450"/>
    </row>
    <row r="1840" spans="1:26" x14ac:dyDescent="0.25">
      <c r="A1840" s="467" t="s">
        <v>7184</v>
      </c>
      <c r="B1840" s="467"/>
      <c r="C1840" s="467" t="s">
        <v>1456</v>
      </c>
      <c r="D1840" s="467" t="s">
        <v>8432</v>
      </c>
      <c r="E1840" s="468">
        <v>36945</v>
      </c>
      <c r="F1840" s="468">
        <v>37005</v>
      </c>
      <c r="G1840" s="467" t="s">
        <v>205</v>
      </c>
      <c r="H1840" s="467" t="s">
        <v>7179</v>
      </c>
      <c r="I1840" s="467" t="s">
        <v>321</v>
      </c>
      <c r="J1840" s="467" t="s">
        <v>8433</v>
      </c>
      <c r="K1840" s="469" t="str">
        <f>HYPERLINK("https://okcountyrecords.com/detail/roger+mills/2001-001730","OKCountyRecords: 2001-001730")</f>
        <v>OKCountyRecords: 2001-001730</v>
      </c>
      <c r="L1840" s="467">
        <v>2</v>
      </c>
      <c r="M1840" s="467" t="s">
        <v>1489</v>
      </c>
      <c r="N1840" s="470"/>
      <c r="O1840" s="471">
        <f t="shared" si="37"/>
        <v>160</v>
      </c>
      <c r="P1840" s="472" t="str">
        <f t="shared" si="38"/>
        <v/>
      </c>
      <c r="Q1840" s="472" t="str">
        <f t="shared" si="39"/>
        <v/>
      </c>
      <c r="R1840" s="473" t="str">
        <f t="shared" si="40"/>
        <v/>
      </c>
      <c r="S1840" s="467" t="str">
        <f t="shared" si="36"/>
        <v>Leasehold (non-mineral; excluded from mineral NMA). Gross=tract-map basis.</v>
      </c>
      <c r="T1840" s="489"/>
      <c r="U1840" s="490"/>
      <c r="V1840" s="450"/>
      <c r="W1840" s="450"/>
      <c r="X1840" s="450"/>
      <c r="Y1840" s="450"/>
      <c r="Z1840" s="450"/>
    </row>
    <row r="1841" spans="1:26" x14ac:dyDescent="0.25">
      <c r="A1841" s="467" t="s">
        <v>7191</v>
      </c>
      <c r="B1841" s="467"/>
      <c r="C1841" s="467" t="s">
        <v>1456</v>
      </c>
      <c r="D1841" s="467" t="s">
        <v>8435</v>
      </c>
      <c r="E1841" s="468">
        <v>36948</v>
      </c>
      <c r="F1841" s="468">
        <v>37005</v>
      </c>
      <c r="G1841" s="467" t="s">
        <v>205</v>
      </c>
      <c r="H1841" s="467" t="s">
        <v>7179</v>
      </c>
      <c r="I1841" s="467" t="s">
        <v>222</v>
      </c>
      <c r="J1841" s="467" t="s">
        <v>8436</v>
      </c>
      <c r="K1841" s="469" t="str">
        <f>HYPERLINK("https://okcountyrecords.com/detail/roger+mills/2001-001732","OKCountyRecords: 2001-001732")</f>
        <v>OKCountyRecords: 2001-001732</v>
      </c>
      <c r="L1841" s="467" t="s">
        <v>625</v>
      </c>
      <c r="M1841" s="467" t="s">
        <v>1489</v>
      </c>
      <c r="N1841" s="476"/>
      <c r="O1841" s="471">
        <f t="shared" si="37"/>
        <v>280</v>
      </c>
      <c r="P1841" s="472" t="str">
        <f t="shared" si="38"/>
        <v/>
      </c>
      <c r="Q1841" s="472" t="str">
        <f t="shared" si="39"/>
        <v/>
      </c>
      <c r="R1841" s="473" t="str">
        <f t="shared" si="40"/>
        <v/>
      </c>
      <c r="S1841" s="467" t="str">
        <f t="shared" si="36"/>
        <v>Leasehold (non-mineral; excluded from mineral NMA). Gross=tract-map basis.</v>
      </c>
      <c r="T1841" s="489"/>
      <c r="U1841" s="490"/>
      <c r="V1841" s="450"/>
      <c r="W1841" s="450"/>
      <c r="X1841" s="450"/>
      <c r="Y1841" s="450"/>
      <c r="Z1841" s="450"/>
    </row>
    <row r="1842" spans="1:26" x14ac:dyDescent="0.25">
      <c r="A1842" s="467" t="s">
        <v>7187</v>
      </c>
      <c r="B1842" s="467"/>
      <c r="C1842" s="467" t="s">
        <v>1456</v>
      </c>
      <c r="D1842" s="467" t="s">
        <v>8438</v>
      </c>
      <c r="E1842" s="468">
        <v>36948</v>
      </c>
      <c r="F1842" s="468">
        <v>37005</v>
      </c>
      <c r="G1842" s="467" t="s">
        <v>205</v>
      </c>
      <c r="H1842" s="467" t="s">
        <v>7179</v>
      </c>
      <c r="I1842" s="467" t="s">
        <v>7189</v>
      </c>
      <c r="J1842" s="467" t="s">
        <v>63</v>
      </c>
      <c r="K1842" s="469" t="str">
        <f>HYPERLINK("https://okcountyrecords.com/detail/roger+mills/2001-001731","OKCountyRecords: 2001-001731")</f>
        <v>OKCountyRecords: 2001-001731</v>
      </c>
      <c r="L1842" s="467" t="s">
        <v>602</v>
      </c>
      <c r="M1842" s="467" t="s">
        <v>1489</v>
      </c>
      <c r="N1842" s="476"/>
      <c r="O1842" s="471">
        <f t="shared" si="37"/>
        <v>440</v>
      </c>
      <c r="P1842" s="472" t="str">
        <f t="shared" si="38"/>
        <v/>
      </c>
      <c r="Q1842" s="472" t="str">
        <f t="shared" si="39"/>
        <v/>
      </c>
      <c r="R1842" s="473" t="str">
        <f t="shared" si="40"/>
        <v/>
      </c>
      <c r="S1842" s="467" t="str">
        <f t="shared" si="36"/>
        <v>Leasehold (non-mineral; excluded from mineral NMA). Gross=tract-map basis.</v>
      </c>
      <c r="T1842" s="489"/>
      <c r="U1842" s="490"/>
      <c r="V1842" s="450"/>
      <c r="W1842" s="450"/>
      <c r="X1842" s="450"/>
      <c r="Y1842" s="450"/>
      <c r="Z1842" s="450"/>
    </row>
    <row r="1843" spans="1:26" x14ac:dyDescent="0.25">
      <c r="A1843" s="467" t="s">
        <v>1411</v>
      </c>
      <c r="B1843" s="467"/>
      <c r="C1843" s="467" t="s">
        <v>461</v>
      </c>
      <c r="D1843" s="467" t="s">
        <v>1412</v>
      </c>
      <c r="E1843" s="468">
        <v>36949</v>
      </c>
      <c r="F1843" s="468">
        <v>36969</v>
      </c>
      <c r="G1843" s="467" t="s">
        <v>1413</v>
      </c>
      <c r="H1843" s="467" t="s">
        <v>102</v>
      </c>
      <c r="I1843" s="467" t="s">
        <v>1414</v>
      </c>
      <c r="J1843" s="467" t="s">
        <v>1415</v>
      </c>
      <c r="K1843" s="469" t="str">
        <f>HYPERLINK("https://okcountyrecords.com/detail/roger+mills/2001-001091","OKCountyRecords: 2001-001091")</f>
        <v>OKCountyRecords: 2001-001091</v>
      </c>
      <c r="L1843" s="467">
        <v>1</v>
      </c>
      <c r="M1843" s="467" t="s">
        <v>465</v>
      </c>
      <c r="N1843" s="470"/>
      <c r="O1843" s="471">
        <f t="shared" si="37"/>
        <v>80</v>
      </c>
      <c r="P1843" s="472" t="str">
        <f t="shared" si="38"/>
        <v/>
      </c>
      <c r="Q1843" s="472" t="str">
        <f t="shared" si="39"/>
        <v/>
      </c>
      <c r="R1843" s="473" t="str">
        <f t="shared" si="40"/>
        <v/>
      </c>
      <c r="S1843" s="467" t="s">
        <v>466</v>
      </c>
      <c r="T1843" s="489" t="s">
        <v>467</v>
      </c>
      <c r="U1843" s="490" t="s">
        <v>504</v>
      </c>
      <c r="V1843" s="450"/>
      <c r="W1843" s="450"/>
      <c r="X1843" s="450"/>
      <c r="Y1843" s="450"/>
      <c r="Z1843" s="450"/>
    </row>
    <row r="1844" spans="1:26" x14ac:dyDescent="0.25">
      <c r="A1844" s="467" t="s">
        <v>7201</v>
      </c>
      <c r="B1844" s="467"/>
      <c r="C1844" s="467" t="s">
        <v>202</v>
      </c>
      <c r="D1844" s="467" t="s">
        <v>8440</v>
      </c>
      <c r="E1844" s="468">
        <v>36951</v>
      </c>
      <c r="F1844" s="468">
        <v>37019</v>
      </c>
      <c r="G1844" s="467" t="s">
        <v>7203</v>
      </c>
      <c r="H1844" s="467" t="s">
        <v>205</v>
      </c>
      <c r="I1844" s="467" t="s">
        <v>321</v>
      </c>
      <c r="J1844" s="467" t="s">
        <v>8358</v>
      </c>
      <c r="K1844" s="469" t="str">
        <f>HYPERLINK("https://okcountyrecords.com/detail/roger+mills/2001-002016","OKCountyRecords: 2001-002016")</f>
        <v>OKCountyRecords: 2001-002016</v>
      </c>
      <c r="L1844" s="467">
        <v>2</v>
      </c>
      <c r="M1844" s="467" t="s">
        <v>1489</v>
      </c>
      <c r="N1844" s="470"/>
      <c r="O1844" s="471">
        <f t="shared" si="37"/>
        <v>160</v>
      </c>
      <c r="P1844" s="472" t="str">
        <f t="shared" si="38"/>
        <v/>
      </c>
      <c r="Q1844" s="472" t="str">
        <f t="shared" si="39"/>
        <v/>
      </c>
      <c r="R1844" s="473" t="str">
        <f t="shared" si="40"/>
        <v/>
      </c>
      <c r="S1844" s="467"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89"/>
      <c r="U1844" s="490"/>
      <c r="V1844" s="450"/>
      <c r="W1844" s="450"/>
      <c r="X1844" s="450"/>
      <c r="Y1844" s="450"/>
      <c r="Z1844" s="450"/>
    </row>
    <row r="1845" spans="1:26" x14ac:dyDescent="0.25">
      <c r="A1845" s="467" t="s">
        <v>7198</v>
      </c>
      <c r="B1845" s="467"/>
      <c r="C1845" s="467" t="s">
        <v>202</v>
      </c>
      <c r="D1845" s="467" t="s">
        <v>8442</v>
      </c>
      <c r="E1845" s="468">
        <v>36951</v>
      </c>
      <c r="F1845" s="468">
        <v>37019</v>
      </c>
      <c r="G1845" s="467" t="s">
        <v>986</v>
      </c>
      <c r="H1845" s="467" t="s">
        <v>205</v>
      </c>
      <c r="I1845" s="467" t="s">
        <v>321</v>
      </c>
      <c r="J1845" s="467" t="s">
        <v>8358</v>
      </c>
      <c r="K1845" s="469" t="str">
        <f>HYPERLINK("https://okcountyrecords.com/detail/roger+mills/2001-002015","OKCountyRecords: 2001-002015")</f>
        <v>OKCountyRecords: 2001-002015</v>
      </c>
      <c r="L1845" s="467">
        <v>2</v>
      </c>
      <c r="M1845" s="467" t="s">
        <v>1489</v>
      </c>
      <c r="N1845" s="470"/>
      <c r="O1845" s="471">
        <f t="shared" si="37"/>
        <v>160</v>
      </c>
      <c r="P1845" s="472" t="str">
        <f t="shared" si="38"/>
        <v/>
      </c>
      <c r="Q1845" s="472" t="str">
        <f t="shared" si="39"/>
        <v/>
      </c>
      <c r="R1845" s="473" t="str">
        <f t="shared" si="40"/>
        <v/>
      </c>
      <c r="S1845" s="467" t="str">
        <f t="shared" si="41"/>
        <v>Leasehold (non-mineral; excluded from mineral NMA). Gross=tract-map basis.</v>
      </c>
      <c r="T1845" s="489"/>
      <c r="U1845" s="490"/>
      <c r="V1845" s="450"/>
      <c r="W1845" s="450"/>
      <c r="X1845" s="450"/>
      <c r="Y1845" s="450"/>
      <c r="Z1845" s="450"/>
    </row>
    <row r="1846" spans="1:26" x14ac:dyDescent="0.25">
      <c r="A1846" s="467" t="s">
        <v>7194</v>
      </c>
      <c r="B1846" s="467"/>
      <c r="C1846" s="467" t="s">
        <v>202</v>
      </c>
      <c r="D1846" s="467" t="s">
        <v>8444</v>
      </c>
      <c r="E1846" s="468">
        <v>36951</v>
      </c>
      <c r="F1846" s="468">
        <v>37019</v>
      </c>
      <c r="G1846" s="467" t="s">
        <v>980</v>
      </c>
      <c r="H1846" s="467" t="s">
        <v>205</v>
      </c>
      <c r="I1846" s="467" t="s">
        <v>321</v>
      </c>
      <c r="J1846" s="467" t="s">
        <v>8358</v>
      </c>
      <c r="K1846" s="469" t="str">
        <f>HYPERLINK("https://okcountyrecords.com/detail/roger+mills/2001-002014","OKCountyRecords: 2001-002014")</f>
        <v>OKCountyRecords: 2001-002014</v>
      </c>
      <c r="L1846" s="467">
        <v>2</v>
      </c>
      <c r="M1846" s="467" t="s">
        <v>1489</v>
      </c>
      <c r="N1846" s="470"/>
      <c r="O1846" s="471">
        <f t="shared" si="37"/>
        <v>160</v>
      </c>
      <c r="P1846" s="472" t="str">
        <f t="shared" si="38"/>
        <v/>
      </c>
      <c r="Q1846" s="472" t="str">
        <f t="shared" si="39"/>
        <v/>
      </c>
      <c r="R1846" s="473" t="str">
        <f t="shared" si="40"/>
        <v/>
      </c>
      <c r="S1846" s="467" t="str">
        <f t="shared" si="41"/>
        <v>Leasehold (non-mineral; excluded from mineral NMA). Gross=tract-map basis.</v>
      </c>
      <c r="T1846" s="489"/>
      <c r="U1846" s="490"/>
      <c r="V1846" s="450"/>
      <c r="W1846" s="450"/>
      <c r="X1846" s="450"/>
      <c r="Y1846" s="450"/>
      <c r="Z1846" s="450"/>
    </row>
    <row r="1847" spans="1:26" x14ac:dyDescent="0.25">
      <c r="A1847" s="467" t="s">
        <v>1416</v>
      </c>
      <c r="B1847" s="467"/>
      <c r="C1847" s="467" t="s">
        <v>533</v>
      </c>
      <c r="D1847" s="467" t="s">
        <v>1417</v>
      </c>
      <c r="E1847" s="468">
        <v>36955</v>
      </c>
      <c r="F1847" s="468">
        <v>36969</v>
      </c>
      <c r="G1847" s="467" t="s">
        <v>1418</v>
      </c>
      <c r="H1847" s="467" t="s">
        <v>1419</v>
      </c>
      <c r="I1847" s="467" t="s">
        <v>1393</v>
      </c>
      <c r="J1847" s="467" t="s">
        <v>63</v>
      </c>
      <c r="K1847" s="469" t="str">
        <f>HYPERLINK("https://okcountyrecords.com/detail/roger+mills/2001-001092","OKCountyRecords: 2001-001092")</f>
        <v>OKCountyRecords: 2001-001092</v>
      </c>
      <c r="L1847" s="467" t="s">
        <v>1287</v>
      </c>
      <c r="M1847" s="467" t="s">
        <v>404</v>
      </c>
      <c r="N1847" s="470">
        <v>1</v>
      </c>
      <c r="O1847" s="471">
        <f t="shared" si="37"/>
        <v>280</v>
      </c>
      <c r="P1847" s="472">
        <f t="shared" si="38"/>
        <v>1</v>
      </c>
      <c r="Q1847" s="472">
        <f t="shared" si="39"/>
        <v>-1</v>
      </c>
      <c r="R1847" s="473">
        <f t="shared" si="40"/>
        <v>280</v>
      </c>
      <c r="S1847" s="467" t="str">
        <f t="shared" si="41"/>
        <v>Mineral; basis Conv Amt(dec). Gross=tract-map basis.</v>
      </c>
      <c r="T1847" s="489"/>
      <c r="U1847" s="490"/>
      <c r="V1847" s="450"/>
      <c r="W1847" s="450"/>
      <c r="X1847" s="450"/>
      <c r="Y1847" s="450"/>
      <c r="Z1847" s="450"/>
    </row>
    <row r="1848" spans="1:26" x14ac:dyDescent="0.25">
      <c r="A1848" s="467" t="s">
        <v>1420</v>
      </c>
      <c r="B1848" s="467"/>
      <c r="C1848" s="467" t="s">
        <v>619</v>
      </c>
      <c r="D1848" s="467" t="s">
        <v>1421</v>
      </c>
      <c r="E1848" s="468">
        <v>36957</v>
      </c>
      <c r="F1848" s="468">
        <v>36987</v>
      </c>
      <c r="G1848" s="467" t="s">
        <v>1422</v>
      </c>
      <c r="H1848" s="467" t="s">
        <v>114</v>
      </c>
      <c r="I1848" s="467" t="s">
        <v>222</v>
      </c>
      <c r="J1848" s="467" t="s">
        <v>63</v>
      </c>
      <c r="K1848" s="469" t="str">
        <f>HYPERLINK("https://okcountyrecords.com/detail/roger+mills/2001-001414","OKCountyRecords: 2001-001414")</f>
        <v>OKCountyRecords: 2001-001414</v>
      </c>
      <c r="L1848" s="467" t="s">
        <v>625</v>
      </c>
      <c r="M1848" s="467" t="s">
        <v>404</v>
      </c>
      <c r="N1848" s="476">
        <v>1</v>
      </c>
      <c r="O1848" s="471">
        <f t="shared" si="37"/>
        <v>280</v>
      </c>
      <c r="P1848" s="472">
        <f t="shared" si="38"/>
        <v>1</v>
      </c>
      <c r="Q1848" s="472">
        <f t="shared" si="39"/>
        <v>-1</v>
      </c>
      <c r="R1848" s="473">
        <f t="shared" si="40"/>
        <v>280</v>
      </c>
      <c r="S1848" s="467" t="str">
        <f t="shared" si="41"/>
        <v>Mineral; basis Conv Amt(dec). Gross=tract-map basis.</v>
      </c>
      <c r="T1848" s="490"/>
      <c r="U1848" s="490"/>
      <c r="V1848" s="450"/>
      <c r="W1848" s="450"/>
      <c r="X1848" s="450"/>
      <c r="Y1848" s="450"/>
      <c r="Z1848" s="450"/>
    </row>
    <row r="1849" spans="1:26" x14ac:dyDescent="0.25">
      <c r="A1849" s="467" t="s">
        <v>1423</v>
      </c>
      <c r="B1849" s="467"/>
      <c r="C1849" s="467" t="s">
        <v>619</v>
      </c>
      <c r="D1849" s="467" t="s">
        <v>1424</v>
      </c>
      <c r="E1849" s="468">
        <v>36963</v>
      </c>
      <c r="F1849" s="468">
        <v>36991</v>
      </c>
      <c r="G1849" s="467" t="s">
        <v>1425</v>
      </c>
      <c r="H1849" s="467" t="s">
        <v>114</v>
      </c>
      <c r="I1849" s="467" t="s">
        <v>1256</v>
      </c>
      <c r="J1849" s="467" t="s">
        <v>63</v>
      </c>
      <c r="K1849" s="469" t="str">
        <f>HYPERLINK("https://okcountyrecords.com/detail/roger+mills/2001-001463","OKCountyRecords: 2001-001463")</f>
        <v>OKCountyRecords: 2001-001463</v>
      </c>
      <c r="L1849" s="467" t="s">
        <v>625</v>
      </c>
      <c r="M1849" s="467" t="s">
        <v>404</v>
      </c>
      <c r="N1849" s="476">
        <v>1</v>
      </c>
      <c r="O1849" s="471">
        <f t="shared" si="37"/>
        <v>280</v>
      </c>
      <c r="P1849" s="472">
        <f t="shared" si="38"/>
        <v>1</v>
      </c>
      <c r="Q1849" s="472">
        <f t="shared" si="39"/>
        <v>-1</v>
      </c>
      <c r="R1849" s="473">
        <f t="shared" si="40"/>
        <v>280</v>
      </c>
      <c r="S1849" s="467" t="str">
        <f t="shared" si="41"/>
        <v>Mineral; basis Conv Amt(dec). Gross=tract-map basis.</v>
      </c>
      <c r="T1849" s="490"/>
      <c r="U1849" s="490"/>
      <c r="V1849" s="450"/>
      <c r="W1849" s="450"/>
      <c r="X1849" s="450"/>
      <c r="Y1849" s="450"/>
      <c r="Z1849" s="450"/>
    </row>
    <row r="1850" spans="1:26" x14ac:dyDescent="0.25">
      <c r="A1850" s="467" t="s">
        <v>7216</v>
      </c>
      <c r="B1850" s="467"/>
      <c r="C1850" s="467" t="s">
        <v>1456</v>
      </c>
      <c r="D1850" s="467" t="s">
        <v>8446</v>
      </c>
      <c r="E1850" s="468">
        <v>36990</v>
      </c>
      <c r="F1850" s="468">
        <v>37034</v>
      </c>
      <c r="G1850" s="467" t="s">
        <v>205</v>
      </c>
      <c r="H1850" s="467" t="s">
        <v>7179</v>
      </c>
      <c r="I1850" s="467" t="s">
        <v>321</v>
      </c>
      <c r="J1850" s="467" t="s">
        <v>8447</v>
      </c>
      <c r="K1850" s="469" t="str">
        <f>HYPERLINK("https://okcountyrecords.com/detail/roger+mills/2001-002354","OKCountyRecords: 2001-002354")</f>
        <v>OKCountyRecords: 2001-002354</v>
      </c>
      <c r="L1850" s="467">
        <v>2</v>
      </c>
      <c r="M1850" s="467" t="s">
        <v>1489</v>
      </c>
      <c r="N1850" s="470"/>
      <c r="O1850" s="471">
        <f t="shared" si="37"/>
        <v>160</v>
      </c>
      <c r="P1850" s="472" t="str">
        <f t="shared" si="38"/>
        <v/>
      </c>
      <c r="Q1850" s="472" t="str">
        <f t="shared" si="39"/>
        <v/>
      </c>
      <c r="R1850" s="473" t="str">
        <f t="shared" si="40"/>
        <v/>
      </c>
      <c r="S1850" s="467" t="str">
        <f t="shared" si="41"/>
        <v>Leasehold (non-mineral; excluded from mineral NMA). Gross=tract-map basis.</v>
      </c>
      <c r="T1850" s="489"/>
      <c r="U1850" s="490"/>
      <c r="V1850" s="450"/>
      <c r="W1850" s="450"/>
      <c r="X1850" s="450"/>
      <c r="Y1850" s="450"/>
      <c r="Z1850" s="450"/>
    </row>
    <row r="1851" spans="1:26" x14ac:dyDescent="0.25">
      <c r="A1851" s="467" t="s">
        <v>1426</v>
      </c>
      <c r="B1851" s="467"/>
      <c r="C1851" s="467" t="s">
        <v>1362</v>
      </c>
      <c r="D1851" s="467" t="s">
        <v>1427</v>
      </c>
      <c r="E1851" s="468">
        <v>37014</v>
      </c>
      <c r="F1851" s="468">
        <v>37034</v>
      </c>
      <c r="G1851" s="467" t="s">
        <v>1428</v>
      </c>
      <c r="H1851" s="467" t="s">
        <v>1370</v>
      </c>
      <c r="I1851" s="467" t="s">
        <v>1256</v>
      </c>
      <c r="J1851" s="467" t="s">
        <v>1429</v>
      </c>
      <c r="K1851" s="469" t="str">
        <f>HYPERLINK("https://okcountyrecords.com/detail/roger+mills/2001-002342","OKCountyRecords: 2001-002342")</f>
        <v>OKCountyRecords: 2001-002342</v>
      </c>
      <c r="L1851" s="467" t="s">
        <v>625</v>
      </c>
      <c r="M1851" s="467" t="s">
        <v>404</v>
      </c>
      <c r="N1851" s="476">
        <v>1</v>
      </c>
      <c r="O1851" s="471">
        <f t="shared" si="37"/>
        <v>280</v>
      </c>
      <c r="P1851" s="472">
        <f t="shared" si="38"/>
        <v>1</v>
      </c>
      <c r="Q1851" s="472">
        <f t="shared" si="39"/>
        <v>-1</v>
      </c>
      <c r="R1851" s="473">
        <f t="shared" si="40"/>
        <v>280</v>
      </c>
      <c r="S1851" s="467" t="str">
        <f t="shared" si="41"/>
        <v>Mineral; basis Conv Amt(dec). Gross=tract-map basis.</v>
      </c>
      <c r="T1851" s="490"/>
      <c r="U1851" s="490"/>
      <c r="V1851" s="450"/>
      <c r="W1851" s="450"/>
      <c r="X1851" s="450"/>
      <c r="Y1851" s="450"/>
      <c r="Z1851" s="450"/>
    </row>
    <row r="1852" spans="1:26" x14ac:dyDescent="0.25">
      <c r="A1852" s="467" t="s">
        <v>1430</v>
      </c>
      <c r="B1852" s="467"/>
      <c r="C1852" s="467" t="s">
        <v>533</v>
      </c>
      <c r="D1852" s="467" t="s">
        <v>1431</v>
      </c>
      <c r="E1852" s="468">
        <v>37022</v>
      </c>
      <c r="F1852" s="468">
        <v>37029</v>
      </c>
      <c r="G1852" s="467" t="s">
        <v>1432</v>
      </c>
      <c r="H1852" s="467" t="s">
        <v>1433</v>
      </c>
      <c r="I1852" s="467" t="s">
        <v>1434</v>
      </c>
      <c r="J1852" s="467" t="s">
        <v>63</v>
      </c>
      <c r="K1852" s="469" t="str">
        <f>HYPERLINK("https://okcountyrecords.com/detail/roger+mills/2001-002190","OKCountyRecords: 2001-002190")</f>
        <v>OKCountyRecords: 2001-002190</v>
      </c>
      <c r="L1852" s="467">
        <v>5</v>
      </c>
      <c r="M1852" s="467" t="s">
        <v>404</v>
      </c>
      <c r="N1852" s="470">
        <v>1</v>
      </c>
      <c r="O1852" s="471">
        <f t="shared" si="37"/>
        <v>120</v>
      </c>
      <c r="P1852" s="472">
        <f t="shared" si="38"/>
        <v>1</v>
      </c>
      <c r="Q1852" s="472">
        <f t="shared" si="39"/>
        <v>-1</v>
      </c>
      <c r="R1852" s="473">
        <f t="shared" si="40"/>
        <v>120</v>
      </c>
      <c r="S1852" s="467" t="str">
        <f t="shared" si="41"/>
        <v>Mineral; basis Conv Amt(dec). Gross=tract-map basis.</v>
      </c>
      <c r="T1852" s="489"/>
      <c r="U1852" s="490"/>
      <c r="V1852" s="450"/>
      <c r="W1852" s="450"/>
      <c r="X1852" s="450"/>
      <c r="Y1852" s="450"/>
      <c r="Z1852" s="450"/>
    </row>
    <row r="1853" spans="1:26" x14ac:dyDescent="0.25">
      <c r="A1853" s="467" t="s">
        <v>7213</v>
      </c>
      <c r="B1853" s="467"/>
      <c r="C1853" s="467" t="s">
        <v>1456</v>
      </c>
      <c r="D1853" s="467" t="s">
        <v>8449</v>
      </c>
      <c r="E1853" s="468">
        <v>37031</v>
      </c>
      <c r="F1853" s="468">
        <v>37034</v>
      </c>
      <c r="G1853" s="467" t="s">
        <v>205</v>
      </c>
      <c r="H1853" s="467" t="s">
        <v>7179</v>
      </c>
      <c r="I1853" s="467" t="s">
        <v>321</v>
      </c>
      <c r="J1853" s="467" t="s">
        <v>8450</v>
      </c>
      <c r="K1853" s="469" t="str">
        <f>HYPERLINK("https://okcountyrecords.com/detail/roger+mills/2001-002353","OKCountyRecords: 2001-002353")</f>
        <v>OKCountyRecords: 2001-002353</v>
      </c>
      <c r="L1853" s="467">
        <v>2</v>
      </c>
      <c r="M1853" s="467" t="s">
        <v>1489</v>
      </c>
      <c r="N1853" s="470"/>
      <c r="O1853" s="471">
        <f t="shared" si="37"/>
        <v>160</v>
      </c>
      <c r="P1853" s="472" t="str">
        <f t="shared" si="38"/>
        <v/>
      </c>
      <c r="Q1853" s="472" t="str">
        <f t="shared" si="39"/>
        <v/>
      </c>
      <c r="R1853" s="473" t="str">
        <f t="shared" si="40"/>
        <v/>
      </c>
      <c r="S1853" s="467" t="str">
        <f t="shared" si="41"/>
        <v>Leasehold (non-mineral; excluded from mineral NMA). Gross=tract-map basis.</v>
      </c>
      <c r="T1853" s="489"/>
      <c r="U1853" s="490"/>
      <c r="V1853" s="450"/>
      <c r="W1853" s="450"/>
      <c r="X1853" s="450"/>
      <c r="Y1853" s="450"/>
      <c r="Z1853" s="450"/>
    </row>
    <row r="1854" spans="1:26" x14ac:dyDescent="0.25">
      <c r="A1854" s="467" t="s">
        <v>2901</v>
      </c>
      <c r="B1854" s="467"/>
      <c r="C1854" s="467" t="s">
        <v>714</v>
      </c>
      <c r="D1854" s="467" t="s">
        <v>2904</v>
      </c>
      <c r="E1854" s="468">
        <v>37034</v>
      </c>
      <c r="F1854" s="468">
        <v>37041</v>
      </c>
      <c r="G1854" s="467" t="s">
        <v>1432</v>
      </c>
      <c r="H1854" s="467" t="s">
        <v>2883</v>
      </c>
      <c r="I1854" s="467" t="s">
        <v>8546</v>
      </c>
      <c r="J1854" s="467" t="s">
        <v>8547</v>
      </c>
      <c r="K1854" s="469" t="str">
        <f>HYPERLINK("https://okcountyrecords.com/detail/roger+mills/2001-002496","OKCountyRecords: 2001-002496")</f>
        <v>OKCountyRecords: 2001-002496</v>
      </c>
      <c r="L1854" s="467">
        <v>5</v>
      </c>
      <c r="M1854" s="467" t="s">
        <v>404</v>
      </c>
      <c r="N1854" s="470">
        <v>0</v>
      </c>
      <c r="O1854" s="471">
        <f t="shared" si="37"/>
        <v>120</v>
      </c>
      <c r="P1854" s="472">
        <f t="shared" si="38"/>
        <v>0</v>
      </c>
      <c r="Q1854" s="472">
        <f t="shared" si="39"/>
        <v>0</v>
      </c>
      <c r="R1854" s="473">
        <f t="shared" si="40"/>
        <v>0</v>
      </c>
      <c r="S1854" s="467" t="str">
        <f t="shared" si="41"/>
        <v>Mineral; basis Conv Amt(dec). Gross=tract-map basis.</v>
      </c>
      <c r="T1854" s="489"/>
      <c r="U1854" s="490" t="s">
        <v>8548</v>
      </c>
      <c r="V1854" s="450"/>
      <c r="W1854" s="450"/>
      <c r="X1854" s="450"/>
      <c r="Y1854" s="450"/>
      <c r="Z1854" s="450"/>
    </row>
    <row r="1855" spans="1:26" x14ac:dyDescent="0.25">
      <c r="A1855" s="467" t="s">
        <v>7320</v>
      </c>
      <c r="B1855" s="467"/>
      <c r="C1855" s="467" t="s">
        <v>2029</v>
      </c>
      <c r="D1855" s="467" t="s">
        <v>8549</v>
      </c>
      <c r="E1855" s="468">
        <v>37347</v>
      </c>
      <c r="F1855" s="468">
        <v>37608</v>
      </c>
      <c r="G1855" s="467" t="s">
        <v>114</v>
      </c>
      <c r="H1855" s="467" t="s">
        <v>7323</v>
      </c>
      <c r="I1855" s="467" t="s">
        <v>569</v>
      </c>
      <c r="J1855" s="467" t="s">
        <v>1440</v>
      </c>
      <c r="K1855" s="469" t="str">
        <f>HYPERLINK("https://okcountyrecords.com/detail/roger+mills/2002-004832","OKCountyRecords: 2002-004832")</f>
        <v>OKCountyRecords: 2002-004832</v>
      </c>
      <c r="L1855" s="467" t="s">
        <v>502</v>
      </c>
      <c r="M1855" s="467" t="s">
        <v>1489</v>
      </c>
      <c r="N1855" s="470"/>
      <c r="O1855" s="471">
        <f t="shared" si="37"/>
        <v>640</v>
      </c>
      <c r="P1855" s="472" t="str">
        <f t="shared" si="38"/>
        <v/>
      </c>
      <c r="Q1855" s="472" t="str">
        <f t="shared" si="39"/>
        <v/>
      </c>
      <c r="R1855" s="473" t="str">
        <f t="shared" si="40"/>
        <v/>
      </c>
      <c r="S1855" s="467" t="str">
        <f t="shared" si="41"/>
        <v>Leasehold (non-mineral; excluded from mineral NMA). All-section coverage. Gross=tract-map basis.</v>
      </c>
      <c r="T1855" s="489"/>
      <c r="U1855" s="490"/>
      <c r="V1855" s="450"/>
      <c r="W1855" s="450"/>
      <c r="X1855" s="450"/>
      <c r="Y1855" s="450"/>
      <c r="Z1855" s="450"/>
    </row>
    <row r="1856" spans="1:26" x14ac:dyDescent="0.25">
      <c r="A1856" s="467" t="s">
        <v>7229</v>
      </c>
      <c r="B1856" s="467">
        <v>13</v>
      </c>
      <c r="C1856" s="467" t="s">
        <v>202</v>
      </c>
      <c r="D1856" s="467" t="s">
        <v>3064</v>
      </c>
      <c r="E1856" s="468">
        <v>37347</v>
      </c>
      <c r="F1856" s="468">
        <v>37372</v>
      </c>
      <c r="G1856" s="467" t="s">
        <v>4463</v>
      </c>
      <c r="H1856" s="467" t="s">
        <v>4464</v>
      </c>
      <c r="I1856" s="467" t="s">
        <v>215</v>
      </c>
      <c r="J1856" s="467" t="s">
        <v>149</v>
      </c>
      <c r="K1856" s="469" t="str">
        <f>HYPERLINK("https://okcountyrecords.com/detail/roger+mills/2002-001764","OKCountyRecords: 2002-001764")</f>
        <v>OKCountyRecords: 2002-001764</v>
      </c>
      <c r="L1856" s="467">
        <v>2</v>
      </c>
      <c r="M1856" s="467" t="s">
        <v>1489</v>
      </c>
      <c r="N1856" s="470"/>
      <c r="O1856" s="471">
        <f t="shared" si="37"/>
        <v>160</v>
      </c>
      <c r="P1856" s="472" t="str">
        <f t="shared" si="38"/>
        <v/>
      </c>
      <c r="Q1856" s="472" t="str">
        <f t="shared" si="39"/>
        <v/>
      </c>
      <c r="R1856" s="473" t="str">
        <f t="shared" si="40"/>
        <v/>
      </c>
      <c r="S1856" s="467" t="str">
        <f t="shared" si="41"/>
        <v>Leasehold (non-mineral; excluded from mineral NMA). Gross=tract-map basis.</v>
      </c>
      <c r="T1856" s="489"/>
      <c r="U1856" s="490"/>
      <c r="V1856" s="450"/>
      <c r="W1856" s="450"/>
      <c r="X1856" s="450"/>
      <c r="Y1856" s="450"/>
      <c r="Z1856" s="450"/>
    </row>
    <row r="1857" spans="1:26" x14ac:dyDescent="0.25">
      <c r="A1857" s="467" t="s">
        <v>7223</v>
      </c>
      <c r="B1857" s="467"/>
      <c r="C1857" s="467" t="s">
        <v>1456</v>
      </c>
      <c r="D1857" s="467" t="s">
        <v>8452</v>
      </c>
      <c r="E1857" s="468">
        <v>37348</v>
      </c>
      <c r="F1857" s="468">
        <v>37368</v>
      </c>
      <c r="G1857" s="467" t="s">
        <v>4078</v>
      </c>
      <c r="H1857" s="467" t="s">
        <v>8453</v>
      </c>
      <c r="I1857" s="467" t="s">
        <v>1286</v>
      </c>
      <c r="J1857" s="467" t="s">
        <v>63</v>
      </c>
      <c r="K1857" s="469" t="str">
        <f>HYPERLINK("https://okcountyrecords.com/detail/roger+mills/2002-001685","OKCountyRecords: 2002-001685")</f>
        <v>OKCountyRecords: 2002-001685</v>
      </c>
      <c r="L1857" s="467" t="s">
        <v>1287</v>
      </c>
      <c r="M1857" s="467" t="s">
        <v>1489</v>
      </c>
      <c r="N1857" s="470"/>
      <c r="O1857" s="471">
        <f t="shared" si="37"/>
        <v>280</v>
      </c>
      <c r="P1857" s="472" t="str">
        <f t="shared" si="38"/>
        <v/>
      </c>
      <c r="Q1857" s="472" t="str">
        <f t="shared" si="39"/>
        <v/>
      </c>
      <c r="R1857" s="473" t="str">
        <f t="shared" si="40"/>
        <v/>
      </c>
      <c r="S1857" s="467" t="str">
        <f t="shared" si="41"/>
        <v>Leasehold (non-mineral; excluded from mineral NMA). Gross=tract-map basis.</v>
      </c>
      <c r="T1857" s="489"/>
      <c r="U1857" s="490"/>
      <c r="V1857" s="450"/>
      <c r="W1857" s="450"/>
      <c r="X1857" s="450"/>
      <c r="Y1857" s="450"/>
      <c r="Z1857" s="450"/>
    </row>
    <row r="1858" spans="1:26" x14ac:dyDescent="0.25">
      <c r="A1858" s="467" t="s">
        <v>7232</v>
      </c>
      <c r="B1858" s="467">
        <v>14</v>
      </c>
      <c r="C1858" s="467" t="s">
        <v>202</v>
      </c>
      <c r="D1858" s="467" t="s">
        <v>3078</v>
      </c>
      <c r="E1858" s="468">
        <v>37354</v>
      </c>
      <c r="F1858" s="468">
        <v>37372</v>
      </c>
      <c r="G1858" s="467" t="s">
        <v>8550</v>
      </c>
      <c r="H1858" s="467" t="s">
        <v>4464</v>
      </c>
      <c r="I1858" s="467" t="s">
        <v>263</v>
      </c>
      <c r="J1858" s="467" t="s">
        <v>149</v>
      </c>
      <c r="K1858" s="469" t="str">
        <f>HYPERLINK("https://okcountyrecords.com/detail/roger+mills/2002-001765","OKCountyRecords: 2002-001765")</f>
        <v>OKCountyRecords: 2002-001765</v>
      </c>
      <c r="L1858" s="467">
        <v>5</v>
      </c>
      <c r="M1858" s="467" t="s">
        <v>1489</v>
      </c>
      <c r="N1858" s="470"/>
      <c r="O1858" s="471">
        <f t="shared" si="37"/>
        <v>120</v>
      </c>
      <c r="P1858" s="472" t="str">
        <f t="shared" si="38"/>
        <v/>
      </c>
      <c r="Q1858" s="472" t="str">
        <f t="shared" si="39"/>
        <v/>
      </c>
      <c r="R1858" s="473" t="str">
        <f t="shared" si="40"/>
        <v/>
      </c>
      <c r="S1858" s="467" t="str">
        <f t="shared" si="41"/>
        <v>Leasehold (non-mineral; excluded from mineral NMA). Gross=tract-map basis.</v>
      </c>
      <c r="T1858" s="489"/>
      <c r="U1858" s="490"/>
      <c r="V1858" s="450"/>
      <c r="W1858" s="450"/>
      <c r="X1858" s="450"/>
      <c r="Y1858" s="450"/>
      <c r="Z1858" s="450"/>
    </row>
    <row r="1859" spans="1:26" x14ac:dyDescent="0.25">
      <c r="A1859" s="467" t="s">
        <v>7281</v>
      </c>
      <c r="B1859" s="467">
        <v>15</v>
      </c>
      <c r="C1859" s="467" t="s">
        <v>202</v>
      </c>
      <c r="D1859" s="467" t="s">
        <v>3081</v>
      </c>
      <c r="E1859" s="468">
        <v>37354</v>
      </c>
      <c r="F1859" s="468">
        <v>37503</v>
      </c>
      <c r="G1859" s="467" t="s">
        <v>872</v>
      </c>
      <c r="H1859" s="467" t="s">
        <v>4464</v>
      </c>
      <c r="I1859" s="467" t="s">
        <v>215</v>
      </c>
      <c r="J1859" s="467" t="s">
        <v>149</v>
      </c>
      <c r="K1859" s="469" t="str">
        <f>HYPERLINK("https://okcountyrecords.com/detail/roger+mills/2002-003522","OKCountyRecords: 2002-003522")</f>
        <v>OKCountyRecords: 2002-003522</v>
      </c>
      <c r="L1859" s="467">
        <v>2</v>
      </c>
      <c r="M1859" s="467" t="s">
        <v>1489</v>
      </c>
      <c r="N1859" s="470"/>
      <c r="O1859" s="471">
        <f t="shared" si="37"/>
        <v>160</v>
      </c>
      <c r="P1859" s="472" t="str">
        <f t="shared" si="38"/>
        <v/>
      </c>
      <c r="Q1859" s="472" t="str">
        <f t="shared" si="39"/>
        <v/>
      </c>
      <c r="R1859" s="473" t="str">
        <f t="shared" si="40"/>
        <v/>
      </c>
      <c r="S1859" s="467" t="str">
        <f t="shared" si="41"/>
        <v>Leasehold (non-mineral; excluded from mineral NMA). Gross=tract-map basis.</v>
      </c>
      <c r="T1859" s="489"/>
      <c r="U1859" s="490"/>
      <c r="V1859" s="450"/>
      <c r="W1859" s="450"/>
      <c r="X1859" s="450"/>
      <c r="Y1859" s="450"/>
      <c r="Z1859" s="450"/>
    </row>
    <row r="1860" spans="1:26" x14ac:dyDescent="0.25">
      <c r="A1860" s="467" t="s">
        <v>7265</v>
      </c>
      <c r="B1860" s="467"/>
      <c r="C1860" s="467" t="s">
        <v>202</v>
      </c>
      <c r="D1860" s="467" t="s">
        <v>8455</v>
      </c>
      <c r="E1860" s="468">
        <v>37354</v>
      </c>
      <c r="F1860" s="468">
        <v>37424</v>
      </c>
      <c r="G1860" s="467" t="s">
        <v>8456</v>
      </c>
      <c r="H1860" s="467" t="s">
        <v>7179</v>
      </c>
      <c r="I1860" s="467" t="s">
        <v>7268</v>
      </c>
      <c r="J1860" s="467" t="s">
        <v>8457</v>
      </c>
      <c r="K1860" s="469" t="str">
        <f>HYPERLINK("https://okcountyrecords.com/detail/roger+mills/2002-002538","OKCountyRecords: 2002-002538")</f>
        <v>OKCountyRecords: 2002-002538</v>
      </c>
      <c r="L1860" s="467">
        <v>2</v>
      </c>
      <c r="M1860" s="467" t="s">
        <v>1489</v>
      </c>
      <c r="N1860" s="470"/>
      <c r="O1860" s="471">
        <f t="shared" si="37"/>
        <v>160</v>
      </c>
      <c r="P1860" s="472" t="str">
        <f t="shared" si="38"/>
        <v/>
      </c>
      <c r="Q1860" s="472" t="str">
        <f t="shared" si="39"/>
        <v/>
      </c>
      <c r="R1860" s="473" t="str">
        <f t="shared" si="40"/>
        <v/>
      </c>
      <c r="S1860" s="467" t="str">
        <f t="shared" si="41"/>
        <v>Leasehold (non-mineral; excluded from mineral NMA). Gross=tract-map basis.</v>
      </c>
      <c r="T1860" s="489"/>
      <c r="U1860" s="490"/>
      <c r="V1860" s="450"/>
      <c r="W1860" s="450"/>
      <c r="X1860" s="450"/>
      <c r="Y1860" s="450"/>
      <c r="Z1860" s="450"/>
    </row>
    <row r="1861" spans="1:26" x14ac:dyDescent="0.25">
      <c r="A1861" s="467" t="s">
        <v>7249</v>
      </c>
      <c r="B1861" s="467"/>
      <c r="C1861" s="467" t="s">
        <v>202</v>
      </c>
      <c r="D1861" s="467" t="s">
        <v>8459</v>
      </c>
      <c r="E1861" s="468">
        <v>37361</v>
      </c>
      <c r="F1861" s="468">
        <v>37389</v>
      </c>
      <c r="G1861" s="467" t="s">
        <v>8460</v>
      </c>
      <c r="H1861" s="467" t="s">
        <v>262</v>
      </c>
      <c r="I1861" s="467" t="s">
        <v>215</v>
      </c>
      <c r="J1861" s="467" t="s">
        <v>8358</v>
      </c>
      <c r="K1861" s="469" t="str">
        <f>HYPERLINK("https://okcountyrecords.com/detail/roger+mills/2002-001971","OKCountyRecords: 2002-001971")</f>
        <v>OKCountyRecords: 2002-001971</v>
      </c>
      <c r="L1861" s="467">
        <v>2</v>
      </c>
      <c r="M1861" s="467" t="s">
        <v>1489</v>
      </c>
      <c r="N1861" s="470"/>
      <c r="O1861" s="471">
        <f t="shared" si="37"/>
        <v>160</v>
      </c>
      <c r="P1861" s="472" t="str">
        <f t="shared" si="38"/>
        <v/>
      </c>
      <c r="Q1861" s="472" t="str">
        <f t="shared" si="39"/>
        <v/>
      </c>
      <c r="R1861" s="473" t="str">
        <f t="shared" si="40"/>
        <v/>
      </c>
      <c r="S1861" s="467" t="str">
        <f t="shared" si="41"/>
        <v>Leasehold (non-mineral; excluded from mineral NMA). Gross=tract-map basis.</v>
      </c>
      <c r="T1861" s="489"/>
      <c r="U1861" s="490"/>
      <c r="V1861" s="450"/>
      <c r="W1861" s="450"/>
      <c r="X1861" s="450"/>
      <c r="Y1861" s="450"/>
      <c r="Z1861" s="450"/>
    </row>
    <row r="1862" spans="1:26" x14ac:dyDescent="0.25">
      <c r="A1862" s="467" t="s">
        <v>7247</v>
      </c>
      <c r="B1862" s="467">
        <v>16</v>
      </c>
      <c r="C1862" s="467" t="s">
        <v>202</v>
      </c>
      <c r="D1862" s="467" t="s">
        <v>3084</v>
      </c>
      <c r="E1862" s="468">
        <v>37361</v>
      </c>
      <c r="F1862" s="468">
        <v>37389</v>
      </c>
      <c r="G1862" s="467" t="s">
        <v>4468</v>
      </c>
      <c r="H1862" s="467" t="s">
        <v>262</v>
      </c>
      <c r="I1862" s="467" t="s">
        <v>215</v>
      </c>
      <c r="J1862" s="467" t="s">
        <v>149</v>
      </c>
      <c r="K1862" s="469" t="str">
        <f>HYPERLINK("https://okcountyrecords.com/detail/roger+mills/2002-001970","OKCountyRecords: 2002-001970")</f>
        <v>OKCountyRecords: 2002-001970</v>
      </c>
      <c r="L1862" s="467">
        <v>2</v>
      </c>
      <c r="M1862" s="467" t="s">
        <v>1489</v>
      </c>
      <c r="N1862" s="470"/>
      <c r="O1862" s="471">
        <f t="shared" si="37"/>
        <v>160</v>
      </c>
      <c r="P1862" s="472" t="str">
        <f t="shared" si="38"/>
        <v/>
      </c>
      <c r="Q1862" s="472" t="str">
        <f t="shared" si="39"/>
        <v/>
      </c>
      <c r="R1862" s="473" t="str">
        <f t="shared" si="40"/>
        <v/>
      </c>
      <c r="S1862" s="467" t="str">
        <f t="shared" si="41"/>
        <v>Leasehold (non-mineral; excluded from mineral NMA). Gross=tract-map basis.</v>
      </c>
      <c r="T1862" s="489"/>
      <c r="U1862" s="490"/>
      <c r="V1862" s="450"/>
      <c r="W1862" s="450"/>
      <c r="X1862" s="450"/>
      <c r="Y1862" s="450"/>
      <c r="Z1862" s="450"/>
    </row>
    <row r="1863" spans="1:26" x14ac:dyDescent="0.25">
      <c r="A1863" s="467" t="s">
        <v>7259</v>
      </c>
      <c r="B1863" s="467"/>
      <c r="C1863" s="467" t="s">
        <v>202</v>
      </c>
      <c r="D1863" s="467" t="s">
        <v>8462</v>
      </c>
      <c r="E1863" s="468">
        <v>37364</v>
      </c>
      <c r="F1863" s="468">
        <v>37410</v>
      </c>
      <c r="G1863" s="467" t="s">
        <v>8463</v>
      </c>
      <c r="H1863" s="467" t="s">
        <v>7179</v>
      </c>
      <c r="I1863" s="467" t="s">
        <v>7263</v>
      </c>
      <c r="J1863" s="467" t="s">
        <v>8457</v>
      </c>
      <c r="K1863" s="469" t="str">
        <f>HYPERLINK("https://okcountyrecords.com/detail/roger+mills/2002-002254","OKCountyRecords: 2002-002254")</f>
        <v>OKCountyRecords: 2002-002254</v>
      </c>
      <c r="L1863" s="467" t="s">
        <v>8465</v>
      </c>
      <c r="M1863" s="467" t="s">
        <v>1489</v>
      </c>
      <c r="N1863" s="470"/>
      <c r="O1863" s="471">
        <f t="shared" si="37"/>
        <v>200</v>
      </c>
      <c r="P1863" s="472" t="str">
        <f t="shared" si="38"/>
        <v/>
      </c>
      <c r="Q1863" s="472" t="str">
        <f t="shared" si="39"/>
        <v/>
      </c>
      <c r="R1863" s="473" t="str">
        <f t="shared" si="40"/>
        <v/>
      </c>
      <c r="S1863" s="467" t="str">
        <f t="shared" si="41"/>
        <v>Leasehold (non-mineral; excluded from mineral NMA). Gross=tract-map basis.</v>
      </c>
      <c r="T1863" s="489"/>
      <c r="U1863" s="490"/>
      <c r="V1863" s="450"/>
      <c r="W1863" s="450"/>
      <c r="X1863" s="450"/>
      <c r="Y1863" s="450"/>
      <c r="Z1863" s="450"/>
    </row>
    <row r="1864" spans="1:26" x14ac:dyDescent="0.25">
      <c r="A1864" s="467" t="s">
        <v>7244</v>
      </c>
      <c r="B1864" s="467">
        <v>17</v>
      </c>
      <c r="C1864" s="467" t="s">
        <v>202</v>
      </c>
      <c r="D1864" s="467" t="s">
        <v>3088</v>
      </c>
      <c r="E1864" s="468">
        <v>37364</v>
      </c>
      <c r="F1864" s="468">
        <v>37389</v>
      </c>
      <c r="G1864" s="467" t="s">
        <v>8551</v>
      </c>
      <c r="H1864" s="467" t="s">
        <v>8552</v>
      </c>
      <c r="I1864" s="467" t="s">
        <v>215</v>
      </c>
      <c r="J1864" s="467" t="s">
        <v>149</v>
      </c>
      <c r="K1864" s="469" t="str">
        <f>HYPERLINK("https://okcountyrecords.com/detail/roger+mills/2002-001963","OKCountyRecords: 2002-001963")</f>
        <v>OKCountyRecords: 2002-001963</v>
      </c>
      <c r="L1864" s="467">
        <v>2</v>
      </c>
      <c r="M1864" s="467" t="s">
        <v>1489</v>
      </c>
      <c r="N1864" s="470"/>
      <c r="O1864" s="471">
        <f t="shared" si="37"/>
        <v>160</v>
      </c>
      <c r="P1864" s="472" t="str">
        <f t="shared" si="38"/>
        <v/>
      </c>
      <c r="Q1864" s="472" t="str">
        <f t="shared" si="39"/>
        <v/>
      </c>
      <c r="R1864" s="473" t="str">
        <f t="shared" si="40"/>
        <v/>
      </c>
      <c r="S1864" s="467" t="str">
        <f t="shared" si="41"/>
        <v>Leasehold (non-mineral; excluded from mineral NMA). Gross=tract-map basis.</v>
      </c>
      <c r="T1864" s="489"/>
      <c r="U1864" s="490"/>
      <c r="V1864" s="450"/>
      <c r="W1864" s="450"/>
      <c r="X1864" s="450"/>
      <c r="Y1864" s="450"/>
      <c r="Z1864" s="450"/>
    </row>
    <row r="1865" spans="1:26" x14ac:dyDescent="0.25">
      <c r="A1865" s="467" t="s">
        <v>7252</v>
      </c>
      <c r="B1865" s="467"/>
      <c r="C1865" s="467" t="s">
        <v>202</v>
      </c>
      <c r="D1865" s="467" t="s">
        <v>8466</v>
      </c>
      <c r="E1865" s="468">
        <v>37381</v>
      </c>
      <c r="F1865" s="468">
        <v>37399</v>
      </c>
      <c r="G1865" s="467" t="s">
        <v>8467</v>
      </c>
      <c r="H1865" s="467" t="s">
        <v>262</v>
      </c>
      <c r="I1865" s="467" t="s">
        <v>215</v>
      </c>
      <c r="J1865" s="467" t="s">
        <v>8468</v>
      </c>
      <c r="K1865" s="469" t="str">
        <f>HYPERLINK("https://okcountyrecords.com/detail/roger+mills/2002-002104","OKCountyRecords: 2002-002104")</f>
        <v>OKCountyRecords: 2002-002104</v>
      </c>
      <c r="L1865" s="467">
        <v>2</v>
      </c>
      <c r="M1865" s="467" t="s">
        <v>1489</v>
      </c>
      <c r="N1865" s="470"/>
      <c r="O1865" s="471">
        <f t="shared" si="37"/>
        <v>160</v>
      </c>
      <c r="P1865" s="472" t="str">
        <f t="shared" si="38"/>
        <v/>
      </c>
      <c r="Q1865" s="472" t="str">
        <f t="shared" si="39"/>
        <v/>
      </c>
      <c r="R1865" s="473" t="str">
        <f t="shared" si="40"/>
        <v/>
      </c>
      <c r="S1865" s="467" t="str">
        <f t="shared" si="41"/>
        <v>Leasehold (non-mineral; excluded from mineral NMA). Gross=tract-map basis.</v>
      </c>
      <c r="T1865" s="489"/>
      <c r="U1865" s="490"/>
      <c r="V1865" s="450"/>
      <c r="W1865" s="450"/>
      <c r="X1865" s="450"/>
      <c r="Y1865" s="450"/>
      <c r="Z1865" s="450"/>
    </row>
    <row r="1866" spans="1:26" x14ac:dyDescent="0.25">
      <c r="A1866" s="467" t="s">
        <v>7270</v>
      </c>
      <c r="B1866" s="467">
        <v>18</v>
      </c>
      <c r="C1866" s="467" t="s">
        <v>202</v>
      </c>
      <c r="D1866" s="467" t="s">
        <v>3092</v>
      </c>
      <c r="E1866" s="468">
        <v>37381</v>
      </c>
      <c r="F1866" s="468">
        <v>37433</v>
      </c>
      <c r="G1866" s="467" t="s">
        <v>4471</v>
      </c>
      <c r="H1866" s="467" t="s">
        <v>262</v>
      </c>
      <c r="I1866" s="467" t="s">
        <v>215</v>
      </c>
      <c r="J1866" s="467" t="s">
        <v>149</v>
      </c>
      <c r="K1866" s="469" t="str">
        <f>HYPERLINK("https://okcountyrecords.com/detail/roger+mills/2002-002676","OKCountyRecords: 2002-002676")</f>
        <v>OKCountyRecords: 2002-002676</v>
      </c>
      <c r="L1866" s="467">
        <v>2</v>
      </c>
      <c r="M1866" s="467" t="s">
        <v>1489</v>
      </c>
      <c r="N1866" s="470"/>
      <c r="O1866" s="471">
        <f t="shared" ref="O1866:O1929" si="42">IF($L1866="","",IF(ISNUMBER(SEARCH("all",$L1866)),640,(ISNUMBER(SEARCH("1",$L1866)))*80+(ISNUMBER(SEARCH("2",$L1866)))*160+(ISNUMBER(SEARCH("3",$L1866)))*40+(ISNUMBER(SEARCH("4",$L1866)))*80+(ISNUMBER(SEARCH("5",$L1866)))*120+(ISNUMBER(SEARCH("6",$L1866)))*80+(ISNUMBER(SEARCH("7",$L1866)))*40+(ISNUMBER(SEARCH("8",$L1866)))*40))</f>
        <v>160</v>
      </c>
      <c r="P1866" s="472" t="str">
        <f t="shared" ref="P1866:P1929" si="43">IF($M1866&lt;&gt;"Mineral","",IF(ISNUMBER($N1866),$N1866,IF(OR(ISNUMBER(SEARCH("surface",$J1866)),ISNUMBER(SEARCH("reserv",$J1866)),ISNUMBER(SEARCH("less and except",$J1866))),0,"")))</f>
        <v/>
      </c>
      <c r="Q1866" s="472" t="str">
        <f t="shared" ref="Q1866:Q1929" si="44">IF($P1866="","",-$P1866)</f>
        <v/>
      </c>
      <c r="R1866" s="473" t="str">
        <f t="shared" ref="R1866:R1929" si="45">IF($P1866="","",$O1866*$P1866)</f>
        <v/>
      </c>
      <c r="S1866" s="467" t="str">
        <f t="shared" si="41"/>
        <v>Leasehold (non-mineral; excluded from mineral NMA). Gross=tract-map basis.</v>
      </c>
      <c r="T1866" s="489"/>
      <c r="U1866" s="490"/>
      <c r="V1866" s="450"/>
      <c r="W1866" s="450"/>
      <c r="X1866" s="450"/>
      <c r="Y1866" s="450"/>
      <c r="Z1866" s="450"/>
    </row>
    <row r="1867" spans="1:26" x14ac:dyDescent="0.25">
      <c r="A1867" s="467" t="s">
        <v>7236</v>
      </c>
      <c r="B1867" s="467">
        <v>19</v>
      </c>
      <c r="C1867" s="467" t="s">
        <v>202</v>
      </c>
      <c r="D1867" s="467" t="s">
        <v>3097</v>
      </c>
      <c r="E1867" s="468">
        <v>37384</v>
      </c>
      <c r="F1867" s="468">
        <v>37389</v>
      </c>
      <c r="G1867" s="467" t="s">
        <v>8470</v>
      </c>
      <c r="H1867" s="467" t="s">
        <v>119</v>
      </c>
      <c r="I1867" s="467" t="s">
        <v>222</v>
      </c>
      <c r="J1867" s="467" t="s">
        <v>8471</v>
      </c>
      <c r="K1867" s="469" t="str">
        <f>HYPERLINK("https://okcountyrecords.com/detail/roger+mills/2002-001961","OKCountyRecords: 2002-001961")</f>
        <v>OKCountyRecords: 2002-001961</v>
      </c>
      <c r="L1867" s="467" t="s">
        <v>625</v>
      </c>
      <c r="M1867" s="467" t="s">
        <v>1489</v>
      </c>
      <c r="N1867" s="476"/>
      <c r="O1867" s="471">
        <f t="shared" si="42"/>
        <v>280</v>
      </c>
      <c r="P1867" s="472" t="str">
        <f t="shared" si="43"/>
        <v/>
      </c>
      <c r="Q1867" s="472" t="str">
        <f t="shared" si="44"/>
        <v/>
      </c>
      <c r="R1867" s="473" t="str">
        <f t="shared" si="45"/>
        <v/>
      </c>
      <c r="S1867" s="467" t="str">
        <f t="shared" si="41"/>
        <v>Leasehold (non-mineral; excluded from mineral NMA). Gross=tract-map basis.</v>
      </c>
      <c r="T1867" s="489"/>
      <c r="U1867" s="490"/>
      <c r="V1867" s="450"/>
      <c r="W1867" s="450"/>
      <c r="X1867" s="450"/>
      <c r="Y1867" s="450"/>
      <c r="Z1867" s="450"/>
    </row>
    <row r="1868" spans="1:26" x14ac:dyDescent="0.25">
      <c r="A1868" s="467" t="s">
        <v>7240</v>
      </c>
      <c r="B1868" s="467"/>
      <c r="C1868" s="467" t="s">
        <v>1456</v>
      </c>
      <c r="D1868" s="467" t="s">
        <v>8473</v>
      </c>
      <c r="E1868" s="468">
        <v>37385</v>
      </c>
      <c r="F1868" s="468">
        <v>37389</v>
      </c>
      <c r="G1868" s="467" t="s">
        <v>119</v>
      </c>
      <c r="H1868" s="467" t="s">
        <v>7242</v>
      </c>
      <c r="I1868" s="467" t="s">
        <v>222</v>
      </c>
      <c r="J1868" s="467" t="s">
        <v>8474</v>
      </c>
      <c r="K1868" s="469" t="str">
        <f>HYPERLINK("https://okcountyrecords.com/detail/roger+mills/2002-001962","OKCountyRecords: 2002-001962")</f>
        <v>OKCountyRecords: 2002-001962</v>
      </c>
      <c r="L1868" s="467" t="s">
        <v>625</v>
      </c>
      <c r="M1868" s="467" t="s">
        <v>1489</v>
      </c>
      <c r="N1868" s="476"/>
      <c r="O1868" s="471">
        <f t="shared" si="42"/>
        <v>280</v>
      </c>
      <c r="P1868" s="472" t="str">
        <f t="shared" si="43"/>
        <v/>
      </c>
      <c r="Q1868" s="472" t="str">
        <f t="shared" si="44"/>
        <v/>
      </c>
      <c r="R1868" s="473" t="str">
        <f t="shared" si="45"/>
        <v/>
      </c>
      <c r="S1868" s="467" t="str">
        <f t="shared" si="41"/>
        <v>Leasehold (non-mineral; excluded from mineral NMA). Gross=tract-map basis.</v>
      </c>
      <c r="T1868" s="489"/>
      <c r="U1868" s="490"/>
      <c r="V1868" s="450"/>
      <c r="W1868" s="450"/>
      <c r="X1868" s="450"/>
      <c r="Y1868" s="450"/>
      <c r="Z1868" s="450"/>
    </row>
    <row r="1869" spans="1:26" x14ac:dyDescent="0.25">
      <c r="A1869" s="467" t="s">
        <v>1435</v>
      </c>
      <c r="B1869" s="467"/>
      <c r="C1869" s="467" t="s">
        <v>1436</v>
      </c>
      <c r="D1869" s="467" t="s">
        <v>1437</v>
      </c>
      <c r="E1869" s="468">
        <v>37406</v>
      </c>
      <c r="F1869" s="468">
        <v>37407</v>
      </c>
      <c r="G1869" s="467" t="s">
        <v>114</v>
      </c>
      <c r="H1869" s="467" t="s">
        <v>1438</v>
      </c>
      <c r="I1869" s="467" t="s">
        <v>1439</v>
      </c>
      <c r="J1869" s="467" t="s">
        <v>1440</v>
      </c>
      <c r="K1869" s="469" t="str">
        <f>HYPERLINK("https://okcountyrecords.com/detail/roger+mills/2002-002227","OKCountyRecords: 2002-002227")</f>
        <v>OKCountyRecords: 2002-002227</v>
      </c>
      <c r="L1869" s="467" t="s">
        <v>502</v>
      </c>
      <c r="M1869" s="467" t="s">
        <v>404</v>
      </c>
      <c r="N1869" s="470">
        <f>11.5385/O1869</f>
        <v>1.8028906250000001E-2</v>
      </c>
      <c r="O1869" s="471">
        <f t="shared" si="42"/>
        <v>640</v>
      </c>
      <c r="P1869" s="472">
        <f t="shared" si="43"/>
        <v>1.8028906250000001E-2</v>
      </c>
      <c r="Q1869" s="472">
        <f t="shared" si="44"/>
        <v>-1.8028906250000001E-2</v>
      </c>
      <c r="R1869" s="473">
        <f t="shared" si="45"/>
        <v>11.538500000000001</v>
      </c>
      <c r="S1869" s="467"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89" t="s">
        <v>641</v>
      </c>
      <c r="U1869" s="490" t="s">
        <v>1441</v>
      </c>
      <c r="V1869" s="450"/>
      <c r="W1869" s="450"/>
      <c r="X1869" s="450"/>
      <c r="Y1869" s="450"/>
      <c r="Z1869" s="450"/>
    </row>
    <row r="1870" spans="1:26" x14ac:dyDescent="0.25">
      <c r="A1870" s="467" t="s">
        <v>7273</v>
      </c>
      <c r="B1870" s="467"/>
      <c r="C1870" s="467" t="s">
        <v>202</v>
      </c>
      <c r="D1870" s="467" t="s">
        <v>8476</v>
      </c>
      <c r="E1870" s="468">
        <v>37426</v>
      </c>
      <c r="F1870" s="468">
        <v>37454</v>
      </c>
      <c r="G1870" s="467" t="s">
        <v>869</v>
      </c>
      <c r="H1870" s="467" t="s">
        <v>262</v>
      </c>
      <c r="I1870" s="467" t="s">
        <v>215</v>
      </c>
      <c r="J1870" s="467" t="s">
        <v>8477</v>
      </c>
      <c r="K1870" s="469" t="str">
        <f>HYPERLINK("https://okcountyrecords.com/detail/roger+mills/2002-002928","OKCountyRecords: 2002-002928")</f>
        <v>OKCountyRecords: 2002-002928</v>
      </c>
      <c r="L1870" s="467">
        <v>2</v>
      </c>
      <c r="M1870" s="467" t="s">
        <v>1489</v>
      </c>
      <c r="N1870" s="470"/>
      <c r="O1870" s="471">
        <f t="shared" si="42"/>
        <v>160</v>
      </c>
      <c r="P1870" s="472" t="str">
        <f t="shared" si="43"/>
        <v/>
      </c>
      <c r="Q1870" s="472" t="str">
        <f t="shared" si="44"/>
        <v/>
      </c>
      <c r="R1870" s="473" t="str">
        <f t="shared" si="45"/>
        <v/>
      </c>
      <c r="S1870" s="467"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89"/>
      <c r="U1870" s="490"/>
      <c r="V1870" s="450"/>
      <c r="W1870" s="450"/>
      <c r="X1870" s="450"/>
      <c r="Y1870" s="450"/>
      <c r="Z1870" s="450"/>
    </row>
    <row r="1871" spans="1:26" x14ac:dyDescent="0.25">
      <c r="A1871" s="467" t="s">
        <v>7277</v>
      </c>
      <c r="B1871" s="467">
        <v>20</v>
      </c>
      <c r="C1871" s="467" t="s">
        <v>202</v>
      </c>
      <c r="D1871" s="467" t="s">
        <v>3099</v>
      </c>
      <c r="E1871" s="468">
        <v>37426</v>
      </c>
      <c r="F1871" s="468">
        <v>37484</v>
      </c>
      <c r="G1871" s="467" t="s">
        <v>4474</v>
      </c>
      <c r="H1871" s="467" t="s">
        <v>262</v>
      </c>
      <c r="I1871" s="467" t="s">
        <v>215</v>
      </c>
      <c r="J1871" s="467" t="s">
        <v>149</v>
      </c>
      <c r="K1871" s="469" t="str">
        <f>HYPERLINK("https://okcountyrecords.com/detail/roger+mills/2002-003272","OKCountyRecords: 2002-003272")</f>
        <v>OKCountyRecords: 2002-003272</v>
      </c>
      <c r="L1871" s="467">
        <v>2</v>
      </c>
      <c r="M1871" s="467" t="s">
        <v>1489</v>
      </c>
      <c r="N1871" s="470"/>
      <c r="O1871" s="471">
        <f t="shared" si="42"/>
        <v>160</v>
      </c>
      <c r="P1871" s="472" t="str">
        <f t="shared" si="43"/>
        <v/>
      </c>
      <c r="Q1871" s="472" t="str">
        <f t="shared" si="44"/>
        <v/>
      </c>
      <c r="R1871" s="473" t="str">
        <f t="shared" si="45"/>
        <v/>
      </c>
      <c r="S1871" s="467" t="str">
        <f t="shared" si="46"/>
        <v>Leasehold (non-mineral; excluded from mineral NMA). Gross=tract-map basis.</v>
      </c>
      <c r="T1871" s="489"/>
      <c r="U1871" s="490"/>
      <c r="V1871" s="450"/>
      <c r="W1871" s="450"/>
      <c r="X1871" s="450"/>
      <c r="Y1871" s="450"/>
      <c r="Z1871" s="450"/>
    </row>
    <row r="1872" spans="1:26" x14ac:dyDescent="0.25">
      <c r="A1872" s="467" t="s">
        <v>7301</v>
      </c>
      <c r="B1872" s="467"/>
      <c r="C1872" s="467" t="s">
        <v>1642</v>
      </c>
      <c r="D1872" s="467" t="s">
        <v>8479</v>
      </c>
      <c r="E1872" s="468">
        <v>37453</v>
      </c>
      <c r="F1872" s="468">
        <v>37525</v>
      </c>
      <c r="G1872" s="467" t="s">
        <v>306</v>
      </c>
      <c r="H1872" s="467" t="s">
        <v>262</v>
      </c>
      <c r="I1872" s="467" t="s">
        <v>215</v>
      </c>
      <c r="J1872" s="467" t="s">
        <v>8480</v>
      </c>
      <c r="K1872" s="469" t="str">
        <f>HYPERLINK("https://okcountyrecords.com/detail/roger+mills/2002-003800","OKCountyRecords: 2002-003800")</f>
        <v>OKCountyRecords: 2002-003800</v>
      </c>
      <c r="L1872" s="467">
        <v>2</v>
      </c>
      <c r="M1872" s="467" t="s">
        <v>1489</v>
      </c>
      <c r="N1872" s="470"/>
      <c r="O1872" s="471">
        <f t="shared" si="42"/>
        <v>160</v>
      </c>
      <c r="P1872" s="472" t="str">
        <f t="shared" si="43"/>
        <v/>
      </c>
      <c r="Q1872" s="472" t="str">
        <f t="shared" si="44"/>
        <v/>
      </c>
      <c r="R1872" s="473" t="str">
        <f t="shared" si="45"/>
        <v/>
      </c>
      <c r="S1872" s="467" t="str">
        <f t="shared" si="46"/>
        <v>Leasehold (non-mineral; excluded from mineral NMA). Gross=tract-map basis.</v>
      </c>
      <c r="T1872" s="489"/>
      <c r="U1872" s="490"/>
      <c r="V1872" s="450"/>
      <c r="W1872" s="450"/>
      <c r="X1872" s="450"/>
      <c r="Y1872" s="450"/>
      <c r="Z1872" s="450"/>
    </row>
    <row r="1873" spans="1:26" x14ac:dyDescent="0.25">
      <c r="A1873" s="467" t="s">
        <v>7297</v>
      </c>
      <c r="B1873" s="467"/>
      <c r="C1873" s="467" t="s">
        <v>1642</v>
      </c>
      <c r="D1873" s="467" t="s">
        <v>8482</v>
      </c>
      <c r="E1873" s="468">
        <v>37455</v>
      </c>
      <c r="F1873" s="468">
        <v>37525</v>
      </c>
      <c r="G1873" s="467" t="s">
        <v>1708</v>
      </c>
      <c r="H1873" s="467" t="s">
        <v>262</v>
      </c>
      <c r="I1873" s="467" t="s">
        <v>215</v>
      </c>
      <c r="J1873" s="467" t="s">
        <v>8480</v>
      </c>
      <c r="K1873" s="469" t="str">
        <f>HYPERLINK("https://okcountyrecords.com/detail/roger+mills/2002-003799","OKCountyRecords: 2002-003799")</f>
        <v>OKCountyRecords: 2002-003799</v>
      </c>
      <c r="L1873" s="467">
        <v>2</v>
      </c>
      <c r="M1873" s="467" t="s">
        <v>1489</v>
      </c>
      <c r="N1873" s="470"/>
      <c r="O1873" s="471">
        <f t="shared" si="42"/>
        <v>160</v>
      </c>
      <c r="P1873" s="472" t="str">
        <f t="shared" si="43"/>
        <v/>
      </c>
      <c r="Q1873" s="472" t="str">
        <f t="shared" si="44"/>
        <v/>
      </c>
      <c r="R1873" s="473" t="str">
        <f t="shared" si="45"/>
        <v/>
      </c>
      <c r="S1873" s="467" t="str">
        <f t="shared" si="46"/>
        <v>Leasehold (non-mineral; excluded from mineral NMA). Gross=tract-map basis.</v>
      </c>
      <c r="T1873" s="489"/>
      <c r="U1873" s="490"/>
      <c r="V1873" s="450"/>
      <c r="W1873" s="450"/>
      <c r="X1873" s="450"/>
      <c r="Y1873" s="450"/>
      <c r="Z1873" s="450"/>
    </row>
    <row r="1874" spans="1:26" x14ac:dyDescent="0.25">
      <c r="A1874" s="467" t="s">
        <v>7294</v>
      </c>
      <c r="B1874" s="467"/>
      <c r="C1874" s="467" t="s">
        <v>1642</v>
      </c>
      <c r="D1874" s="467" t="s">
        <v>8484</v>
      </c>
      <c r="E1874" s="468">
        <v>37459</v>
      </c>
      <c r="F1874" s="468">
        <v>37525</v>
      </c>
      <c r="G1874" s="467" t="s">
        <v>1736</v>
      </c>
      <c r="H1874" s="467" t="s">
        <v>262</v>
      </c>
      <c r="I1874" s="467" t="s">
        <v>215</v>
      </c>
      <c r="J1874" s="467" t="s">
        <v>8480</v>
      </c>
      <c r="K1874" s="469" t="str">
        <f>HYPERLINK("https://okcountyrecords.com/detail/roger+mills/2002-003798","OKCountyRecords: 2002-003798")</f>
        <v>OKCountyRecords: 2002-003798</v>
      </c>
      <c r="L1874" s="467">
        <v>2</v>
      </c>
      <c r="M1874" s="467" t="s">
        <v>1489</v>
      </c>
      <c r="N1874" s="470"/>
      <c r="O1874" s="471">
        <f t="shared" si="42"/>
        <v>160</v>
      </c>
      <c r="P1874" s="472" t="str">
        <f t="shared" si="43"/>
        <v/>
      </c>
      <c r="Q1874" s="472" t="str">
        <f t="shared" si="44"/>
        <v/>
      </c>
      <c r="R1874" s="473" t="str">
        <f t="shared" si="45"/>
        <v/>
      </c>
      <c r="S1874" s="467" t="str">
        <f t="shared" si="46"/>
        <v>Leasehold (non-mineral; excluded from mineral NMA). Gross=tract-map basis.</v>
      </c>
      <c r="T1874" s="489"/>
      <c r="U1874" s="490"/>
      <c r="V1874" s="450"/>
      <c r="W1874" s="450"/>
      <c r="X1874" s="450"/>
      <c r="Y1874" s="450"/>
      <c r="Z1874" s="450"/>
    </row>
    <row r="1875" spans="1:26" x14ac:dyDescent="0.25">
      <c r="A1875" s="467" t="s">
        <v>7304</v>
      </c>
      <c r="B1875" s="467"/>
      <c r="C1875" s="467" t="s">
        <v>1642</v>
      </c>
      <c r="D1875" s="467" t="s">
        <v>8486</v>
      </c>
      <c r="E1875" s="468">
        <v>37461</v>
      </c>
      <c r="F1875" s="468">
        <v>37525</v>
      </c>
      <c r="G1875" s="467" t="s">
        <v>291</v>
      </c>
      <c r="H1875" s="467" t="s">
        <v>262</v>
      </c>
      <c r="I1875" s="467" t="s">
        <v>215</v>
      </c>
      <c r="J1875" s="467" t="s">
        <v>8480</v>
      </c>
      <c r="K1875" s="469" t="str">
        <f>HYPERLINK("https://okcountyrecords.com/detail/roger+mills/2002-003801","OKCountyRecords: 2002-003801")</f>
        <v>OKCountyRecords: 2002-003801</v>
      </c>
      <c r="L1875" s="467">
        <v>2</v>
      </c>
      <c r="M1875" s="467" t="s">
        <v>1489</v>
      </c>
      <c r="N1875" s="470"/>
      <c r="O1875" s="471">
        <f t="shared" si="42"/>
        <v>160</v>
      </c>
      <c r="P1875" s="472" t="str">
        <f t="shared" si="43"/>
        <v/>
      </c>
      <c r="Q1875" s="472" t="str">
        <f t="shared" si="44"/>
        <v/>
      </c>
      <c r="R1875" s="473" t="str">
        <f t="shared" si="45"/>
        <v/>
      </c>
      <c r="S1875" s="467" t="str">
        <f t="shared" si="46"/>
        <v>Leasehold (non-mineral; excluded from mineral NMA). Gross=tract-map basis.</v>
      </c>
      <c r="T1875" s="489"/>
      <c r="U1875" s="490"/>
      <c r="V1875" s="450"/>
      <c r="W1875" s="450"/>
      <c r="X1875" s="450"/>
      <c r="Y1875" s="450"/>
      <c r="Z1875" s="450"/>
    </row>
    <row r="1876" spans="1:26" x14ac:dyDescent="0.25">
      <c r="A1876" s="467" t="s">
        <v>1442</v>
      </c>
      <c r="B1876" s="467"/>
      <c r="C1876" s="467" t="s">
        <v>619</v>
      </c>
      <c r="D1876" s="467" t="s">
        <v>1443</v>
      </c>
      <c r="E1876" s="468">
        <v>37482</v>
      </c>
      <c r="F1876" s="468">
        <v>37505</v>
      </c>
      <c r="G1876" s="467" t="s">
        <v>1444</v>
      </c>
      <c r="H1876" s="467" t="s">
        <v>114</v>
      </c>
      <c r="I1876" s="467" t="s">
        <v>263</v>
      </c>
      <c r="J1876" s="467" t="s">
        <v>8553</v>
      </c>
      <c r="K1876" s="469" t="str">
        <f>HYPERLINK("https://okcountyrecords.com/detail/roger+mills/2002-003563","OKCountyRecords: 2002-003563")</f>
        <v>OKCountyRecords: 2002-003563</v>
      </c>
      <c r="L1876" s="467">
        <v>5</v>
      </c>
      <c r="M1876" s="467" t="s">
        <v>404</v>
      </c>
      <c r="N1876" s="470">
        <v>1</v>
      </c>
      <c r="O1876" s="471">
        <f t="shared" si="42"/>
        <v>120</v>
      </c>
      <c r="P1876" s="472">
        <f t="shared" si="43"/>
        <v>1</v>
      </c>
      <c r="Q1876" s="472">
        <f t="shared" si="44"/>
        <v>-1</v>
      </c>
      <c r="R1876" s="473">
        <f t="shared" si="45"/>
        <v>120</v>
      </c>
      <c r="S1876" s="467" t="str">
        <f t="shared" si="46"/>
        <v>Mineral; basis Conv Amt(dec). Gross=tract-map basis.</v>
      </c>
      <c r="T1876" s="489"/>
      <c r="U1876" s="490"/>
      <c r="V1876" s="450"/>
      <c r="W1876" s="450"/>
      <c r="X1876" s="450"/>
      <c r="Y1876" s="450"/>
      <c r="Z1876" s="450"/>
    </row>
    <row r="1877" spans="1:26" x14ac:dyDescent="0.25">
      <c r="A1877" s="467" t="s">
        <v>7291</v>
      </c>
      <c r="B1877" s="467"/>
      <c r="C1877" s="467" t="s">
        <v>1642</v>
      </c>
      <c r="D1877" s="467" t="s">
        <v>8488</v>
      </c>
      <c r="E1877" s="468">
        <v>37490</v>
      </c>
      <c r="F1877" s="468">
        <v>37525</v>
      </c>
      <c r="G1877" s="467" t="s">
        <v>295</v>
      </c>
      <c r="H1877" s="467" t="s">
        <v>262</v>
      </c>
      <c r="I1877" s="467" t="s">
        <v>215</v>
      </c>
      <c r="J1877" s="467" t="s">
        <v>8480</v>
      </c>
      <c r="K1877" s="469" t="str">
        <f>HYPERLINK("https://okcountyrecords.com/detail/roger+mills/2002-003797","OKCountyRecords: 2002-003797")</f>
        <v>OKCountyRecords: 2002-003797</v>
      </c>
      <c r="L1877" s="467">
        <v>2</v>
      </c>
      <c r="M1877" s="467" t="s">
        <v>1489</v>
      </c>
      <c r="N1877" s="470"/>
      <c r="O1877" s="471">
        <f t="shared" si="42"/>
        <v>160</v>
      </c>
      <c r="P1877" s="472" t="str">
        <f t="shared" si="43"/>
        <v/>
      </c>
      <c r="Q1877" s="472" t="str">
        <f t="shared" si="44"/>
        <v/>
      </c>
      <c r="R1877" s="473" t="str">
        <f t="shared" si="45"/>
        <v/>
      </c>
      <c r="S1877" s="467" t="str">
        <f t="shared" si="46"/>
        <v>Leasehold (non-mineral; excluded from mineral NMA). Gross=tract-map basis.</v>
      </c>
      <c r="T1877" s="489"/>
      <c r="U1877" s="490"/>
      <c r="V1877" s="450"/>
      <c r="W1877" s="450"/>
      <c r="X1877" s="450"/>
      <c r="Y1877" s="450"/>
      <c r="Z1877" s="450"/>
    </row>
    <row r="1878" spans="1:26" x14ac:dyDescent="0.25">
      <c r="A1878" s="467" t="s">
        <v>7288</v>
      </c>
      <c r="B1878" s="467">
        <v>21</v>
      </c>
      <c r="C1878" s="467" t="s">
        <v>202</v>
      </c>
      <c r="D1878" s="467" t="s">
        <v>3103</v>
      </c>
      <c r="E1878" s="468">
        <v>37496</v>
      </c>
      <c r="F1878" s="468">
        <v>37525</v>
      </c>
      <c r="G1878" s="467" t="s">
        <v>4476</v>
      </c>
      <c r="H1878" s="467" t="s">
        <v>262</v>
      </c>
      <c r="I1878" s="467" t="s">
        <v>215</v>
      </c>
      <c r="J1878" s="467" t="s">
        <v>149</v>
      </c>
      <c r="K1878" s="469" t="str">
        <f>HYPERLINK("https://okcountyrecords.com/detail/roger+mills/2002-003773","OKCountyRecords: 2002-003773")</f>
        <v>OKCountyRecords: 2002-003773</v>
      </c>
      <c r="L1878" s="467">
        <v>2</v>
      </c>
      <c r="M1878" s="467" t="s">
        <v>1489</v>
      </c>
      <c r="N1878" s="470"/>
      <c r="O1878" s="471">
        <f t="shared" si="42"/>
        <v>160</v>
      </c>
      <c r="P1878" s="472" t="str">
        <f t="shared" si="43"/>
        <v/>
      </c>
      <c r="Q1878" s="472" t="str">
        <f t="shared" si="44"/>
        <v/>
      </c>
      <c r="R1878" s="473" t="str">
        <f t="shared" si="45"/>
        <v/>
      </c>
      <c r="S1878" s="467" t="str">
        <f t="shared" si="46"/>
        <v>Leasehold (non-mineral; excluded from mineral NMA). Gross=tract-map basis.</v>
      </c>
      <c r="T1878" s="489"/>
      <c r="U1878" s="490"/>
      <c r="V1878" s="450"/>
      <c r="W1878" s="450"/>
      <c r="X1878" s="450"/>
      <c r="Y1878" s="450"/>
      <c r="Z1878" s="450"/>
    </row>
    <row r="1879" spans="1:26" x14ac:dyDescent="0.25">
      <c r="A1879" s="467" t="s">
        <v>1445</v>
      </c>
      <c r="B1879" s="467"/>
      <c r="C1879" s="467" t="s">
        <v>619</v>
      </c>
      <c r="D1879" s="467" t="s">
        <v>1446</v>
      </c>
      <c r="E1879" s="468">
        <v>37536</v>
      </c>
      <c r="F1879" s="468">
        <v>37573</v>
      </c>
      <c r="G1879" s="467" t="s">
        <v>1447</v>
      </c>
      <c r="H1879" s="467" t="s">
        <v>1448</v>
      </c>
      <c r="I1879" s="467" t="s">
        <v>1280</v>
      </c>
      <c r="J1879" s="467" t="s">
        <v>1449</v>
      </c>
      <c r="K1879" s="469" t="str">
        <f>HYPERLINK("https://okcountyrecords.com/detail/roger+mills/2002-004378","OKCountyRecords: 2002-004378")</f>
        <v>OKCountyRecords: 2002-004378</v>
      </c>
      <c r="L1879" s="467">
        <v>2</v>
      </c>
      <c r="M1879" s="467" t="s">
        <v>404</v>
      </c>
      <c r="N1879" s="470">
        <f>43.496672/791.47</f>
        <v>5.4956817061922743E-2</v>
      </c>
      <c r="O1879" s="471">
        <f t="shared" si="42"/>
        <v>160</v>
      </c>
      <c r="P1879" s="472">
        <f t="shared" si="43"/>
        <v>5.4956817061922743E-2</v>
      </c>
      <c r="Q1879" s="472">
        <f t="shared" si="44"/>
        <v>-5.4956817061922743E-2</v>
      </c>
      <c r="R1879" s="473">
        <f t="shared" si="45"/>
        <v>8.7930907299076395</v>
      </c>
      <c r="S1879" s="467" t="str">
        <f t="shared" si="46"/>
        <v>Mineral; basis Conv Amt(dec). Gross=tract-map basis.</v>
      </c>
      <c r="T1879" s="490"/>
      <c r="U1879" s="490"/>
      <c r="V1879" s="450"/>
      <c r="W1879" s="450"/>
      <c r="X1879" s="450"/>
      <c r="Y1879" s="450"/>
      <c r="Z1879" s="450"/>
    </row>
    <row r="1880" spans="1:26" x14ac:dyDescent="0.25">
      <c r="A1880" s="467" t="s">
        <v>1450</v>
      </c>
      <c r="B1880" s="467"/>
      <c r="C1880" s="467" t="s">
        <v>619</v>
      </c>
      <c r="D1880" s="467" t="s">
        <v>1451</v>
      </c>
      <c r="E1880" s="468">
        <v>37586</v>
      </c>
      <c r="F1880" s="468">
        <v>37592</v>
      </c>
      <c r="G1880" s="467" t="s">
        <v>1156</v>
      </c>
      <c r="H1880" s="467" t="s">
        <v>1452</v>
      </c>
      <c r="I1880" s="467" t="s">
        <v>1256</v>
      </c>
      <c r="J1880" s="467" t="s">
        <v>1453</v>
      </c>
      <c r="K1880" s="469" t="str">
        <f>HYPERLINK("https://okcountyrecords.com/detail/roger+mills/2002-004595","OKCountyRecords: 2002-004595")</f>
        <v>OKCountyRecords: 2002-004595</v>
      </c>
      <c r="L1880" s="467" t="s">
        <v>625</v>
      </c>
      <c r="M1880" s="467" t="s">
        <v>404</v>
      </c>
      <c r="N1880" s="470">
        <f>1</f>
        <v>1</v>
      </c>
      <c r="O1880" s="471">
        <f t="shared" si="42"/>
        <v>280</v>
      </c>
      <c r="P1880" s="472">
        <f t="shared" si="43"/>
        <v>1</v>
      </c>
      <c r="Q1880" s="472">
        <f t="shared" si="44"/>
        <v>-1</v>
      </c>
      <c r="R1880" s="473">
        <f t="shared" si="45"/>
        <v>280</v>
      </c>
      <c r="S1880" s="467"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90" t="s">
        <v>641</v>
      </c>
      <c r="U1880" s="490" t="s">
        <v>1454</v>
      </c>
      <c r="V1880" s="450"/>
      <c r="W1880" s="450"/>
      <c r="X1880" s="450"/>
      <c r="Y1880" s="450"/>
      <c r="Z1880" s="450"/>
    </row>
    <row r="1881" spans="1:26" x14ac:dyDescent="0.25">
      <c r="A1881" s="467" t="s">
        <v>1455</v>
      </c>
      <c r="B1881" s="467"/>
      <c r="C1881" s="467" t="s">
        <v>1456</v>
      </c>
      <c r="D1881" s="467" t="s">
        <v>1457</v>
      </c>
      <c r="E1881" s="468">
        <v>37710</v>
      </c>
      <c r="F1881" s="468">
        <v>37715</v>
      </c>
      <c r="G1881" s="467" t="s">
        <v>7327</v>
      </c>
      <c r="H1881" s="467" t="s">
        <v>1458</v>
      </c>
      <c r="I1881" s="467" t="s">
        <v>1256</v>
      </c>
      <c r="J1881" s="467" t="s">
        <v>63</v>
      </c>
      <c r="K1881" s="469" t="str">
        <f>HYPERLINK("https://okcountyrecords.com/detail/roger+mills/2003-001558","OKCountyRecords: 2003-001558")</f>
        <v>OKCountyRecords: 2003-001558</v>
      </c>
      <c r="L1881" s="467" t="s">
        <v>625</v>
      </c>
      <c r="M1881" s="467" t="s">
        <v>1489</v>
      </c>
      <c r="N1881" s="476"/>
      <c r="O1881" s="471">
        <f t="shared" si="42"/>
        <v>280</v>
      </c>
      <c r="P1881" s="472" t="str">
        <f t="shared" si="43"/>
        <v/>
      </c>
      <c r="Q1881" s="472" t="str">
        <f t="shared" si="44"/>
        <v/>
      </c>
      <c r="R1881" s="473" t="str">
        <f t="shared" si="45"/>
        <v/>
      </c>
      <c r="S1881" s="467"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89"/>
      <c r="U1881" s="490"/>
      <c r="V1881" s="450"/>
      <c r="W1881" s="450"/>
      <c r="X1881" s="450"/>
      <c r="Y1881" s="450"/>
      <c r="Z1881" s="450"/>
    </row>
    <row r="1882" spans="1:26" x14ac:dyDescent="0.25">
      <c r="A1882" s="467" t="s">
        <v>1460</v>
      </c>
      <c r="B1882" s="467"/>
      <c r="C1882" s="467" t="s">
        <v>1456</v>
      </c>
      <c r="D1882" s="467" t="s">
        <v>1461</v>
      </c>
      <c r="E1882" s="468">
        <v>37711</v>
      </c>
      <c r="F1882" s="468">
        <v>37715</v>
      </c>
      <c r="G1882" s="467" t="s">
        <v>1458</v>
      </c>
      <c r="H1882" s="467" t="s">
        <v>1462</v>
      </c>
      <c r="I1882" s="467" t="s">
        <v>1256</v>
      </c>
      <c r="J1882" s="467" t="s">
        <v>63</v>
      </c>
      <c r="K1882" s="469" t="str">
        <f>HYPERLINK("https://okcountyrecords.com/detail/roger+mills/2003-001559","OKCountyRecords: 2003-001559")</f>
        <v>OKCountyRecords: 2003-001559</v>
      </c>
      <c r="L1882" s="467" t="s">
        <v>625</v>
      </c>
      <c r="M1882" s="467" t="s">
        <v>1489</v>
      </c>
      <c r="N1882" s="476"/>
      <c r="O1882" s="471">
        <f t="shared" si="42"/>
        <v>280</v>
      </c>
      <c r="P1882" s="472" t="str">
        <f t="shared" si="43"/>
        <v/>
      </c>
      <c r="Q1882" s="472" t="str">
        <f t="shared" si="44"/>
        <v/>
      </c>
      <c r="R1882" s="473" t="str">
        <f t="shared" si="45"/>
        <v/>
      </c>
      <c r="S1882" s="467"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89"/>
      <c r="U1882" s="490"/>
      <c r="V1882" s="450"/>
      <c r="W1882" s="450"/>
      <c r="X1882" s="450"/>
      <c r="Y1882" s="450"/>
      <c r="Z1882" s="450"/>
    </row>
    <row r="1883" spans="1:26" x14ac:dyDescent="0.25">
      <c r="A1883" s="467" t="s">
        <v>1464</v>
      </c>
      <c r="B1883" s="467"/>
      <c r="C1883" s="467" t="s">
        <v>1465</v>
      </c>
      <c r="D1883" s="467" t="s">
        <v>1466</v>
      </c>
      <c r="E1883" s="468">
        <v>37729</v>
      </c>
      <c r="F1883" s="468">
        <v>37732</v>
      </c>
      <c r="G1883" s="467" t="s">
        <v>1467</v>
      </c>
      <c r="H1883" s="467" t="s">
        <v>102</v>
      </c>
      <c r="I1883" s="467" t="s">
        <v>1468</v>
      </c>
      <c r="J1883" s="467" t="s">
        <v>1469</v>
      </c>
      <c r="K1883" s="469" t="str">
        <f>HYPERLINK("https://okcountyrecords.com/detail/roger+mills/2003-001781","OKCountyRecords: 2003-001781")</f>
        <v>OKCountyRecords: 2003-001781</v>
      </c>
      <c r="L1883" s="467" t="s">
        <v>1470</v>
      </c>
      <c r="M1883" s="467" t="s">
        <v>465</v>
      </c>
      <c r="N1883" s="476"/>
      <c r="O1883" s="471">
        <f t="shared" si="42"/>
        <v>240</v>
      </c>
      <c r="P1883" s="472" t="str">
        <f t="shared" si="43"/>
        <v/>
      </c>
      <c r="Q1883" s="472" t="str">
        <f t="shared" si="44"/>
        <v/>
      </c>
      <c r="R1883" s="473" t="str">
        <f t="shared" si="45"/>
        <v/>
      </c>
      <c r="S1883" s="467" t="s">
        <v>466</v>
      </c>
      <c r="T1883" s="490" t="s">
        <v>467</v>
      </c>
      <c r="U1883" s="490" t="s">
        <v>504</v>
      </c>
      <c r="V1883" s="450"/>
      <c r="W1883" s="450"/>
      <c r="X1883" s="450"/>
      <c r="Y1883" s="450"/>
      <c r="Z1883" s="450"/>
    </row>
    <row r="1884" spans="1:26" x14ac:dyDescent="0.25">
      <c r="A1884" s="467" t="s">
        <v>1471</v>
      </c>
      <c r="B1884" s="467"/>
      <c r="C1884" s="467" t="s">
        <v>585</v>
      </c>
      <c r="D1884" s="467" t="s">
        <v>1472</v>
      </c>
      <c r="E1884" s="468">
        <v>37802</v>
      </c>
      <c r="F1884" s="468">
        <v>37937</v>
      </c>
      <c r="G1884" s="467" t="s">
        <v>1473</v>
      </c>
      <c r="H1884" s="467" t="s">
        <v>102</v>
      </c>
      <c r="I1884" s="467" t="s">
        <v>1474</v>
      </c>
      <c r="J1884" s="467" t="s">
        <v>1475</v>
      </c>
      <c r="K1884" s="469" t="str">
        <f>HYPERLINK("https://okcountyrecords.com/detail/roger+mills/2003-005699","OKCountyRecords: 2003-005699")</f>
        <v>OKCountyRecords: 2003-005699</v>
      </c>
      <c r="L1884" s="467" t="s">
        <v>1470</v>
      </c>
      <c r="M1884" s="467" t="s">
        <v>404</v>
      </c>
      <c r="N1884" s="476">
        <f>1</f>
        <v>1</v>
      </c>
      <c r="O1884" s="471">
        <f t="shared" si="42"/>
        <v>240</v>
      </c>
      <c r="P1884" s="472">
        <f t="shared" si="43"/>
        <v>1</v>
      </c>
      <c r="Q1884" s="472">
        <f t="shared" si="44"/>
        <v>-1</v>
      </c>
      <c r="R1884" s="473">
        <f t="shared" si="45"/>
        <v>240</v>
      </c>
      <c r="S1884" s="467" t="s">
        <v>412</v>
      </c>
      <c r="T1884" s="490" t="s">
        <v>467</v>
      </c>
      <c r="U1884" s="490" t="s">
        <v>1476</v>
      </c>
      <c r="V1884" s="450"/>
      <c r="W1884" s="450"/>
      <c r="X1884" s="450"/>
      <c r="Y1884" s="450"/>
      <c r="Z1884" s="450"/>
    </row>
    <row r="1885" spans="1:26" x14ac:dyDescent="0.25">
      <c r="A1885" s="467" t="s">
        <v>1477</v>
      </c>
      <c r="B1885" s="467"/>
      <c r="C1885" s="467" t="s">
        <v>1478</v>
      </c>
      <c r="D1885" s="467" t="s">
        <v>1479</v>
      </c>
      <c r="E1885" s="468">
        <v>37848</v>
      </c>
      <c r="F1885" s="468">
        <v>37897</v>
      </c>
      <c r="G1885" s="467" t="s">
        <v>1066</v>
      </c>
      <c r="H1885" s="467" t="s">
        <v>1480</v>
      </c>
      <c r="I1885" s="467" t="s">
        <v>1256</v>
      </c>
      <c r="J1885" s="467" t="s">
        <v>1481</v>
      </c>
      <c r="K1885" s="469" t="str">
        <f>HYPERLINK("https://okcountyrecords.com/detail/roger+mills/2003-004945","OKCountyRecords: 2003-004945")</f>
        <v>OKCountyRecords: 2003-004945</v>
      </c>
      <c r="L1885" s="467" t="s">
        <v>625</v>
      </c>
      <c r="M1885" s="467" t="s">
        <v>404</v>
      </c>
      <c r="N1885" s="476">
        <v>1</v>
      </c>
      <c r="O1885" s="471">
        <f t="shared" si="42"/>
        <v>280</v>
      </c>
      <c r="P1885" s="472">
        <f t="shared" si="43"/>
        <v>1</v>
      </c>
      <c r="Q1885" s="472">
        <f t="shared" si="44"/>
        <v>-1</v>
      </c>
      <c r="R1885" s="473">
        <f t="shared" si="45"/>
        <v>280</v>
      </c>
      <c r="S1885" s="467"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90"/>
      <c r="U1885" s="490"/>
      <c r="V1885" s="450"/>
      <c r="W1885" s="450"/>
      <c r="X1885" s="450"/>
      <c r="Y1885" s="450"/>
      <c r="Z1885" s="450"/>
    </row>
    <row r="1886" spans="1:26" x14ac:dyDescent="0.25">
      <c r="A1886" s="467" t="s">
        <v>2902</v>
      </c>
      <c r="B1886" s="467"/>
      <c r="C1886" s="467" t="s">
        <v>8554</v>
      </c>
      <c r="D1886" s="467" t="s">
        <v>2905</v>
      </c>
      <c r="E1886" s="468">
        <v>37866</v>
      </c>
      <c r="F1886" s="468">
        <v>37881</v>
      </c>
      <c r="G1886" s="467" t="s">
        <v>2884</v>
      </c>
      <c r="H1886" s="467" t="s">
        <v>2885</v>
      </c>
      <c r="I1886" s="467" t="s">
        <v>1434</v>
      </c>
      <c r="J1886" s="467" t="s">
        <v>63</v>
      </c>
      <c r="K1886" s="469" t="str">
        <f>HYPERLINK("https://okcountyrecords.com/detail/roger+mills/2003-004685","OKCountyRecords: 2003-004685")</f>
        <v>OKCountyRecords: 2003-004685</v>
      </c>
      <c r="L1886" s="467">
        <v>5</v>
      </c>
      <c r="M1886" s="467" t="s">
        <v>404</v>
      </c>
      <c r="N1886" s="470">
        <v>1</v>
      </c>
      <c r="O1886" s="471">
        <f t="shared" si="42"/>
        <v>120</v>
      </c>
      <c r="P1886" s="472">
        <f t="shared" si="43"/>
        <v>1</v>
      </c>
      <c r="Q1886" s="472">
        <f t="shared" si="44"/>
        <v>-1</v>
      </c>
      <c r="R1886" s="473">
        <f t="shared" si="45"/>
        <v>120</v>
      </c>
      <c r="S1886" s="467" t="str">
        <f t="shared" si="47"/>
        <v>Mineral; basis Conv Amt(dec). Gross=tract-map basis.</v>
      </c>
      <c r="T1886" s="489"/>
      <c r="U1886" s="490"/>
      <c r="V1886" s="450"/>
      <c r="W1886" s="450"/>
      <c r="X1886" s="450"/>
      <c r="Y1886" s="450"/>
      <c r="Z1886" s="450"/>
    </row>
    <row r="1887" spans="1:26" x14ac:dyDescent="0.25">
      <c r="A1887" s="467" t="s">
        <v>2903</v>
      </c>
      <c r="B1887" s="467"/>
      <c r="C1887" s="467" t="s">
        <v>8555</v>
      </c>
      <c r="D1887" s="467" t="s">
        <v>2906</v>
      </c>
      <c r="E1887" s="468">
        <v>37959</v>
      </c>
      <c r="F1887" s="468">
        <v>38008</v>
      </c>
      <c r="G1887" s="467" t="s">
        <v>2886</v>
      </c>
      <c r="H1887" s="467" t="s">
        <v>2887</v>
      </c>
      <c r="I1887" s="467" t="s">
        <v>1434</v>
      </c>
      <c r="J1887" s="467" t="s">
        <v>63</v>
      </c>
      <c r="K1887" s="469" t="str">
        <f>HYPERLINK("https://okcountyrecords.com/detail/roger+mills/2004-000364","OKCountyRecords: 2004-000364")</f>
        <v>OKCountyRecords: 2004-000364</v>
      </c>
      <c r="L1887" s="467">
        <v>5</v>
      </c>
      <c r="M1887" s="467" t="s">
        <v>404</v>
      </c>
      <c r="N1887" s="470">
        <v>1</v>
      </c>
      <c r="O1887" s="471">
        <f t="shared" si="42"/>
        <v>120</v>
      </c>
      <c r="P1887" s="472">
        <f t="shared" si="43"/>
        <v>1</v>
      </c>
      <c r="Q1887" s="472">
        <f t="shared" si="44"/>
        <v>-1</v>
      </c>
      <c r="R1887" s="473">
        <f t="shared" si="45"/>
        <v>120</v>
      </c>
      <c r="S1887" s="467" t="str">
        <f t="shared" si="47"/>
        <v>Mineral; basis Conv Amt(dec). Gross=tract-map basis.</v>
      </c>
      <c r="T1887" s="489"/>
      <c r="U1887" s="490"/>
      <c r="V1887" s="450"/>
      <c r="W1887" s="450"/>
      <c r="X1887" s="450"/>
      <c r="Y1887" s="450"/>
      <c r="Z1887" s="450"/>
    </row>
    <row r="1888" spans="1:26" x14ac:dyDescent="0.25">
      <c r="A1888" s="467" t="s">
        <v>1482</v>
      </c>
      <c r="B1888" s="467"/>
      <c r="C1888" s="467" t="s">
        <v>585</v>
      </c>
      <c r="D1888" s="467" t="s">
        <v>1483</v>
      </c>
      <c r="E1888" s="468">
        <v>37990</v>
      </c>
      <c r="F1888" s="468">
        <v>37994</v>
      </c>
      <c r="G1888" s="467" t="s">
        <v>1484</v>
      </c>
      <c r="H1888" s="467" t="s">
        <v>1485</v>
      </c>
      <c r="I1888" s="467" t="s">
        <v>1256</v>
      </c>
      <c r="J1888" s="467" t="s">
        <v>63</v>
      </c>
      <c r="K1888" s="469" t="str">
        <f>HYPERLINK("https://okcountyrecords.com/detail/roger+mills/2004-000099","OKCountyRecords: 2004-000099")</f>
        <v>OKCountyRecords: 2004-000099</v>
      </c>
      <c r="L1888" s="467" t="s">
        <v>625</v>
      </c>
      <c r="M1888" s="467" t="s">
        <v>404</v>
      </c>
      <c r="N1888" s="476">
        <v>1</v>
      </c>
      <c r="O1888" s="471">
        <f t="shared" si="42"/>
        <v>280</v>
      </c>
      <c r="P1888" s="472">
        <f t="shared" si="43"/>
        <v>1</v>
      </c>
      <c r="Q1888" s="472">
        <f t="shared" si="44"/>
        <v>-1</v>
      </c>
      <c r="R1888" s="473">
        <f t="shared" si="45"/>
        <v>280</v>
      </c>
      <c r="S1888" s="467" t="str">
        <f t="shared" si="47"/>
        <v>Mineral; basis Conv Amt(dec). Gross=tract-map basis.</v>
      </c>
      <c r="T1888" s="489"/>
      <c r="U1888" s="490"/>
      <c r="V1888" s="450"/>
      <c r="W1888" s="450"/>
      <c r="X1888" s="450"/>
      <c r="Y1888" s="450"/>
      <c r="Z1888" s="450"/>
    </row>
    <row r="1889" spans="1:26" x14ac:dyDescent="0.25">
      <c r="A1889" s="467" t="s">
        <v>1486</v>
      </c>
      <c r="B1889" s="467"/>
      <c r="C1889" s="467" t="s">
        <v>202</v>
      </c>
      <c r="D1889" s="467" t="s">
        <v>203</v>
      </c>
      <c r="E1889" s="468">
        <v>38000</v>
      </c>
      <c r="F1889" s="468">
        <v>38029</v>
      </c>
      <c r="G1889" s="467" t="s">
        <v>1487</v>
      </c>
      <c r="H1889" s="467" t="s">
        <v>205</v>
      </c>
      <c r="I1889" s="467" t="s">
        <v>1488</v>
      </c>
      <c r="J1889" s="467" t="s">
        <v>207</v>
      </c>
      <c r="K1889" s="469" t="str">
        <f>HYPERLINK("https://okcountyrecords.com/detail/roger+mills/2004-000723","OKCountyRecords: 2004-000723")</f>
        <v>OKCountyRecords: 2004-000723</v>
      </c>
      <c r="L1889" s="467" t="s">
        <v>502</v>
      </c>
      <c r="M1889" s="467" t="s">
        <v>1489</v>
      </c>
      <c r="N1889" s="476"/>
      <c r="O1889" s="471">
        <f t="shared" si="42"/>
        <v>640</v>
      </c>
      <c r="P1889" s="472" t="str">
        <f t="shared" si="43"/>
        <v/>
      </c>
      <c r="Q1889" s="472" t="str">
        <f t="shared" si="44"/>
        <v/>
      </c>
      <c r="R1889" s="473" t="str">
        <f t="shared" si="45"/>
        <v/>
      </c>
      <c r="S1889" s="467" t="str">
        <f t="shared" si="47"/>
        <v>Leasehold (non-mineral; excluded from mineral NMA). All-section coverage. Gross=tract-map basis.</v>
      </c>
      <c r="T1889" s="489"/>
      <c r="U1889" s="490"/>
      <c r="V1889" s="450"/>
      <c r="W1889" s="450"/>
      <c r="X1889" s="450"/>
      <c r="Y1889" s="450"/>
      <c r="Z1889" s="450"/>
    </row>
    <row r="1890" spans="1:26" x14ac:dyDescent="0.25">
      <c r="A1890" s="467" t="s">
        <v>1493</v>
      </c>
      <c r="B1890" s="467"/>
      <c r="C1890" s="467" t="s">
        <v>202</v>
      </c>
      <c r="D1890" s="467" t="s">
        <v>210</v>
      </c>
      <c r="E1890" s="468">
        <v>38000</v>
      </c>
      <c r="F1890" s="468">
        <v>38029</v>
      </c>
      <c r="G1890" s="467" t="s">
        <v>1494</v>
      </c>
      <c r="H1890" s="467" t="s">
        <v>205</v>
      </c>
      <c r="I1890" s="467" t="s">
        <v>1488</v>
      </c>
      <c r="J1890" s="467" t="s">
        <v>207</v>
      </c>
      <c r="K1890" s="469" t="str">
        <f>HYPERLINK("https://okcountyrecords.com/detail/roger+mills/2004-000727","OKCountyRecords: 2004-000727")</f>
        <v>OKCountyRecords: 2004-000727</v>
      </c>
      <c r="L1890" s="467" t="s">
        <v>502</v>
      </c>
      <c r="M1890" s="467" t="s">
        <v>1489</v>
      </c>
      <c r="N1890" s="476"/>
      <c r="O1890" s="471">
        <f t="shared" si="42"/>
        <v>640</v>
      </c>
      <c r="P1890" s="472" t="str">
        <f t="shared" si="43"/>
        <v/>
      </c>
      <c r="Q1890" s="472" t="str">
        <f t="shared" si="44"/>
        <v/>
      </c>
      <c r="R1890" s="473" t="str">
        <f t="shared" si="45"/>
        <v/>
      </c>
      <c r="S1890" s="467" t="str">
        <f t="shared" si="47"/>
        <v>Leasehold (non-mineral; excluded from mineral NMA). All-section coverage. Gross=tract-map basis.</v>
      </c>
      <c r="T1890" s="489"/>
      <c r="U1890" s="490"/>
      <c r="V1890" s="450"/>
      <c r="W1890" s="450"/>
      <c r="X1890" s="450"/>
      <c r="Y1890" s="450"/>
      <c r="Z1890" s="450"/>
    </row>
    <row r="1891" spans="1:26" x14ac:dyDescent="0.25">
      <c r="A1891" s="467" t="s">
        <v>1495</v>
      </c>
      <c r="B1891" s="467">
        <v>22</v>
      </c>
      <c r="C1891" s="467" t="s">
        <v>202</v>
      </c>
      <c r="D1891" s="467" t="s">
        <v>212</v>
      </c>
      <c r="E1891" s="468">
        <v>38000</v>
      </c>
      <c r="F1891" s="468">
        <v>38029</v>
      </c>
      <c r="G1891" s="467" t="s">
        <v>1496</v>
      </c>
      <c r="H1891" s="467" t="s">
        <v>205</v>
      </c>
      <c r="I1891" s="467" t="s">
        <v>1488</v>
      </c>
      <c r="J1891" s="467" t="s">
        <v>207</v>
      </c>
      <c r="K1891" s="469" t="str">
        <f>HYPERLINK("https://okcountyrecords.com/detail/roger+mills/2004-000722","OKCountyRecords: 2004-000722")</f>
        <v>OKCountyRecords: 2004-000722</v>
      </c>
      <c r="L1891" s="467" t="s">
        <v>502</v>
      </c>
      <c r="M1891" s="467" t="s">
        <v>1489</v>
      </c>
      <c r="N1891" s="476"/>
      <c r="O1891" s="471">
        <f t="shared" si="42"/>
        <v>640</v>
      </c>
      <c r="P1891" s="472" t="str">
        <f t="shared" si="43"/>
        <v/>
      </c>
      <c r="Q1891" s="472" t="str">
        <f t="shared" si="44"/>
        <v/>
      </c>
      <c r="R1891" s="473" t="str">
        <f t="shared" si="45"/>
        <v/>
      </c>
      <c r="S1891" s="467" t="str">
        <f t="shared" si="47"/>
        <v>Leasehold (non-mineral; excluded from mineral NMA). All-section coverage. Gross=tract-map basis.</v>
      </c>
      <c r="T1891" s="489"/>
      <c r="U1891" s="490"/>
      <c r="V1891" s="450"/>
      <c r="W1891" s="450"/>
      <c r="X1891" s="450"/>
      <c r="Y1891" s="450"/>
      <c r="Z1891" s="450"/>
    </row>
    <row r="1892" spans="1:26" x14ac:dyDescent="0.25">
      <c r="A1892" s="467" t="s">
        <v>1497</v>
      </c>
      <c r="B1892" s="467"/>
      <c r="C1892" s="467" t="s">
        <v>202</v>
      </c>
      <c r="D1892" s="467" t="s">
        <v>208</v>
      </c>
      <c r="E1892" s="468">
        <v>38000</v>
      </c>
      <c r="F1892" s="468">
        <v>38029</v>
      </c>
      <c r="G1892" s="467" t="s">
        <v>1498</v>
      </c>
      <c r="H1892" s="467" t="s">
        <v>205</v>
      </c>
      <c r="I1892" s="467" t="s">
        <v>1488</v>
      </c>
      <c r="J1892" s="467" t="s">
        <v>207</v>
      </c>
      <c r="K1892" s="469" t="str">
        <f>HYPERLINK("https://okcountyrecords.com/detail/roger+mills/2004-000726","OKCountyRecords: 2004-000726")</f>
        <v>OKCountyRecords: 2004-000726</v>
      </c>
      <c r="L1892" s="467" t="s">
        <v>502</v>
      </c>
      <c r="M1892" s="467" t="s">
        <v>1489</v>
      </c>
      <c r="N1892" s="476"/>
      <c r="O1892" s="471">
        <f t="shared" si="42"/>
        <v>640</v>
      </c>
      <c r="P1892" s="472" t="str">
        <f t="shared" si="43"/>
        <v/>
      </c>
      <c r="Q1892" s="472" t="str">
        <f t="shared" si="44"/>
        <v/>
      </c>
      <c r="R1892" s="473" t="str">
        <f t="shared" si="45"/>
        <v/>
      </c>
      <c r="S1892" s="467" t="str">
        <f t="shared" si="47"/>
        <v>Leasehold (non-mineral; excluded from mineral NMA). All-section coverage. Gross=tract-map basis.</v>
      </c>
      <c r="T1892" s="489"/>
      <c r="U1892" s="490"/>
      <c r="V1892" s="450"/>
      <c r="W1892" s="450"/>
      <c r="X1892" s="450"/>
      <c r="Y1892" s="450"/>
      <c r="Z1892" s="450"/>
    </row>
    <row r="1893" spans="1:26" x14ac:dyDescent="0.25">
      <c r="A1893" s="467" t="s">
        <v>1499</v>
      </c>
      <c r="B1893" s="467"/>
      <c r="C1893" s="467" t="s">
        <v>202</v>
      </c>
      <c r="D1893" s="467" t="s">
        <v>354</v>
      </c>
      <c r="E1893" s="468">
        <v>38002</v>
      </c>
      <c r="F1893" s="468">
        <v>38029</v>
      </c>
      <c r="G1893" s="467" t="s">
        <v>1500</v>
      </c>
      <c r="H1893" s="467" t="s">
        <v>205</v>
      </c>
      <c r="I1893" s="467" t="s">
        <v>215</v>
      </c>
      <c r="J1893" s="467" t="s">
        <v>216</v>
      </c>
      <c r="K1893" s="469" t="str">
        <f>HYPERLINK("https://okcountyrecords.com/detail/roger+mills/2004-000724","OKCountyRecords: 2004-000724")</f>
        <v>OKCountyRecords: 2004-000724</v>
      </c>
      <c r="L1893" s="467">
        <v>2</v>
      </c>
      <c r="M1893" s="467" t="s">
        <v>1489</v>
      </c>
      <c r="N1893" s="470"/>
      <c r="O1893" s="471">
        <f t="shared" si="42"/>
        <v>160</v>
      </c>
      <c r="P1893" s="472" t="str">
        <f t="shared" si="43"/>
        <v/>
      </c>
      <c r="Q1893" s="472" t="str">
        <f t="shared" si="44"/>
        <v/>
      </c>
      <c r="R1893" s="473" t="str">
        <f t="shared" si="45"/>
        <v/>
      </c>
      <c r="S1893" s="467" t="str">
        <f t="shared" si="47"/>
        <v>Leasehold (non-mineral; excluded from mineral NMA). Gross=tract-map basis.</v>
      </c>
      <c r="T1893" s="489"/>
      <c r="U1893" s="490"/>
      <c r="V1893" s="450"/>
      <c r="W1893" s="450"/>
      <c r="X1893" s="450"/>
      <c r="Y1893" s="450"/>
      <c r="Z1893" s="450"/>
    </row>
    <row r="1894" spans="1:26" x14ac:dyDescent="0.25">
      <c r="A1894" s="467" t="s">
        <v>1502</v>
      </c>
      <c r="B1894" s="467"/>
      <c r="C1894" s="467" t="s">
        <v>202</v>
      </c>
      <c r="D1894" s="467" t="s">
        <v>217</v>
      </c>
      <c r="E1894" s="468">
        <v>38002</v>
      </c>
      <c r="F1894" s="468">
        <v>38029</v>
      </c>
      <c r="G1894" s="467" t="s">
        <v>1503</v>
      </c>
      <c r="H1894" s="467" t="s">
        <v>205</v>
      </c>
      <c r="I1894" s="467" t="s">
        <v>215</v>
      </c>
      <c r="J1894" s="467" t="s">
        <v>216</v>
      </c>
      <c r="K1894" s="469" t="str">
        <f>HYPERLINK("https://okcountyrecords.com/detail/roger+mills/2004-000725","OKCountyRecords: 2004-000725")</f>
        <v>OKCountyRecords: 2004-000725</v>
      </c>
      <c r="L1894" s="467">
        <v>2</v>
      </c>
      <c r="M1894" s="467" t="s">
        <v>1489</v>
      </c>
      <c r="N1894" s="470"/>
      <c r="O1894" s="471">
        <f t="shared" si="42"/>
        <v>160</v>
      </c>
      <c r="P1894" s="472" t="str">
        <f t="shared" si="43"/>
        <v/>
      </c>
      <c r="Q1894" s="472" t="str">
        <f t="shared" si="44"/>
        <v/>
      </c>
      <c r="R1894" s="473" t="str">
        <f t="shared" si="45"/>
        <v/>
      </c>
      <c r="S1894" s="467" t="str">
        <f t="shared" si="47"/>
        <v>Leasehold (non-mineral; excluded from mineral NMA). Gross=tract-map basis.</v>
      </c>
      <c r="T1894" s="489"/>
      <c r="U1894" s="490"/>
      <c r="V1894" s="450"/>
      <c r="W1894" s="450"/>
      <c r="X1894" s="450"/>
      <c r="Y1894" s="450"/>
      <c r="Z1894" s="450"/>
    </row>
    <row r="1895" spans="1:26" x14ac:dyDescent="0.25">
      <c r="A1895" s="467" t="s">
        <v>1504</v>
      </c>
      <c r="B1895" s="467"/>
      <c r="C1895" s="467" t="s">
        <v>202</v>
      </c>
      <c r="D1895" s="467" t="s">
        <v>347</v>
      </c>
      <c r="E1895" s="468">
        <v>38002</v>
      </c>
      <c r="F1895" s="468">
        <v>38020</v>
      </c>
      <c r="G1895" s="467" t="s">
        <v>1505</v>
      </c>
      <c r="H1895" s="467" t="s">
        <v>205</v>
      </c>
      <c r="I1895" s="467" t="s">
        <v>215</v>
      </c>
      <c r="J1895" s="467" t="s">
        <v>216</v>
      </c>
      <c r="K1895" s="469" t="str">
        <f>HYPERLINK("https://okcountyrecords.com/detail/roger+mills/2004-000580","OKCountyRecords: 2004-000580")</f>
        <v>OKCountyRecords: 2004-000580</v>
      </c>
      <c r="L1895" s="467">
        <v>2</v>
      </c>
      <c r="M1895" s="467" t="s">
        <v>1489</v>
      </c>
      <c r="N1895" s="470"/>
      <c r="O1895" s="471">
        <f t="shared" si="42"/>
        <v>160</v>
      </c>
      <c r="P1895" s="472" t="str">
        <f t="shared" si="43"/>
        <v/>
      </c>
      <c r="Q1895" s="472" t="str">
        <f t="shared" si="44"/>
        <v/>
      </c>
      <c r="R1895" s="473" t="str">
        <f t="shared" si="45"/>
        <v/>
      </c>
      <c r="S1895" s="467" t="str">
        <f t="shared" si="47"/>
        <v>Leasehold (non-mineral; excluded from mineral NMA). Gross=tract-map basis.</v>
      </c>
      <c r="T1895" s="489"/>
      <c r="U1895" s="490"/>
      <c r="V1895" s="450"/>
      <c r="W1895" s="450"/>
      <c r="X1895" s="450"/>
      <c r="Y1895" s="450"/>
      <c r="Z1895" s="450"/>
    </row>
    <row r="1896" spans="1:26" x14ac:dyDescent="0.25">
      <c r="A1896" s="467" t="s">
        <v>1506</v>
      </c>
      <c r="B1896" s="467"/>
      <c r="C1896" s="467" t="s">
        <v>202</v>
      </c>
      <c r="D1896" s="467" t="s">
        <v>352</v>
      </c>
      <c r="E1896" s="468">
        <v>38002</v>
      </c>
      <c r="F1896" s="468">
        <v>38029</v>
      </c>
      <c r="G1896" s="467" t="s">
        <v>1507</v>
      </c>
      <c r="H1896" s="467" t="s">
        <v>205</v>
      </c>
      <c r="I1896" s="467" t="s">
        <v>215</v>
      </c>
      <c r="J1896" s="467" t="s">
        <v>216</v>
      </c>
      <c r="K1896" s="469" t="str">
        <f>HYPERLINK("https://okcountyrecords.com/detail/roger+mills/2004-000721","OKCountyRecords: 2004-000721")</f>
        <v>OKCountyRecords: 2004-000721</v>
      </c>
      <c r="L1896" s="467">
        <v>2</v>
      </c>
      <c r="M1896" s="467" t="s">
        <v>1489</v>
      </c>
      <c r="N1896" s="470"/>
      <c r="O1896" s="471">
        <f t="shared" si="42"/>
        <v>160</v>
      </c>
      <c r="P1896" s="472" t="str">
        <f t="shared" si="43"/>
        <v/>
      </c>
      <c r="Q1896" s="472" t="str">
        <f t="shared" si="44"/>
        <v/>
      </c>
      <c r="R1896" s="473" t="str">
        <f t="shared" si="45"/>
        <v/>
      </c>
      <c r="S1896" s="467" t="str">
        <f t="shared" si="47"/>
        <v>Leasehold (non-mineral; excluded from mineral NMA). Gross=tract-map basis.</v>
      </c>
      <c r="T1896" s="489"/>
      <c r="U1896" s="490"/>
      <c r="V1896" s="450"/>
      <c r="W1896" s="450"/>
      <c r="X1896" s="450"/>
      <c r="Y1896" s="450"/>
      <c r="Z1896" s="450"/>
    </row>
    <row r="1897" spans="1:26" x14ac:dyDescent="0.25">
      <c r="A1897" s="467" t="s">
        <v>1508</v>
      </c>
      <c r="B1897" s="467"/>
      <c r="C1897" s="467" t="s">
        <v>202</v>
      </c>
      <c r="D1897" s="467" t="s">
        <v>350</v>
      </c>
      <c r="E1897" s="468">
        <v>38002</v>
      </c>
      <c r="F1897" s="468">
        <v>38020</v>
      </c>
      <c r="G1897" s="467" t="s">
        <v>1509</v>
      </c>
      <c r="H1897" s="467" t="s">
        <v>205</v>
      </c>
      <c r="I1897" s="467" t="s">
        <v>215</v>
      </c>
      <c r="J1897" s="467" t="s">
        <v>216</v>
      </c>
      <c r="K1897" s="469" t="str">
        <f>HYPERLINK("https://okcountyrecords.com/detail/roger+mills/2004-000582","OKCountyRecords: 2004-000582")</f>
        <v>OKCountyRecords: 2004-000582</v>
      </c>
      <c r="L1897" s="467">
        <v>2</v>
      </c>
      <c r="M1897" s="467" t="s">
        <v>1489</v>
      </c>
      <c r="N1897" s="470"/>
      <c r="O1897" s="471">
        <f t="shared" si="42"/>
        <v>160</v>
      </c>
      <c r="P1897" s="472" t="str">
        <f t="shared" si="43"/>
        <v/>
      </c>
      <c r="Q1897" s="472" t="str">
        <f t="shared" si="44"/>
        <v/>
      </c>
      <c r="R1897" s="473" t="str">
        <f t="shared" si="45"/>
        <v/>
      </c>
      <c r="S1897" s="467" t="str">
        <f t="shared" si="47"/>
        <v>Leasehold (non-mineral; excluded from mineral NMA). Gross=tract-map basis.</v>
      </c>
      <c r="T1897" s="489"/>
      <c r="U1897" s="490"/>
      <c r="V1897" s="450"/>
      <c r="W1897" s="450"/>
      <c r="X1897" s="450"/>
      <c r="Y1897" s="450"/>
      <c r="Z1897" s="450"/>
    </row>
    <row r="1898" spans="1:26" x14ac:dyDescent="0.25">
      <c r="A1898" s="467" t="s">
        <v>1510</v>
      </c>
      <c r="B1898" s="467"/>
      <c r="C1898" s="467" t="s">
        <v>202</v>
      </c>
      <c r="D1898" s="467" t="s">
        <v>213</v>
      </c>
      <c r="E1898" s="468">
        <v>38002</v>
      </c>
      <c r="F1898" s="468">
        <v>38020</v>
      </c>
      <c r="G1898" s="467" t="s">
        <v>1511</v>
      </c>
      <c r="H1898" s="467" t="s">
        <v>205</v>
      </c>
      <c r="I1898" s="467" t="s">
        <v>215</v>
      </c>
      <c r="J1898" s="467" t="s">
        <v>216</v>
      </c>
      <c r="K1898" s="469" t="str">
        <f>HYPERLINK("https://okcountyrecords.com/detail/roger+mills/2004-000579","OKCountyRecords: 2004-000579")</f>
        <v>OKCountyRecords: 2004-000579</v>
      </c>
      <c r="L1898" s="467">
        <v>2</v>
      </c>
      <c r="M1898" s="467" t="s">
        <v>1489</v>
      </c>
      <c r="N1898" s="470"/>
      <c r="O1898" s="471">
        <f t="shared" si="42"/>
        <v>160</v>
      </c>
      <c r="P1898" s="472" t="str">
        <f t="shared" si="43"/>
        <v/>
      </c>
      <c r="Q1898" s="472" t="str">
        <f t="shared" si="44"/>
        <v/>
      </c>
      <c r="R1898" s="473" t="str">
        <f t="shared" si="45"/>
        <v/>
      </c>
      <c r="S1898" s="467" t="str">
        <f t="shared" si="47"/>
        <v>Leasehold (non-mineral; excluded from mineral NMA). Gross=tract-map basis.</v>
      </c>
      <c r="T1898" s="489"/>
      <c r="U1898" s="490"/>
      <c r="V1898" s="450"/>
      <c r="W1898" s="450"/>
      <c r="X1898" s="450"/>
      <c r="Y1898" s="450"/>
      <c r="Z1898" s="450"/>
    </row>
    <row r="1899" spans="1:26" x14ac:dyDescent="0.25">
      <c r="A1899" s="467" t="s">
        <v>1512</v>
      </c>
      <c r="B1899" s="467"/>
      <c r="C1899" s="467" t="s">
        <v>202</v>
      </c>
      <c r="D1899" s="467" t="s">
        <v>219</v>
      </c>
      <c r="E1899" s="468">
        <v>38002</v>
      </c>
      <c r="F1899" s="468">
        <v>38762</v>
      </c>
      <c r="G1899" s="467" t="s">
        <v>1511</v>
      </c>
      <c r="H1899" s="467" t="s">
        <v>205</v>
      </c>
      <c r="I1899" s="467" t="s">
        <v>215</v>
      </c>
      <c r="J1899" s="467" t="s">
        <v>216</v>
      </c>
      <c r="K1899" s="469" t="str">
        <f>HYPERLINK("https://okcountyrecords.com/detail/roger+mills/2006-001223","OKCountyRecords: 2006-001223")</f>
        <v>OKCountyRecords: 2006-001223</v>
      </c>
      <c r="L1899" s="467">
        <v>2</v>
      </c>
      <c r="M1899" s="467" t="s">
        <v>1489</v>
      </c>
      <c r="N1899" s="470"/>
      <c r="O1899" s="471">
        <f t="shared" si="42"/>
        <v>160</v>
      </c>
      <c r="P1899" s="472" t="str">
        <f t="shared" si="43"/>
        <v/>
      </c>
      <c r="Q1899" s="472" t="str">
        <f t="shared" si="44"/>
        <v/>
      </c>
      <c r="R1899" s="473" t="str">
        <f t="shared" si="45"/>
        <v/>
      </c>
      <c r="S1899" s="467" t="str">
        <f t="shared" si="47"/>
        <v>Leasehold (non-mineral; excluded from mineral NMA). Gross=tract-map basis.</v>
      </c>
      <c r="T1899" s="489"/>
      <c r="U1899" s="490"/>
      <c r="V1899" s="450"/>
      <c r="W1899" s="450"/>
      <c r="X1899" s="450"/>
      <c r="Y1899" s="450"/>
      <c r="Z1899" s="450"/>
    </row>
    <row r="1900" spans="1:26" x14ac:dyDescent="0.25">
      <c r="A1900" s="467" t="s">
        <v>1513</v>
      </c>
      <c r="B1900" s="467">
        <v>23</v>
      </c>
      <c r="C1900" s="467" t="s">
        <v>202</v>
      </c>
      <c r="D1900" s="467" t="s">
        <v>233</v>
      </c>
      <c r="E1900" s="468">
        <v>38007</v>
      </c>
      <c r="F1900" s="468">
        <v>38029</v>
      </c>
      <c r="G1900" s="467" t="s">
        <v>1514</v>
      </c>
      <c r="H1900" s="467" t="s">
        <v>205</v>
      </c>
      <c r="I1900" s="467" t="s">
        <v>215</v>
      </c>
      <c r="J1900" s="467" t="s">
        <v>216</v>
      </c>
      <c r="K1900" s="469" t="str">
        <f>HYPERLINK("https://okcountyrecords.com/detail/roger+mills/2004-000720","OKCountyRecords: 2004-000720")</f>
        <v>OKCountyRecords: 2004-000720</v>
      </c>
      <c r="L1900" s="467">
        <v>2</v>
      </c>
      <c r="M1900" s="467" t="s">
        <v>1489</v>
      </c>
      <c r="N1900" s="470"/>
      <c r="O1900" s="471">
        <f t="shared" si="42"/>
        <v>160</v>
      </c>
      <c r="P1900" s="472" t="str">
        <f t="shared" si="43"/>
        <v/>
      </c>
      <c r="Q1900" s="472" t="str">
        <f t="shared" si="44"/>
        <v/>
      </c>
      <c r="R1900" s="473" t="str">
        <f t="shared" si="45"/>
        <v/>
      </c>
      <c r="S1900" s="467" t="str">
        <f t="shared" si="47"/>
        <v>Leasehold (non-mineral; excluded from mineral NMA). Gross=tract-map basis.</v>
      </c>
      <c r="T1900" s="489"/>
      <c r="U1900" s="490"/>
      <c r="V1900" s="450"/>
      <c r="W1900" s="450"/>
      <c r="X1900" s="450"/>
      <c r="Y1900" s="450"/>
      <c r="Z1900" s="450"/>
    </row>
    <row r="1901" spans="1:26" x14ac:dyDescent="0.25">
      <c r="A1901" s="467" t="s">
        <v>1515</v>
      </c>
      <c r="B1901" s="467"/>
      <c r="C1901" s="467" t="s">
        <v>202</v>
      </c>
      <c r="D1901" s="467" t="s">
        <v>362</v>
      </c>
      <c r="E1901" s="468">
        <v>38013</v>
      </c>
      <c r="F1901" s="468">
        <v>38027</v>
      </c>
      <c r="G1901" s="467" t="s">
        <v>1516</v>
      </c>
      <c r="H1901" s="467" t="s">
        <v>205</v>
      </c>
      <c r="I1901" s="467" t="s">
        <v>215</v>
      </c>
      <c r="J1901" s="467" t="s">
        <v>216</v>
      </c>
      <c r="K1901" s="469" t="str">
        <f>HYPERLINK("https://okcountyrecords.com/detail/roger+mills/2004-000690","OKCountyRecords: 2004-000690")</f>
        <v>OKCountyRecords: 2004-000690</v>
      </c>
      <c r="L1901" s="467">
        <v>2</v>
      </c>
      <c r="M1901" s="467" t="s">
        <v>1489</v>
      </c>
      <c r="N1901" s="470"/>
      <c r="O1901" s="471">
        <f t="shared" si="42"/>
        <v>160</v>
      </c>
      <c r="P1901" s="472" t="str">
        <f t="shared" si="43"/>
        <v/>
      </c>
      <c r="Q1901" s="472" t="str">
        <f t="shared" si="44"/>
        <v/>
      </c>
      <c r="R1901" s="473" t="str">
        <f t="shared" si="45"/>
        <v/>
      </c>
      <c r="S1901" s="467" t="str">
        <f t="shared" si="47"/>
        <v>Leasehold (non-mineral; excluded from mineral NMA). Gross=tract-map basis.</v>
      </c>
      <c r="T1901" s="489"/>
      <c r="U1901" s="490"/>
      <c r="V1901" s="450"/>
      <c r="W1901" s="450"/>
      <c r="X1901" s="450"/>
      <c r="Y1901" s="450"/>
      <c r="Z1901" s="450"/>
    </row>
    <row r="1902" spans="1:26" x14ac:dyDescent="0.25">
      <c r="A1902" s="467" t="s">
        <v>1517</v>
      </c>
      <c r="B1902" s="467"/>
      <c r="C1902" s="467" t="s">
        <v>1368</v>
      </c>
      <c r="D1902" s="467" t="s">
        <v>1518</v>
      </c>
      <c r="E1902" s="468">
        <v>38014</v>
      </c>
      <c r="F1902" s="468">
        <v>38027</v>
      </c>
      <c r="G1902" s="467" t="s">
        <v>1519</v>
      </c>
      <c r="H1902" s="467" t="s">
        <v>1520</v>
      </c>
      <c r="I1902" s="467" t="s">
        <v>215</v>
      </c>
      <c r="J1902" s="467" t="s">
        <v>63</v>
      </c>
      <c r="K1902" s="469" t="str">
        <f>HYPERLINK("https://okcountyrecords.com/detail/roger+mills/2004-000691","OKCountyRecords: 2004-000691")</f>
        <v>OKCountyRecords: 2004-000691</v>
      </c>
      <c r="L1902" s="467">
        <v>2</v>
      </c>
      <c r="M1902" s="467" t="s">
        <v>404</v>
      </c>
      <c r="N1902" s="470">
        <v>1</v>
      </c>
      <c r="O1902" s="471">
        <f t="shared" si="42"/>
        <v>160</v>
      </c>
      <c r="P1902" s="472">
        <f t="shared" si="43"/>
        <v>1</v>
      </c>
      <c r="Q1902" s="472">
        <f t="shared" si="44"/>
        <v>-1</v>
      </c>
      <c r="R1902" s="473">
        <f t="shared" si="45"/>
        <v>160</v>
      </c>
      <c r="S1902" s="467"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89" t="s">
        <v>641</v>
      </c>
      <c r="U1902" s="490" t="s">
        <v>1021</v>
      </c>
      <c r="V1902" s="450"/>
      <c r="W1902" s="450"/>
      <c r="X1902" s="450"/>
      <c r="Y1902" s="450"/>
      <c r="Z1902" s="450"/>
    </row>
    <row r="1903" spans="1:26" x14ac:dyDescent="0.25">
      <c r="A1903" s="467" t="s">
        <v>1521</v>
      </c>
      <c r="B1903" s="467"/>
      <c r="C1903" s="467" t="s">
        <v>202</v>
      </c>
      <c r="D1903" s="467" t="s">
        <v>224</v>
      </c>
      <c r="E1903" s="468">
        <v>38016</v>
      </c>
      <c r="F1903" s="468">
        <v>38020</v>
      </c>
      <c r="G1903" s="467" t="s">
        <v>1522</v>
      </c>
      <c r="H1903" s="467" t="s">
        <v>205</v>
      </c>
      <c r="I1903" s="467" t="s">
        <v>1523</v>
      </c>
      <c r="J1903" s="467" t="s">
        <v>227</v>
      </c>
      <c r="K1903" s="469" t="str">
        <f>HYPERLINK("https://okcountyrecords.com/detail/roger+mills/2004-000581","OKCountyRecords: 2004-000581")</f>
        <v>OKCountyRecords: 2004-000581</v>
      </c>
      <c r="L1903" s="467" t="s">
        <v>613</v>
      </c>
      <c r="M1903" s="467" t="s">
        <v>1489</v>
      </c>
      <c r="N1903" s="470"/>
      <c r="O1903" s="471">
        <f t="shared" si="42"/>
        <v>440</v>
      </c>
      <c r="P1903" s="472" t="str">
        <f t="shared" si="43"/>
        <v/>
      </c>
      <c r="Q1903" s="472" t="str">
        <f t="shared" si="44"/>
        <v/>
      </c>
      <c r="R1903" s="473" t="str">
        <f t="shared" si="45"/>
        <v/>
      </c>
      <c r="S1903" s="467"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89"/>
      <c r="U1903" s="490"/>
      <c r="V1903" s="450"/>
      <c r="W1903" s="450"/>
      <c r="X1903" s="450"/>
      <c r="Y1903" s="450"/>
      <c r="Z1903" s="450"/>
    </row>
    <row r="1904" spans="1:26" x14ac:dyDescent="0.25">
      <c r="A1904" s="467" t="s">
        <v>1524</v>
      </c>
      <c r="B1904" s="467"/>
      <c r="C1904" s="467" t="s">
        <v>202</v>
      </c>
      <c r="D1904" s="467" t="s">
        <v>220</v>
      </c>
      <c r="E1904" s="468">
        <v>38020</v>
      </c>
      <c r="F1904" s="468">
        <v>38027</v>
      </c>
      <c r="G1904" s="467" t="s">
        <v>1525</v>
      </c>
      <c r="H1904" s="467" t="s">
        <v>205</v>
      </c>
      <c r="I1904" s="467" t="s">
        <v>222</v>
      </c>
      <c r="J1904" s="467" t="s">
        <v>223</v>
      </c>
      <c r="K1904" s="469" t="str">
        <f>HYPERLINK("https://okcountyrecords.com/detail/roger+mills/2004-000685","OKCountyRecords: 2004-000685")</f>
        <v>OKCountyRecords: 2004-000685</v>
      </c>
      <c r="L1904" s="467" t="s">
        <v>625</v>
      </c>
      <c r="M1904" s="467" t="s">
        <v>1489</v>
      </c>
      <c r="N1904" s="476"/>
      <c r="O1904" s="471">
        <f t="shared" si="42"/>
        <v>280</v>
      </c>
      <c r="P1904" s="472" t="str">
        <f t="shared" si="43"/>
        <v/>
      </c>
      <c r="Q1904" s="472" t="str">
        <f t="shared" si="44"/>
        <v/>
      </c>
      <c r="R1904" s="473" t="str">
        <f t="shared" si="45"/>
        <v/>
      </c>
      <c r="S1904" s="467" t="str">
        <f t="shared" si="48"/>
        <v>Leasehold (non-mineral; excluded from mineral NMA). Gross=tract-map basis.</v>
      </c>
      <c r="T1904" s="489"/>
      <c r="U1904" s="490"/>
      <c r="V1904" s="450"/>
      <c r="W1904" s="450"/>
      <c r="X1904" s="450"/>
      <c r="Y1904" s="450"/>
      <c r="Z1904" s="450"/>
    </row>
    <row r="1905" spans="1:26" x14ac:dyDescent="0.25">
      <c r="A1905" s="467" t="s">
        <v>1526</v>
      </c>
      <c r="B1905" s="467"/>
      <c r="C1905" s="467" t="s">
        <v>1456</v>
      </c>
      <c r="D1905" s="467" t="s">
        <v>1527</v>
      </c>
      <c r="E1905" s="468">
        <v>38022</v>
      </c>
      <c r="F1905" s="468">
        <v>38068</v>
      </c>
      <c r="G1905" s="467" t="s">
        <v>1528</v>
      </c>
      <c r="H1905" s="467" t="s">
        <v>1529</v>
      </c>
      <c r="I1905" s="467" t="s">
        <v>1530</v>
      </c>
      <c r="J1905" s="467" t="s">
        <v>1531</v>
      </c>
      <c r="K1905" s="469" t="str">
        <f>HYPERLINK("https://okcountyrecords.com/detail/roger+mills/2004-001426","OKCountyRecords: 2004-001426")</f>
        <v>OKCountyRecords: 2004-001426</v>
      </c>
      <c r="L1905" s="467" t="s">
        <v>613</v>
      </c>
      <c r="M1905" s="467" t="s">
        <v>1489</v>
      </c>
      <c r="N1905" s="470"/>
      <c r="O1905" s="471">
        <f t="shared" si="42"/>
        <v>440</v>
      </c>
      <c r="P1905" s="472" t="str">
        <f t="shared" si="43"/>
        <v/>
      </c>
      <c r="Q1905" s="472" t="str">
        <f t="shared" si="44"/>
        <v/>
      </c>
      <c r="R1905" s="473" t="str">
        <f t="shared" si="45"/>
        <v/>
      </c>
      <c r="S1905" s="467" t="str">
        <f t="shared" si="48"/>
        <v>Leasehold (non-mineral; excluded from mineral NMA). Gross=tract-map basis.</v>
      </c>
      <c r="T1905" s="489"/>
      <c r="U1905" s="490"/>
      <c r="V1905" s="450"/>
      <c r="W1905" s="450"/>
      <c r="X1905" s="450"/>
      <c r="Y1905" s="450"/>
      <c r="Z1905" s="450"/>
    </row>
    <row r="1906" spans="1:26" x14ac:dyDescent="0.25">
      <c r="A1906" s="467" t="s">
        <v>1533</v>
      </c>
      <c r="B1906" s="467">
        <v>24</v>
      </c>
      <c r="C1906" s="467" t="s">
        <v>202</v>
      </c>
      <c r="D1906" s="467" t="s">
        <v>252</v>
      </c>
      <c r="E1906" s="468">
        <v>38023</v>
      </c>
      <c r="F1906" s="468">
        <v>38049</v>
      </c>
      <c r="G1906" s="467" t="s">
        <v>1534</v>
      </c>
      <c r="H1906" s="467" t="s">
        <v>205</v>
      </c>
      <c r="I1906" s="467" t="s">
        <v>215</v>
      </c>
      <c r="J1906" s="467" t="s">
        <v>216</v>
      </c>
      <c r="K1906" s="469" t="str">
        <f>HYPERLINK("https://okcountyrecords.com/detail/roger+mills/2004-001053","OKCountyRecords: 2004-001053")</f>
        <v>OKCountyRecords: 2004-001053</v>
      </c>
      <c r="L1906" s="467">
        <v>2</v>
      </c>
      <c r="M1906" s="467" t="s">
        <v>1489</v>
      </c>
      <c r="N1906" s="470"/>
      <c r="O1906" s="471">
        <f t="shared" si="42"/>
        <v>160</v>
      </c>
      <c r="P1906" s="472" t="str">
        <f t="shared" si="43"/>
        <v/>
      </c>
      <c r="Q1906" s="472" t="str">
        <f t="shared" si="44"/>
        <v/>
      </c>
      <c r="R1906" s="473" t="str">
        <f t="shared" si="45"/>
        <v/>
      </c>
      <c r="S1906" s="467" t="str">
        <f t="shared" si="48"/>
        <v>Leasehold (non-mineral; excluded from mineral NMA). Gross=tract-map basis.</v>
      </c>
      <c r="T1906" s="489"/>
      <c r="U1906" s="490"/>
      <c r="V1906" s="450"/>
      <c r="W1906" s="450"/>
      <c r="X1906" s="450"/>
      <c r="Y1906" s="450"/>
      <c r="Z1906" s="450"/>
    </row>
    <row r="1907" spans="1:26" x14ac:dyDescent="0.25">
      <c r="A1907" s="467" t="s">
        <v>1535</v>
      </c>
      <c r="B1907" s="467">
        <v>25</v>
      </c>
      <c r="C1907" s="467" t="s">
        <v>202</v>
      </c>
      <c r="D1907" s="467" t="s">
        <v>229</v>
      </c>
      <c r="E1907" s="468">
        <v>38026</v>
      </c>
      <c r="F1907" s="468">
        <v>38027</v>
      </c>
      <c r="G1907" s="467" t="s">
        <v>1536</v>
      </c>
      <c r="H1907" s="467" t="s">
        <v>205</v>
      </c>
      <c r="I1907" s="467" t="s">
        <v>1537</v>
      </c>
      <c r="J1907" s="467" t="s">
        <v>8556</v>
      </c>
      <c r="K1907" s="469" t="str">
        <f>HYPERLINK("https://okcountyrecords.com/detail/roger+mills/2004-000679","OKCountyRecords: 2004-000679")</f>
        <v>OKCountyRecords: 2004-000679</v>
      </c>
      <c r="L1907" s="467" t="s">
        <v>1356</v>
      </c>
      <c r="M1907" s="467" t="s">
        <v>1489</v>
      </c>
      <c r="N1907" s="470"/>
      <c r="O1907" s="471">
        <f t="shared" si="42"/>
        <v>200</v>
      </c>
      <c r="P1907" s="472" t="str">
        <f t="shared" si="43"/>
        <v/>
      </c>
      <c r="Q1907" s="472" t="str">
        <f t="shared" si="44"/>
        <v/>
      </c>
      <c r="R1907" s="473" t="str">
        <f t="shared" si="45"/>
        <v/>
      </c>
      <c r="S1907" s="467" t="str">
        <f t="shared" si="48"/>
        <v>Leasehold (non-mineral; excluded from mineral NMA). Gross=tract-map basis.</v>
      </c>
      <c r="T1907" s="489"/>
      <c r="U1907" s="490"/>
      <c r="V1907" s="450"/>
      <c r="W1907" s="450"/>
      <c r="X1907" s="450"/>
      <c r="Y1907" s="450"/>
      <c r="Z1907" s="450"/>
    </row>
    <row r="1908" spans="1:26" x14ac:dyDescent="0.25">
      <c r="A1908" s="467" t="s">
        <v>1538</v>
      </c>
      <c r="B1908" s="467"/>
      <c r="C1908" s="467" t="s">
        <v>1456</v>
      </c>
      <c r="D1908" s="467" t="s">
        <v>1539</v>
      </c>
      <c r="E1908" s="468">
        <v>38029</v>
      </c>
      <c r="F1908" s="468">
        <v>38117</v>
      </c>
      <c r="G1908" s="467" t="s">
        <v>205</v>
      </c>
      <c r="H1908" s="467" t="s">
        <v>1540</v>
      </c>
      <c r="I1908" s="467" t="s">
        <v>1541</v>
      </c>
      <c r="J1908" s="467" t="s">
        <v>1542</v>
      </c>
      <c r="K1908" s="469" t="str">
        <f>HYPERLINK("https://okcountyrecords.com/detail/roger+mills/2004-002305","OKCountyRecords: 2004-002305")</f>
        <v>OKCountyRecords: 2004-002305</v>
      </c>
      <c r="L1908" s="467" t="s">
        <v>1543</v>
      </c>
      <c r="M1908" s="467" t="s">
        <v>1489</v>
      </c>
      <c r="N1908" s="476"/>
      <c r="O1908" s="471">
        <f t="shared" si="42"/>
        <v>560</v>
      </c>
      <c r="P1908" s="472" t="str">
        <f t="shared" si="43"/>
        <v/>
      </c>
      <c r="Q1908" s="472" t="str">
        <f t="shared" si="44"/>
        <v/>
      </c>
      <c r="R1908" s="473" t="str">
        <f t="shared" si="45"/>
        <v/>
      </c>
      <c r="S1908" s="467" t="str">
        <f t="shared" si="48"/>
        <v>Leasehold (non-mineral; excluded from mineral NMA). Gross=tract-map basis.</v>
      </c>
      <c r="T1908" s="489"/>
      <c r="U1908" s="490"/>
      <c r="V1908" s="450"/>
      <c r="W1908" s="450"/>
      <c r="X1908" s="450"/>
      <c r="Y1908" s="450"/>
      <c r="Z1908" s="450"/>
    </row>
    <row r="1909" spans="1:26" x14ac:dyDescent="0.25">
      <c r="A1909" s="467" t="s">
        <v>1544</v>
      </c>
      <c r="B1909" s="467"/>
      <c r="C1909" s="467" t="s">
        <v>202</v>
      </c>
      <c r="D1909" s="467" t="s">
        <v>235</v>
      </c>
      <c r="E1909" s="468">
        <v>38032</v>
      </c>
      <c r="F1909" s="468">
        <v>38040</v>
      </c>
      <c r="G1909" s="467" t="s">
        <v>1545</v>
      </c>
      <c r="H1909" s="467" t="s">
        <v>237</v>
      </c>
      <c r="I1909" s="467" t="s">
        <v>1537</v>
      </c>
      <c r="J1909" s="467" t="s">
        <v>239</v>
      </c>
      <c r="K1909" s="469" t="str">
        <f>HYPERLINK("https://okcountyrecords.com/detail/roger+mills/2004-000880","OKCountyRecords: 2004-000880")</f>
        <v>OKCountyRecords: 2004-000880</v>
      </c>
      <c r="L1909" s="467" t="s">
        <v>502</v>
      </c>
      <c r="M1909" s="467" t="s">
        <v>1489</v>
      </c>
      <c r="N1909" s="470"/>
      <c r="O1909" s="471">
        <f t="shared" si="42"/>
        <v>640</v>
      </c>
      <c r="P1909" s="472" t="str">
        <f t="shared" si="43"/>
        <v/>
      </c>
      <c r="Q1909" s="472" t="str">
        <f t="shared" si="44"/>
        <v/>
      </c>
      <c r="R1909" s="473" t="str">
        <f t="shared" si="45"/>
        <v/>
      </c>
      <c r="S1909" s="467" t="str">
        <f t="shared" si="48"/>
        <v>Leasehold (non-mineral; excluded from mineral NMA). All-section coverage. Gross=tract-map basis.</v>
      </c>
      <c r="T1909" s="489"/>
      <c r="U1909" s="490"/>
      <c r="V1909" s="450"/>
      <c r="W1909" s="450"/>
      <c r="X1909" s="450"/>
      <c r="Y1909" s="450"/>
      <c r="Z1909" s="450"/>
    </row>
    <row r="1910" spans="1:26" x14ac:dyDescent="0.25">
      <c r="A1910" s="467" t="s">
        <v>1547</v>
      </c>
      <c r="B1910" s="467"/>
      <c r="C1910" s="467" t="s">
        <v>1456</v>
      </c>
      <c r="D1910" s="467" t="s">
        <v>1548</v>
      </c>
      <c r="E1910" s="468">
        <v>38041</v>
      </c>
      <c r="F1910" s="468">
        <v>38168</v>
      </c>
      <c r="G1910" s="467" t="s">
        <v>1528</v>
      </c>
      <c r="H1910" s="467" t="s">
        <v>1549</v>
      </c>
      <c r="I1910" s="467" t="s">
        <v>1550</v>
      </c>
      <c r="J1910" s="467" t="s">
        <v>1551</v>
      </c>
      <c r="K1910" s="469" t="str">
        <f>HYPERLINK("https://okcountyrecords.com/detail/roger+mills/2004-003392","OKCountyRecords: 2004-003392")</f>
        <v>OKCountyRecords: 2004-003392</v>
      </c>
      <c r="L1910" s="467" t="s">
        <v>1356</v>
      </c>
      <c r="M1910" s="467" t="s">
        <v>1489</v>
      </c>
      <c r="N1910" s="470"/>
      <c r="O1910" s="471">
        <f t="shared" si="42"/>
        <v>200</v>
      </c>
      <c r="P1910" s="472" t="str">
        <f t="shared" si="43"/>
        <v/>
      </c>
      <c r="Q1910" s="472" t="str">
        <f t="shared" si="44"/>
        <v/>
      </c>
      <c r="R1910" s="473" t="str">
        <f t="shared" si="45"/>
        <v/>
      </c>
      <c r="S1910" s="467" t="str">
        <f t="shared" si="48"/>
        <v>Leasehold (non-mineral; excluded from mineral NMA). Gross=tract-map basis.</v>
      </c>
      <c r="T1910" s="489"/>
      <c r="U1910" s="490"/>
      <c r="V1910" s="450"/>
      <c r="W1910" s="450"/>
      <c r="X1910" s="450"/>
      <c r="Y1910" s="450"/>
      <c r="Z1910" s="450"/>
    </row>
    <row r="1911" spans="1:26" x14ac:dyDescent="0.25">
      <c r="A1911" s="467" t="s">
        <v>1552</v>
      </c>
      <c r="B1911" s="467"/>
      <c r="C1911" s="467" t="s">
        <v>1456</v>
      </c>
      <c r="D1911" s="467" t="s">
        <v>1553</v>
      </c>
      <c r="E1911" s="468">
        <v>38041</v>
      </c>
      <c r="F1911" s="468">
        <v>38071</v>
      </c>
      <c r="G1911" s="467" t="s">
        <v>1528</v>
      </c>
      <c r="H1911" s="467" t="s">
        <v>1554</v>
      </c>
      <c r="I1911" s="467" t="s">
        <v>222</v>
      </c>
      <c r="J1911" s="467" t="s">
        <v>1555</v>
      </c>
      <c r="K1911" s="469" t="str">
        <f>HYPERLINK("https://okcountyrecords.com/detail/roger+mills/2004-001493","OKCountyRecords: 2004-001493")</f>
        <v>OKCountyRecords: 2004-001493</v>
      </c>
      <c r="L1911" s="467" t="s">
        <v>625</v>
      </c>
      <c r="M1911" s="467" t="s">
        <v>1489</v>
      </c>
      <c r="N1911" s="476"/>
      <c r="O1911" s="471">
        <f t="shared" si="42"/>
        <v>280</v>
      </c>
      <c r="P1911" s="472" t="str">
        <f t="shared" si="43"/>
        <v/>
      </c>
      <c r="Q1911" s="472" t="str">
        <f t="shared" si="44"/>
        <v/>
      </c>
      <c r="R1911" s="473" t="str">
        <f t="shared" si="45"/>
        <v/>
      </c>
      <c r="S1911" s="467" t="str">
        <f t="shared" si="48"/>
        <v>Leasehold (non-mineral; excluded from mineral NMA). Gross=tract-map basis.</v>
      </c>
      <c r="T1911" s="489"/>
      <c r="U1911" s="490"/>
      <c r="V1911" s="450"/>
      <c r="W1911" s="450"/>
      <c r="X1911" s="450"/>
      <c r="Y1911" s="450"/>
      <c r="Z1911" s="450"/>
    </row>
    <row r="1912" spans="1:26" x14ac:dyDescent="0.25">
      <c r="A1912" s="467" t="s">
        <v>1556</v>
      </c>
      <c r="B1912" s="467"/>
      <c r="C1912" s="467" t="s">
        <v>1557</v>
      </c>
      <c r="D1912" s="467" t="s">
        <v>1558</v>
      </c>
      <c r="E1912" s="468">
        <v>38078</v>
      </c>
      <c r="F1912" s="468">
        <v>38084</v>
      </c>
      <c r="G1912" s="467" t="s">
        <v>342</v>
      </c>
      <c r="H1912" s="467" t="s">
        <v>1559</v>
      </c>
      <c r="I1912" s="467" t="s">
        <v>1256</v>
      </c>
      <c r="J1912" s="467" t="s">
        <v>1560</v>
      </c>
      <c r="K1912" s="469" t="str">
        <f>HYPERLINK("https://okcountyrecords.com/detail/roger+mills/2004-001735","OKCountyRecords: 2004-001735")</f>
        <v>OKCountyRecords: 2004-001735</v>
      </c>
      <c r="L1912" s="467" t="s">
        <v>625</v>
      </c>
      <c r="M1912" s="467" t="s">
        <v>404</v>
      </c>
      <c r="N1912" s="476">
        <f>2.30769/280</f>
        <v>8.2417500000000008E-3</v>
      </c>
      <c r="O1912" s="471">
        <f t="shared" si="42"/>
        <v>280</v>
      </c>
      <c r="P1912" s="472">
        <f t="shared" si="43"/>
        <v>8.2417500000000008E-3</v>
      </c>
      <c r="Q1912" s="472">
        <f t="shared" si="44"/>
        <v>-8.2417500000000008E-3</v>
      </c>
      <c r="R1912" s="473">
        <f t="shared" si="45"/>
        <v>2.30769</v>
      </c>
      <c r="S1912" s="467"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90" t="s">
        <v>641</v>
      </c>
      <c r="U1912" s="490" t="s">
        <v>1021</v>
      </c>
      <c r="V1912" s="450"/>
      <c r="W1912" s="450"/>
      <c r="X1912" s="450"/>
      <c r="Y1912" s="450"/>
      <c r="Z1912" s="450"/>
    </row>
    <row r="1913" spans="1:26" x14ac:dyDescent="0.25">
      <c r="A1913" s="467" t="s">
        <v>1561</v>
      </c>
      <c r="B1913" s="467"/>
      <c r="C1913" s="467" t="s">
        <v>1562</v>
      </c>
      <c r="D1913" s="467" t="s">
        <v>1563</v>
      </c>
      <c r="E1913" s="468">
        <v>38112</v>
      </c>
      <c r="F1913" s="468">
        <v>38121</v>
      </c>
      <c r="G1913" s="467" t="s">
        <v>1564</v>
      </c>
      <c r="H1913" s="467" t="s">
        <v>1565</v>
      </c>
      <c r="I1913" s="467" t="s">
        <v>1280</v>
      </c>
      <c r="J1913" s="467" t="s">
        <v>1566</v>
      </c>
      <c r="K1913" s="469" t="str">
        <f>HYPERLINK("https://okcountyrecords.com/detail/roger+mills/2004-002491","OKCountyRecords: 2004-002491")</f>
        <v>OKCountyRecords: 2004-002491</v>
      </c>
      <c r="L1913" s="467">
        <v>2</v>
      </c>
      <c r="M1913" s="467" t="s">
        <v>404</v>
      </c>
      <c r="N1913" s="470">
        <v>1</v>
      </c>
      <c r="O1913" s="471">
        <f t="shared" si="42"/>
        <v>160</v>
      </c>
      <c r="P1913" s="472">
        <f t="shared" si="43"/>
        <v>1</v>
      </c>
      <c r="Q1913" s="472">
        <f t="shared" si="44"/>
        <v>-1</v>
      </c>
      <c r="R1913" s="473">
        <f t="shared" si="45"/>
        <v>160</v>
      </c>
      <c r="S1913" s="467"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90" t="s">
        <v>641</v>
      </c>
      <c r="U1913" s="490" t="s">
        <v>1021</v>
      </c>
      <c r="V1913" s="450"/>
      <c r="W1913" s="450"/>
      <c r="X1913" s="450"/>
      <c r="Y1913" s="450"/>
      <c r="Z1913" s="450"/>
    </row>
    <row r="1914" spans="1:26" x14ac:dyDescent="0.25">
      <c r="A1914" s="467" t="s">
        <v>1567</v>
      </c>
      <c r="B1914" s="467"/>
      <c r="C1914" s="467" t="s">
        <v>1456</v>
      </c>
      <c r="D1914" s="467" t="s">
        <v>1568</v>
      </c>
      <c r="E1914" s="468">
        <v>38127</v>
      </c>
      <c r="F1914" s="468">
        <v>38145</v>
      </c>
      <c r="G1914" s="467" t="s">
        <v>1569</v>
      </c>
      <c r="H1914" s="467" t="s">
        <v>205</v>
      </c>
      <c r="I1914" s="467" t="s">
        <v>1570</v>
      </c>
      <c r="J1914" s="467" t="s">
        <v>1542</v>
      </c>
      <c r="K1914" s="469" t="str">
        <f>HYPERLINK("https://okcountyrecords.com/detail/roger+mills/2004-002933","OKCountyRecords: 2004-002933")</f>
        <v>OKCountyRecords: 2004-002933</v>
      </c>
      <c r="L1914" s="467" t="s">
        <v>635</v>
      </c>
      <c r="M1914" s="467" t="s">
        <v>1489</v>
      </c>
      <c r="N1914" s="476"/>
      <c r="O1914" s="471">
        <f t="shared" si="42"/>
        <v>480</v>
      </c>
      <c r="P1914" s="472" t="str">
        <f t="shared" si="43"/>
        <v/>
      </c>
      <c r="Q1914" s="472" t="str">
        <f t="shared" si="44"/>
        <v/>
      </c>
      <c r="R1914" s="473" t="str">
        <f t="shared" si="45"/>
        <v/>
      </c>
      <c r="S1914" s="467"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89"/>
      <c r="U1914" s="490"/>
      <c r="V1914" s="450"/>
      <c r="W1914" s="450"/>
      <c r="X1914" s="450"/>
      <c r="Y1914" s="450"/>
      <c r="Z1914" s="450"/>
    </row>
    <row r="1915" spans="1:26" x14ac:dyDescent="0.25">
      <c r="A1915" s="467" t="s">
        <v>1571</v>
      </c>
      <c r="B1915" s="467"/>
      <c r="C1915" s="467" t="s">
        <v>1456</v>
      </c>
      <c r="D1915" s="467" t="s">
        <v>1572</v>
      </c>
      <c r="E1915" s="468">
        <v>38139</v>
      </c>
      <c r="F1915" s="468">
        <v>38145</v>
      </c>
      <c r="G1915" s="467" t="s">
        <v>1528</v>
      </c>
      <c r="H1915" s="467" t="s">
        <v>1573</v>
      </c>
      <c r="I1915" s="467" t="s">
        <v>1570</v>
      </c>
      <c r="J1915" s="467" t="s">
        <v>1574</v>
      </c>
      <c r="K1915" s="469" t="str">
        <f>HYPERLINK("https://okcountyrecords.com/detail/roger+mills/2004-002934","OKCountyRecords: 2004-002934")</f>
        <v>OKCountyRecords: 2004-002934</v>
      </c>
      <c r="L1915" s="467" t="s">
        <v>635</v>
      </c>
      <c r="M1915" s="467" t="s">
        <v>1489</v>
      </c>
      <c r="N1915" s="476"/>
      <c r="O1915" s="471">
        <f t="shared" si="42"/>
        <v>480</v>
      </c>
      <c r="P1915" s="472" t="str">
        <f t="shared" si="43"/>
        <v/>
      </c>
      <c r="Q1915" s="472" t="str">
        <f t="shared" si="44"/>
        <v/>
      </c>
      <c r="R1915" s="473" t="str">
        <f t="shared" si="45"/>
        <v/>
      </c>
      <c r="S1915" s="467"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89"/>
      <c r="U1915" s="490"/>
      <c r="V1915" s="450"/>
      <c r="W1915" s="450"/>
      <c r="X1915" s="450"/>
      <c r="Y1915" s="450"/>
      <c r="Z1915" s="450"/>
    </row>
    <row r="1916" spans="1:26" x14ac:dyDescent="0.25">
      <c r="A1916" s="467" t="s">
        <v>1575</v>
      </c>
      <c r="B1916" s="467"/>
      <c r="C1916" s="467" t="s">
        <v>202</v>
      </c>
      <c r="D1916" s="467" t="s">
        <v>254</v>
      </c>
      <c r="E1916" s="468">
        <v>38251</v>
      </c>
      <c r="F1916" s="468">
        <v>38272</v>
      </c>
      <c r="G1916" s="467" t="s">
        <v>1576</v>
      </c>
      <c r="H1916" s="467" t="s">
        <v>205</v>
      </c>
      <c r="I1916" s="467" t="s">
        <v>215</v>
      </c>
      <c r="J1916" s="467" t="s">
        <v>216</v>
      </c>
      <c r="K1916" s="469" t="str">
        <f>HYPERLINK("https://okcountyrecords.com/detail/roger+mills/2004-005686","OKCountyRecords: 2004-005686")</f>
        <v>OKCountyRecords: 2004-005686</v>
      </c>
      <c r="L1916" s="467">
        <v>2</v>
      </c>
      <c r="M1916" s="467" t="s">
        <v>1489</v>
      </c>
      <c r="N1916" s="470"/>
      <c r="O1916" s="471">
        <f t="shared" si="42"/>
        <v>160</v>
      </c>
      <c r="P1916" s="472" t="str">
        <f t="shared" si="43"/>
        <v/>
      </c>
      <c r="Q1916" s="472" t="str">
        <f t="shared" si="44"/>
        <v/>
      </c>
      <c r="R1916" s="473" t="str">
        <f t="shared" si="45"/>
        <v/>
      </c>
      <c r="S1916" s="467"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89"/>
      <c r="U1916" s="490"/>
      <c r="V1916" s="450"/>
      <c r="W1916" s="450"/>
      <c r="X1916" s="450"/>
      <c r="Y1916" s="450"/>
      <c r="Z1916" s="450"/>
    </row>
    <row r="1917" spans="1:26" x14ac:dyDescent="0.25">
      <c r="A1917" s="467" t="s">
        <v>1577</v>
      </c>
      <c r="B1917" s="467"/>
      <c r="C1917" s="467" t="s">
        <v>202</v>
      </c>
      <c r="D1917" s="467" t="s">
        <v>256</v>
      </c>
      <c r="E1917" s="468">
        <v>38251</v>
      </c>
      <c r="F1917" s="468">
        <v>38272</v>
      </c>
      <c r="G1917" s="467" t="s">
        <v>1578</v>
      </c>
      <c r="H1917" s="467" t="s">
        <v>205</v>
      </c>
      <c r="I1917" s="467" t="s">
        <v>215</v>
      </c>
      <c r="J1917" s="467" t="s">
        <v>216</v>
      </c>
      <c r="K1917" s="469" t="str">
        <f>HYPERLINK("https://okcountyrecords.com/detail/roger+mills/2004-005687","OKCountyRecords: 2004-005687")</f>
        <v>OKCountyRecords: 2004-005687</v>
      </c>
      <c r="L1917" s="467">
        <v>2</v>
      </c>
      <c r="M1917" s="467" t="s">
        <v>1489</v>
      </c>
      <c r="N1917" s="470"/>
      <c r="O1917" s="471">
        <f t="shared" si="42"/>
        <v>160</v>
      </c>
      <c r="P1917" s="472" t="str">
        <f t="shared" si="43"/>
        <v/>
      </c>
      <c r="Q1917" s="472" t="str">
        <f t="shared" si="44"/>
        <v/>
      </c>
      <c r="R1917" s="473" t="str">
        <f t="shared" si="45"/>
        <v/>
      </c>
      <c r="S1917" s="467"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89"/>
      <c r="U1917" s="490"/>
      <c r="V1917" s="450"/>
      <c r="W1917" s="450"/>
      <c r="X1917" s="450"/>
      <c r="Y1917" s="450"/>
      <c r="Z1917" s="450"/>
    </row>
    <row r="1918" spans="1:26" x14ac:dyDescent="0.25">
      <c r="A1918" s="467" t="s">
        <v>1579</v>
      </c>
      <c r="B1918" s="467"/>
      <c r="C1918" s="467" t="s">
        <v>202</v>
      </c>
      <c r="D1918" s="467" t="s">
        <v>258</v>
      </c>
      <c r="E1918" s="468">
        <v>38251</v>
      </c>
      <c r="F1918" s="468">
        <v>38272</v>
      </c>
      <c r="G1918" s="467" t="s">
        <v>1580</v>
      </c>
      <c r="H1918" s="467" t="s">
        <v>205</v>
      </c>
      <c r="I1918" s="467" t="s">
        <v>215</v>
      </c>
      <c r="J1918" s="467" t="s">
        <v>216</v>
      </c>
      <c r="K1918" s="469" t="str">
        <f>HYPERLINK("https://okcountyrecords.com/detail/roger+mills/2004-005689","OKCountyRecords: 2004-005689")</f>
        <v>OKCountyRecords: 2004-005689</v>
      </c>
      <c r="L1918" s="467" t="s">
        <v>1581</v>
      </c>
      <c r="M1918" s="467" t="s">
        <v>1489</v>
      </c>
      <c r="N1918" s="470"/>
      <c r="O1918" s="471">
        <f t="shared" si="42"/>
        <v>280</v>
      </c>
      <c r="P1918" s="472" t="str">
        <f t="shared" si="43"/>
        <v/>
      </c>
      <c r="Q1918" s="472" t="str">
        <f t="shared" si="44"/>
        <v/>
      </c>
      <c r="R1918" s="473" t="str">
        <f t="shared" si="45"/>
        <v/>
      </c>
      <c r="S1918" s="467"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89"/>
      <c r="U1918" s="490"/>
      <c r="V1918" s="450"/>
      <c r="W1918" s="450"/>
      <c r="X1918" s="450"/>
      <c r="Y1918" s="450"/>
      <c r="Z1918" s="450"/>
    </row>
    <row r="1919" spans="1:26" x14ac:dyDescent="0.25">
      <c r="A1919" s="467" t="s">
        <v>1582</v>
      </c>
      <c r="B1919" s="467"/>
      <c r="C1919" s="467" t="s">
        <v>619</v>
      </c>
      <c r="D1919" s="467" t="s">
        <v>1583</v>
      </c>
      <c r="E1919" s="468">
        <v>38260</v>
      </c>
      <c r="F1919" s="468">
        <v>38274</v>
      </c>
      <c r="G1919" s="467" t="s">
        <v>1584</v>
      </c>
      <c r="H1919" s="467" t="s">
        <v>1585</v>
      </c>
      <c r="I1919" s="467" t="s">
        <v>1586</v>
      </c>
      <c r="J1919" s="467" t="s">
        <v>8557</v>
      </c>
      <c r="K1919" s="469" t="str">
        <f>HYPERLINK("https://okcountyrecords.com/detail/roger+mills/2004-005738","OKCountyRecords: 2004-005738")</f>
        <v>OKCountyRecords: 2004-005738</v>
      </c>
      <c r="L1919" s="467" t="s">
        <v>1587</v>
      </c>
      <c r="M1919" s="467" t="s">
        <v>404</v>
      </c>
      <c r="N1919" s="470">
        <f>10/280</f>
        <v>3.5714285714285712E-2</v>
      </c>
      <c r="O1919" s="471">
        <f t="shared" si="42"/>
        <v>280</v>
      </c>
      <c r="P1919" s="472">
        <f t="shared" si="43"/>
        <v>3.5714285714285712E-2</v>
      </c>
      <c r="Q1919" s="472">
        <f t="shared" si="44"/>
        <v>-3.5714285714285712E-2</v>
      </c>
      <c r="R1919" s="473">
        <f t="shared" si="45"/>
        <v>10</v>
      </c>
      <c r="S1919" s="467"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89" t="s">
        <v>641</v>
      </c>
      <c r="U1919" s="490" t="s">
        <v>1588</v>
      </c>
      <c r="V1919" s="450"/>
      <c r="W1919" s="450"/>
      <c r="X1919" s="450"/>
      <c r="Y1919" s="450"/>
      <c r="Z1919" s="450"/>
    </row>
    <row r="1920" spans="1:26" x14ac:dyDescent="0.25">
      <c r="A1920" s="467" t="s">
        <v>1589</v>
      </c>
      <c r="B1920" s="467"/>
      <c r="C1920" s="467" t="s">
        <v>1456</v>
      </c>
      <c r="D1920" s="467" t="s">
        <v>1590</v>
      </c>
      <c r="E1920" s="468">
        <v>38266</v>
      </c>
      <c r="F1920" s="468">
        <v>38272</v>
      </c>
      <c r="G1920" s="467" t="s">
        <v>205</v>
      </c>
      <c r="H1920" s="467" t="s">
        <v>775</v>
      </c>
      <c r="I1920" s="467" t="s">
        <v>215</v>
      </c>
      <c r="J1920" s="467" t="s">
        <v>1591</v>
      </c>
      <c r="K1920" s="469" t="str">
        <f>HYPERLINK("https://okcountyrecords.com/detail/roger+mills/2004-005692","OKCountyRecords: 2004-005692")</f>
        <v>OKCountyRecords: 2004-005692</v>
      </c>
      <c r="L1920" s="467">
        <v>2</v>
      </c>
      <c r="M1920" s="467" t="s">
        <v>1489</v>
      </c>
      <c r="N1920" s="470"/>
      <c r="O1920" s="471">
        <f t="shared" si="42"/>
        <v>160</v>
      </c>
      <c r="P1920" s="472" t="str">
        <f t="shared" si="43"/>
        <v/>
      </c>
      <c r="Q1920" s="472" t="str">
        <f t="shared" si="44"/>
        <v/>
      </c>
      <c r="R1920" s="473" t="str">
        <f t="shared" si="45"/>
        <v/>
      </c>
      <c r="S1920" s="467"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89"/>
      <c r="U1920" s="490"/>
      <c r="V1920" s="450"/>
      <c r="W1920" s="450"/>
      <c r="X1920" s="450"/>
      <c r="Y1920" s="450"/>
      <c r="Z1920" s="450"/>
    </row>
    <row r="1921" spans="1:26" x14ac:dyDescent="0.25">
      <c r="A1921" s="467" t="s">
        <v>1592</v>
      </c>
      <c r="B1921" s="467"/>
      <c r="C1921" s="467" t="s">
        <v>619</v>
      </c>
      <c r="D1921" s="467" t="s">
        <v>1593</v>
      </c>
      <c r="E1921" s="468">
        <v>38267</v>
      </c>
      <c r="F1921" s="468">
        <v>38274</v>
      </c>
      <c r="G1921" s="467" t="s">
        <v>1584</v>
      </c>
      <c r="H1921" s="467" t="s">
        <v>1585</v>
      </c>
      <c r="I1921" s="467" t="s">
        <v>1586</v>
      </c>
      <c r="J1921" s="467" t="s">
        <v>1601</v>
      </c>
      <c r="K1921" s="469" t="str">
        <f>HYPERLINK("https://okcountyrecords.com/detail/roger+mills/2004-005739","OKCountyRecords: 2004-005739")</f>
        <v>OKCountyRecords: 2004-005739</v>
      </c>
      <c r="L1921" s="467" t="s">
        <v>1587</v>
      </c>
      <c r="M1921" s="467" t="s">
        <v>404</v>
      </c>
      <c r="N1921" s="470">
        <f>5/280</f>
        <v>1.7857142857142856E-2</v>
      </c>
      <c r="O1921" s="471">
        <f t="shared" si="42"/>
        <v>280</v>
      </c>
      <c r="P1921" s="472">
        <f t="shared" si="43"/>
        <v>1.7857142857142856E-2</v>
      </c>
      <c r="Q1921" s="472">
        <f t="shared" si="44"/>
        <v>-1.7857142857142856E-2</v>
      </c>
      <c r="R1921" s="473">
        <f t="shared" si="45"/>
        <v>5</v>
      </c>
      <c r="S1921" s="467"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89" t="s">
        <v>641</v>
      </c>
      <c r="U1921" s="490" t="s">
        <v>1594</v>
      </c>
      <c r="V1921" s="450"/>
      <c r="W1921" s="450"/>
      <c r="X1921" s="450"/>
      <c r="Y1921" s="450"/>
      <c r="Z1921" s="450"/>
    </row>
    <row r="1922" spans="1:26" x14ac:dyDescent="0.25">
      <c r="A1922" s="467" t="s">
        <v>1595</v>
      </c>
      <c r="B1922" s="467"/>
      <c r="C1922" s="467" t="s">
        <v>619</v>
      </c>
      <c r="D1922" s="467" t="s">
        <v>1596</v>
      </c>
      <c r="E1922" s="468">
        <v>38275</v>
      </c>
      <c r="F1922" s="468">
        <v>38281</v>
      </c>
      <c r="G1922" s="467" t="s">
        <v>1597</v>
      </c>
      <c r="H1922" s="467" t="s">
        <v>1598</v>
      </c>
      <c r="I1922" s="467" t="s">
        <v>1256</v>
      </c>
      <c r="J1922" s="467" t="s">
        <v>63</v>
      </c>
      <c r="K1922" s="469" t="str">
        <f>HYPERLINK("https://okcountyrecords.com/detail/roger+mills/2004-005901","OKCountyRecords: 2004-005901")</f>
        <v>OKCountyRecords: 2004-005901</v>
      </c>
      <c r="L1922" s="467" t="s">
        <v>625</v>
      </c>
      <c r="M1922" s="467" t="s">
        <v>404</v>
      </c>
      <c r="N1922" s="476">
        <v>1</v>
      </c>
      <c r="O1922" s="471">
        <f t="shared" si="42"/>
        <v>280</v>
      </c>
      <c r="P1922" s="472">
        <f t="shared" si="43"/>
        <v>1</v>
      </c>
      <c r="Q1922" s="472">
        <f t="shared" si="44"/>
        <v>-1</v>
      </c>
      <c r="R1922" s="473">
        <f t="shared" si="45"/>
        <v>280</v>
      </c>
      <c r="S1922" s="467"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89"/>
      <c r="U1922" s="490"/>
      <c r="V1922" s="450"/>
      <c r="W1922" s="450"/>
      <c r="X1922" s="450"/>
      <c r="Y1922" s="450"/>
      <c r="Z1922" s="450"/>
    </row>
    <row r="1923" spans="1:26" x14ac:dyDescent="0.25">
      <c r="A1923" s="467" t="s">
        <v>1599</v>
      </c>
      <c r="B1923" s="467"/>
      <c r="C1923" s="467" t="s">
        <v>619</v>
      </c>
      <c r="D1923" s="467" t="s">
        <v>1600</v>
      </c>
      <c r="E1923" s="468">
        <v>38286</v>
      </c>
      <c r="F1923" s="468">
        <v>39748</v>
      </c>
      <c r="G1923" s="467" t="s">
        <v>1585</v>
      </c>
      <c r="H1923" s="467" t="s">
        <v>119</v>
      </c>
      <c r="I1923" s="467" t="s">
        <v>1586</v>
      </c>
      <c r="J1923" s="467" t="s">
        <v>1601</v>
      </c>
      <c r="K1923" s="469" t="str">
        <f>HYPERLINK("https://okcountyrecords.com/detail/roger+mills/2008-006536","OKCountyRecords: 2008-006536")</f>
        <v>OKCountyRecords: 2008-006536</v>
      </c>
      <c r="L1923" s="467" t="s">
        <v>1587</v>
      </c>
      <c r="M1923" s="467" t="s">
        <v>404</v>
      </c>
      <c r="N1923" s="470">
        <f>5/280</f>
        <v>1.7857142857142856E-2</v>
      </c>
      <c r="O1923" s="471">
        <f t="shared" si="42"/>
        <v>280</v>
      </c>
      <c r="P1923" s="472">
        <f t="shared" si="43"/>
        <v>1.7857142857142856E-2</v>
      </c>
      <c r="Q1923" s="472">
        <f t="shared" si="44"/>
        <v>-1.7857142857142856E-2</v>
      </c>
      <c r="R1923" s="473">
        <f t="shared" si="45"/>
        <v>5</v>
      </c>
      <c r="S1923" s="467"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89" t="s">
        <v>641</v>
      </c>
      <c r="U1923" s="490" t="s">
        <v>1594</v>
      </c>
      <c r="V1923" s="450"/>
      <c r="W1923" s="450"/>
      <c r="X1923" s="450"/>
      <c r="Y1923" s="450"/>
      <c r="Z1923" s="450"/>
    </row>
    <row r="1924" spans="1:26" x14ac:dyDescent="0.25">
      <c r="A1924" s="467" t="s">
        <v>1602</v>
      </c>
      <c r="B1924" s="467"/>
      <c r="C1924" s="467" t="s">
        <v>619</v>
      </c>
      <c r="D1924" s="467" t="s">
        <v>1603</v>
      </c>
      <c r="E1924" s="468">
        <v>38292</v>
      </c>
      <c r="F1924" s="468">
        <v>38308</v>
      </c>
      <c r="G1924" s="467" t="s">
        <v>1604</v>
      </c>
      <c r="H1924" s="467" t="s">
        <v>114</v>
      </c>
      <c r="I1924" s="467" t="s">
        <v>1605</v>
      </c>
      <c r="J1924" s="467" t="s">
        <v>63</v>
      </c>
      <c r="K1924" s="469" t="str">
        <f>HYPERLINK("https://okcountyrecords.com/detail/roger+mills/2004-006577","OKCountyRecords: 2004-006577")</f>
        <v>OKCountyRecords: 2004-006577</v>
      </c>
      <c r="L1924" s="467" t="s">
        <v>1356</v>
      </c>
      <c r="M1924" s="467" t="s">
        <v>404</v>
      </c>
      <c r="N1924" s="470">
        <v>1</v>
      </c>
      <c r="O1924" s="471">
        <f t="shared" si="42"/>
        <v>200</v>
      </c>
      <c r="P1924" s="472">
        <f t="shared" si="43"/>
        <v>1</v>
      </c>
      <c r="Q1924" s="472">
        <f t="shared" si="44"/>
        <v>-1</v>
      </c>
      <c r="R1924" s="473">
        <f t="shared" si="45"/>
        <v>200</v>
      </c>
      <c r="S1924" s="467"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89"/>
      <c r="U1924" s="490"/>
      <c r="V1924" s="450"/>
      <c r="W1924" s="450"/>
      <c r="X1924" s="450"/>
      <c r="Y1924" s="450"/>
      <c r="Z1924" s="450"/>
    </row>
    <row r="1925" spans="1:26" x14ac:dyDescent="0.25">
      <c r="A1925" s="467" t="s">
        <v>1606</v>
      </c>
      <c r="B1925" s="467"/>
      <c r="C1925" s="467" t="s">
        <v>1607</v>
      </c>
      <c r="D1925" s="467" t="s">
        <v>1608</v>
      </c>
      <c r="E1925" s="468">
        <v>38338</v>
      </c>
      <c r="F1925" s="468">
        <v>38376</v>
      </c>
      <c r="G1925" s="467" t="s">
        <v>1609</v>
      </c>
      <c r="H1925" s="467" t="s">
        <v>1610</v>
      </c>
      <c r="I1925" s="467" t="s">
        <v>1611</v>
      </c>
      <c r="J1925" s="467" t="s">
        <v>63</v>
      </c>
      <c r="K1925" s="469" t="str">
        <f>HYPERLINK("https://okcountyrecords.com/detail/roger+mills/2005-000347","OKCountyRecords: 2005-000347")</f>
        <v>OKCountyRecords: 2005-000347</v>
      </c>
      <c r="L1925" s="467" t="s">
        <v>1581</v>
      </c>
      <c r="M1925" s="467" t="s">
        <v>404</v>
      </c>
      <c r="N1925" s="470">
        <v>1</v>
      </c>
      <c r="O1925" s="471">
        <f t="shared" si="42"/>
        <v>280</v>
      </c>
      <c r="P1925" s="472">
        <f t="shared" si="43"/>
        <v>1</v>
      </c>
      <c r="Q1925" s="472">
        <f t="shared" si="44"/>
        <v>-1</v>
      </c>
      <c r="R1925" s="473">
        <f t="shared" si="45"/>
        <v>280</v>
      </c>
      <c r="S1925" s="467" t="str">
        <f t="shared" si="49"/>
        <v>Mineral; basis Conv Amt(dec). Gross=tract-map basis.</v>
      </c>
      <c r="T1925" s="490"/>
      <c r="U1925" s="490"/>
      <c r="V1925" s="450"/>
      <c r="W1925" s="450"/>
      <c r="X1925" s="450"/>
      <c r="Y1925" s="450"/>
      <c r="Z1925" s="450"/>
    </row>
    <row r="1926" spans="1:26" x14ac:dyDescent="0.25">
      <c r="A1926" s="467" t="s">
        <v>1612</v>
      </c>
      <c r="B1926" s="467"/>
      <c r="C1926" s="467" t="s">
        <v>619</v>
      </c>
      <c r="D1926" s="467" t="s">
        <v>1613</v>
      </c>
      <c r="E1926" s="468">
        <v>38362</v>
      </c>
      <c r="F1926" s="468">
        <v>38365</v>
      </c>
      <c r="G1926" s="467" t="s">
        <v>1614</v>
      </c>
      <c r="H1926" s="467" t="s">
        <v>1615</v>
      </c>
      <c r="I1926" s="467" t="s">
        <v>1256</v>
      </c>
      <c r="J1926" s="467" t="s">
        <v>1616</v>
      </c>
      <c r="K1926" s="469" t="str">
        <f>HYPERLINK("https://okcountyrecords.com/detail/roger+mills/2005-000158","OKCountyRecords: 2005-000158")</f>
        <v>OKCountyRecords: 2005-000158</v>
      </c>
      <c r="L1926" s="467" t="s">
        <v>625</v>
      </c>
      <c r="M1926" s="467" t="s">
        <v>404</v>
      </c>
      <c r="N1926" s="476">
        <v>1</v>
      </c>
      <c r="O1926" s="471">
        <f t="shared" si="42"/>
        <v>280</v>
      </c>
      <c r="P1926" s="472">
        <f t="shared" si="43"/>
        <v>1</v>
      </c>
      <c r="Q1926" s="472">
        <f t="shared" si="44"/>
        <v>-1</v>
      </c>
      <c r="R1926" s="473">
        <f t="shared" si="45"/>
        <v>280</v>
      </c>
      <c r="S1926" s="467" t="str">
        <f t="shared" si="49"/>
        <v>Mineral; basis Conv Amt(dec). Gross=tract-map basis.</v>
      </c>
      <c r="T1926" s="490"/>
      <c r="U1926" s="490"/>
      <c r="V1926" s="450"/>
      <c r="W1926" s="450"/>
      <c r="X1926" s="450"/>
      <c r="Y1926" s="450"/>
      <c r="Z1926" s="450"/>
    </row>
    <row r="1927" spans="1:26" x14ac:dyDescent="0.25">
      <c r="A1927" s="467" t="s">
        <v>1617</v>
      </c>
      <c r="B1927" s="467"/>
      <c r="C1927" s="467" t="s">
        <v>202</v>
      </c>
      <c r="D1927" s="467" t="s">
        <v>240</v>
      </c>
      <c r="E1927" s="468">
        <v>38407</v>
      </c>
      <c r="F1927" s="468">
        <v>38420</v>
      </c>
      <c r="G1927" s="467" t="s">
        <v>1618</v>
      </c>
      <c r="H1927" s="467" t="s">
        <v>1619</v>
      </c>
      <c r="I1927" s="467" t="s">
        <v>215</v>
      </c>
      <c r="J1927" s="467" t="s">
        <v>243</v>
      </c>
      <c r="K1927" s="469" t="str">
        <f>HYPERLINK("https://okcountyrecords.com/detail/roger+mills/2005-001365","OKCountyRecords: 2005-001365")</f>
        <v>OKCountyRecords: 2005-001365</v>
      </c>
      <c r="L1927" s="467">
        <v>2</v>
      </c>
      <c r="M1927" s="467" t="s">
        <v>1489</v>
      </c>
      <c r="N1927" s="470"/>
      <c r="O1927" s="471">
        <f t="shared" si="42"/>
        <v>160</v>
      </c>
      <c r="P1927" s="472" t="str">
        <f t="shared" si="43"/>
        <v/>
      </c>
      <c r="Q1927" s="472" t="str">
        <f t="shared" si="44"/>
        <v/>
      </c>
      <c r="R1927" s="473" t="str">
        <f t="shared" si="45"/>
        <v/>
      </c>
      <c r="S1927" s="467" t="str">
        <f t="shared" si="49"/>
        <v>Leasehold (non-mineral; excluded from mineral NMA). Gross=tract-map basis.</v>
      </c>
      <c r="T1927" s="489"/>
      <c r="U1927" s="490"/>
      <c r="V1927" s="450"/>
      <c r="W1927" s="450"/>
      <c r="X1927" s="450"/>
      <c r="Y1927" s="450"/>
      <c r="Z1927" s="450"/>
    </row>
    <row r="1928" spans="1:26" x14ac:dyDescent="0.25">
      <c r="A1928" s="467" t="s">
        <v>1621</v>
      </c>
      <c r="B1928" s="467"/>
      <c r="C1928" s="467" t="s">
        <v>202</v>
      </c>
      <c r="D1928" s="467" t="s">
        <v>245</v>
      </c>
      <c r="E1928" s="468">
        <v>38408</v>
      </c>
      <c r="F1928" s="468">
        <v>38432</v>
      </c>
      <c r="G1928" s="467" t="s">
        <v>1622</v>
      </c>
      <c r="H1928" s="467" t="s">
        <v>1619</v>
      </c>
      <c r="I1928" s="467" t="s">
        <v>215</v>
      </c>
      <c r="J1928" s="467" t="s">
        <v>243</v>
      </c>
      <c r="K1928" s="469" t="str">
        <f>HYPERLINK("https://okcountyrecords.com/detail/roger+mills/2005-001688","OKCountyRecords: 2005-001688")</f>
        <v>OKCountyRecords: 2005-001688</v>
      </c>
      <c r="L1928" s="467">
        <v>2</v>
      </c>
      <c r="M1928" s="467" t="s">
        <v>1489</v>
      </c>
      <c r="N1928" s="470"/>
      <c r="O1928" s="471">
        <f t="shared" si="42"/>
        <v>160</v>
      </c>
      <c r="P1928" s="472" t="str">
        <f t="shared" si="43"/>
        <v/>
      </c>
      <c r="Q1928" s="472" t="str">
        <f t="shared" si="44"/>
        <v/>
      </c>
      <c r="R1928" s="473" t="str">
        <f t="shared" si="45"/>
        <v/>
      </c>
      <c r="S1928" s="467" t="str">
        <f t="shared" si="49"/>
        <v>Leasehold (non-mineral; excluded from mineral NMA). Gross=tract-map basis.</v>
      </c>
      <c r="T1928" s="489"/>
      <c r="U1928" s="490"/>
      <c r="V1928" s="450"/>
      <c r="W1928" s="450"/>
      <c r="X1928" s="450"/>
      <c r="Y1928" s="450"/>
      <c r="Z1928" s="450"/>
    </row>
    <row r="1929" spans="1:26" x14ac:dyDescent="0.25">
      <c r="A1929" s="467" t="s">
        <v>1623</v>
      </c>
      <c r="B1929" s="467"/>
      <c r="C1929" s="467" t="s">
        <v>202</v>
      </c>
      <c r="D1929" s="467" t="s">
        <v>250</v>
      </c>
      <c r="E1929" s="468">
        <v>38412</v>
      </c>
      <c r="F1929" s="468">
        <v>38432</v>
      </c>
      <c r="G1929" s="467" t="s">
        <v>1624</v>
      </c>
      <c r="H1929" s="467" t="s">
        <v>1619</v>
      </c>
      <c r="I1929" s="467" t="s">
        <v>215</v>
      </c>
      <c r="J1929" s="467" t="s">
        <v>243</v>
      </c>
      <c r="K1929" s="469" t="str">
        <f>HYPERLINK("https://okcountyrecords.com/detail/roger+mills/2005-001690","OKCountyRecords: 2005-001690")</f>
        <v>OKCountyRecords: 2005-001690</v>
      </c>
      <c r="L1929" s="467">
        <v>2</v>
      </c>
      <c r="M1929" s="467" t="s">
        <v>1489</v>
      </c>
      <c r="N1929" s="470"/>
      <c r="O1929" s="471">
        <f t="shared" si="42"/>
        <v>160</v>
      </c>
      <c r="P1929" s="472" t="str">
        <f t="shared" si="43"/>
        <v/>
      </c>
      <c r="Q1929" s="472" t="str">
        <f t="shared" si="44"/>
        <v/>
      </c>
      <c r="R1929" s="473" t="str">
        <f t="shared" si="45"/>
        <v/>
      </c>
      <c r="S1929" s="467" t="str">
        <f t="shared" si="49"/>
        <v>Leasehold (non-mineral; excluded from mineral NMA). Gross=tract-map basis.</v>
      </c>
      <c r="T1929" s="489"/>
      <c r="U1929" s="490"/>
      <c r="V1929" s="450"/>
      <c r="W1929" s="450"/>
      <c r="X1929" s="450"/>
      <c r="Y1929" s="450"/>
      <c r="Z1929" s="450"/>
    </row>
    <row r="1930" spans="1:26" x14ac:dyDescent="0.25">
      <c r="A1930" s="467" t="s">
        <v>1625</v>
      </c>
      <c r="B1930" s="467"/>
      <c r="C1930" s="467" t="s">
        <v>202</v>
      </c>
      <c r="D1930" s="467" t="s">
        <v>247</v>
      </c>
      <c r="E1930" s="468">
        <v>38412</v>
      </c>
      <c r="F1930" s="468">
        <v>38426</v>
      </c>
      <c r="G1930" s="467" t="s">
        <v>1626</v>
      </c>
      <c r="H1930" s="467" t="s">
        <v>1619</v>
      </c>
      <c r="I1930" s="467" t="s">
        <v>215</v>
      </c>
      <c r="J1930" s="467" t="s">
        <v>249</v>
      </c>
      <c r="K1930" s="469" t="str">
        <f>HYPERLINK("https://okcountyrecords.com/detail/roger+mills/2005-001515","OKCountyRecords: 2005-001515")</f>
        <v>OKCountyRecords: 2005-001515</v>
      </c>
      <c r="L1930" s="467">
        <v>2</v>
      </c>
      <c r="M1930" s="467" t="s">
        <v>1489</v>
      </c>
      <c r="N1930" s="470"/>
      <c r="O1930" s="471">
        <f t="shared" ref="O1930:O1993" si="50">IF($L1930="","",IF(ISNUMBER(SEARCH("all",$L1930)),640,(ISNUMBER(SEARCH("1",$L1930)))*80+(ISNUMBER(SEARCH("2",$L1930)))*160+(ISNUMBER(SEARCH("3",$L1930)))*40+(ISNUMBER(SEARCH("4",$L1930)))*80+(ISNUMBER(SEARCH("5",$L1930)))*120+(ISNUMBER(SEARCH("6",$L1930)))*80+(ISNUMBER(SEARCH("7",$L1930)))*40+(ISNUMBER(SEARCH("8",$L1930)))*40))</f>
        <v>160</v>
      </c>
      <c r="P1930" s="472" t="str">
        <f t="shared" ref="P1930:P1993" si="51">IF($M1930&lt;&gt;"Mineral","",IF(ISNUMBER($N1930),$N1930,IF(OR(ISNUMBER(SEARCH("surface",$J1930)),ISNUMBER(SEARCH("reserv",$J1930)),ISNUMBER(SEARCH("less and except",$J1930))),0,"")))</f>
        <v/>
      </c>
      <c r="Q1930" s="472" t="str">
        <f t="shared" ref="Q1930:Q1993" si="52">IF($P1930="","",-$P1930)</f>
        <v/>
      </c>
      <c r="R1930" s="473" t="str">
        <f t="shared" ref="R1930:R1993" si="53">IF($P1930="","",$O1930*$P1930)</f>
        <v/>
      </c>
      <c r="S1930" s="467" t="str">
        <f t="shared" si="49"/>
        <v>Leasehold (non-mineral; excluded from mineral NMA). Gross=tract-map basis.</v>
      </c>
      <c r="T1930" s="489"/>
      <c r="U1930" s="490"/>
      <c r="V1930" s="450"/>
      <c r="W1930" s="450"/>
      <c r="X1930" s="450"/>
      <c r="Y1930" s="450"/>
      <c r="Z1930" s="450"/>
    </row>
    <row r="1931" spans="1:26" x14ac:dyDescent="0.25">
      <c r="A1931" s="467" t="s">
        <v>1627</v>
      </c>
      <c r="B1931" s="467"/>
      <c r="C1931" s="467" t="s">
        <v>202</v>
      </c>
      <c r="D1931" s="467" t="s">
        <v>260</v>
      </c>
      <c r="E1931" s="468">
        <v>38419</v>
      </c>
      <c r="F1931" s="468">
        <v>38457</v>
      </c>
      <c r="G1931" s="467" t="s">
        <v>1628</v>
      </c>
      <c r="H1931" s="467" t="s">
        <v>262</v>
      </c>
      <c r="I1931" s="467" t="s">
        <v>263</v>
      </c>
      <c r="J1931" s="467" t="s">
        <v>264</v>
      </c>
      <c r="K1931" s="469" t="str">
        <f>HYPERLINK("https://okcountyrecords.com/detail/roger+mills/2005-002326","OKCountyRecords: 2005-002326")</f>
        <v>OKCountyRecords: 2005-002326</v>
      </c>
      <c r="L1931" s="467">
        <v>5</v>
      </c>
      <c r="M1931" s="467" t="s">
        <v>1489</v>
      </c>
      <c r="N1931" s="470"/>
      <c r="O1931" s="471">
        <f t="shared" si="50"/>
        <v>120</v>
      </c>
      <c r="P1931" s="472" t="str">
        <f t="shared" si="51"/>
        <v/>
      </c>
      <c r="Q1931" s="472" t="str">
        <f t="shared" si="52"/>
        <v/>
      </c>
      <c r="R1931" s="473" t="str">
        <f t="shared" si="53"/>
        <v/>
      </c>
      <c r="S1931" s="467" t="str">
        <f t="shared" si="49"/>
        <v>Leasehold (non-mineral; excluded from mineral NMA). Gross=tract-map basis.</v>
      </c>
      <c r="T1931" s="489"/>
      <c r="U1931" s="490"/>
      <c r="V1931" s="450"/>
      <c r="W1931" s="450"/>
      <c r="X1931" s="450"/>
      <c r="Y1931" s="450"/>
      <c r="Z1931" s="450"/>
    </row>
    <row r="1932" spans="1:26" x14ac:dyDescent="0.25">
      <c r="A1932" s="467" t="s">
        <v>1629</v>
      </c>
      <c r="B1932" s="467"/>
      <c r="C1932" s="467" t="s">
        <v>202</v>
      </c>
      <c r="D1932" s="467" t="s">
        <v>265</v>
      </c>
      <c r="E1932" s="468">
        <v>38419</v>
      </c>
      <c r="F1932" s="468">
        <v>38457</v>
      </c>
      <c r="G1932" s="467" t="s">
        <v>1630</v>
      </c>
      <c r="H1932" s="467" t="s">
        <v>262</v>
      </c>
      <c r="I1932" s="467" t="s">
        <v>263</v>
      </c>
      <c r="J1932" s="467" t="s">
        <v>264</v>
      </c>
      <c r="K1932" s="469" t="str">
        <f>HYPERLINK("https://okcountyrecords.com/detail/roger+mills/2005-002328","OKCountyRecords: 2005-002328")</f>
        <v>OKCountyRecords: 2005-002328</v>
      </c>
      <c r="L1932" s="467">
        <v>5</v>
      </c>
      <c r="M1932" s="467" t="s">
        <v>1489</v>
      </c>
      <c r="N1932" s="470"/>
      <c r="O1932" s="471">
        <f t="shared" si="50"/>
        <v>120</v>
      </c>
      <c r="P1932" s="472" t="str">
        <f t="shared" si="51"/>
        <v/>
      </c>
      <c r="Q1932" s="472" t="str">
        <f t="shared" si="52"/>
        <v/>
      </c>
      <c r="R1932" s="473" t="str">
        <f t="shared" si="53"/>
        <v/>
      </c>
      <c r="S1932" s="467" t="str">
        <f t="shared" si="49"/>
        <v>Leasehold (non-mineral; excluded from mineral NMA). Gross=tract-map basis.</v>
      </c>
      <c r="T1932" s="489"/>
      <c r="U1932" s="490"/>
      <c r="V1932" s="450"/>
      <c r="W1932" s="450"/>
      <c r="X1932" s="450"/>
      <c r="Y1932" s="450"/>
      <c r="Z1932" s="450"/>
    </row>
    <row r="1933" spans="1:26" x14ac:dyDescent="0.25">
      <c r="A1933" s="467" t="s">
        <v>1631</v>
      </c>
      <c r="B1933" s="467"/>
      <c r="C1933" s="467" t="s">
        <v>202</v>
      </c>
      <c r="D1933" s="467" t="s">
        <v>267</v>
      </c>
      <c r="E1933" s="468">
        <v>38420</v>
      </c>
      <c r="F1933" s="468">
        <v>38457</v>
      </c>
      <c r="G1933" s="467" t="s">
        <v>1632</v>
      </c>
      <c r="H1933" s="467" t="s">
        <v>262</v>
      </c>
      <c r="I1933" s="467" t="s">
        <v>1633</v>
      </c>
      <c r="J1933" s="467" t="s">
        <v>270</v>
      </c>
      <c r="K1933" s="469" t="str">
        <f>HYPERLINK("https://okcountyrecords.com/detail/roger+mills/2005-002327","OKCountyRecords: 2005-002327")</f>
        <v>OKCountyRecords: 2005-002327</v>
      </c>
      <c r="L1933" s="467" t="s">
        <v>613</v>
      </c>
      <c r="M1933" s="467" t="s">
        <v>1489</v>
      </c>
      <c r="N1933" s="470"/>
      <c r="O1933" s="471">
        <f t="shared" si="50"/>
        <v>440</v>
      </c>
      <c r="P1933" s="472" t="str">
        <f t="shared" si="51"/>
        <v/>
      </c>
      <c r="Q1933" s="472" t="str">
        <f t="shared" si="52"/>
        <v/>
      </c>
      <c r="R1933" s="473" t="str">
        <f t="shared" si="53"/>
        <v/>
      </c>
      <c r="S1933" s="467" t="str">
        <f t="shared" si="49"/>
        <v>Leasehold (non-mineral; excluded from mineral NMA). Gross=tract-map basis.</v>
      </c>
      <c r="T1933" s="489"/>
      <c r="U1933" s="490"/>
      <c r="V1933" s="450"/>
      <c r="W1933" s="450"/>
      <c r="X1933" s="450"/>
      <c r="Y1933" s="450"/>
      <c r="Z1933" s="450"/>
    </row>
    <row r="1934" spans="1:26" x14ac:dyDescent="0.25">
      <c r="A1934" s="467" t="s">
        <v>1634</v>
      </c>
      <c r="B1934" s="467"/>
      <c r="C1934" s="467" t="s">
        <v>1635</v>
      </c>
      <c r="D1934" s="467" t="s">
        <v>1636</v>
      </c>
      <c r="E1934" s="468">
        <v>38427</v>
      </c>
      <c r="F1934" s="468">
        <v>38440</v>
      </c>
      <c r="G1934" s="467" t="s">
        <v>1036</v>
      </c>
      <c r="H1934" s="467" t="s">
        <v>1637</v>
      </c>
      <c r="I1934" s="467" t="s">
        <v>1638</v>
      </c>
      <c r="J1934" s="467" t="s">
        <v>63</v>
      </c>
      <c r="K1934" s="469" t="str">
        <f>HYPERLINK("https://okcountyrecords.com/detail/roger+mills/2005-001839","OKCountyRecords: 2005-001839")</f>
        <v>OKCountyRecords: 2005-001839</v>
      </c>
      <c r="L1934" s="467">
        <v>2</v>
      </c>
      <c r="M1934" s="467" t="s">
        <v>404</v>
      </c>
      <c r="N1934" s="470">
        <v>1</v>
      </c>
      <c r="O1934" s="471">
        <f t="shared" si="50"/>
        <v>160</v>
      </c>
      <c r="P1934" s="472">
        <f t="shared" si="51"/>
        <v>1</v>
      </c>
      <c r="Q1934" s="472">
        <f t="shared" si="52"/>
        <v>-1</v>
      </c>
      <c r="R1934" s="473">
        <f t="shared" si="53"/>
        <v>160</v>
      </c>
      <c r="S1934" s="467"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89" t="s">
        <v>641</v>
      </c>
      <c r="U1934" s="490" t="s">
        <v>1021</v>
      </c>
      <c r="V1934" s="450"/>
      <c r="W1934" s="450"/>
      <c r="X1934" s="450"/>
      <c r="Y1934" s="450"/>
      <c r="Z1934" s="450"/>
    </row>
    <row r="1935" spans="1:26" x14ac:dyDescent="0.25">
      <c r="A1935" s="467" t="s">
        <v>1639</v>
      </c>
      <c r="B1935" s="467"/>
      <c r="C1935" s="467" t="s">
        <v>202</v>
      </c>
      <c r="D1935" s="467" t="s">
        <v>271</v>
      </c>
      <c r="E1935" s="468">
        <v>38436</v>
      </c>
      <c r="F1935" s="468">
        <v>38464</v>
      </c>
      <c r="G1935" s="467" t="s">
        <v>1640</v>
      </c>
      <c r="H1935" s="467" t="s">
        <v>1619</v>
      </c>
      <c r="I1935" s="467" t="s">
        <v>222</v>
      </c>
      <c r="J1935" s="467" t="s">
        <v>223</v>
      </c>
      <c r="K1935" s="469" t="str">
        <f>HYPERLINK("https://okcountyrecords.com/detail/roger+mills/2005-002646","OKCountyRecords: 2005-002646")</f>
        <v>OKCountyRecords: 2005-002646</v>
      </c>
      <c r="L1935" s="467" t="s">
        <v>625</v>
      </c>
      <c r="M1935" s="467" t="s">
        <v>1489</v>
      </c>
      <c r="N1935" s="476"/>
      <c r="O1935" s="471">
        <f t="shared" si="50"/>
        <v>280</v>
      </c>
      <c r="P1935" s="472" t="str">
        <f t="shared" si="51"/>
        <v/>
      </c>
      <c r="Q1935" s="472" t="str">
        <f t="shared" si="52"/>
        <v/>
      </c>
      <c r="R1935" s="473" t="str">
        <f t="shared" si="53"/>
        <v/>
      </c>
      <c r="S1935" s="467"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89"/>
      <c r="U1935" s="490"/>
      <c r="V1935" s="450"/>
      <c r="W1935" s="450"/>
      <c r="X1935" s="450"/>
      <c r="Y1935" s="450"/>
      <c r="Z1935" s="450"/>
    </row>
    <row r="1936" spans="1:26" x14ac:dyDescent="0.25">
      <c r="A1936" s="467" t="s">
        <v>1641</v>
      </c>
      <c r="B1936" s="467"/>
      <c r="C1936" s="467" t="s">
        <v>1642</v>
      </c>
      <c r="D1936" s="467" t="s">
        <v>303</v>
      </c>
      <c r="E1936" s="468">
        <v>38441</v>
      </c>
      <c r="F1936" s="468">
        <v>38511</v>
      </c>
      <c r="G1936" s="467" t="s">
        <v>1643</v>
      </c>
      <c r="H1936" s="467" t="s">
        <v>262</v>
      </c>
      <c r="I1936" s="467" t="s">
        <v>263</v>
      </c>
      <c r="J1936" s="467" t="s">
        <v>302</v>
      </c>
      <c r="K1936" s="469" t="str">
        <f>HYPERLINK("https://okcountyrecords.com/detail/roger+mills/2005-003940","OKCountyRecords: 2005-003940")</f>
        <v>OKCountyRecords: 2005-003940</v>
      </c>
      <c r="L1936" s="467">
        <v>5</v>
      </c>
      <c r="M1936" s="467" t="s">
        <v>1489</v>
      </c>
      <c r="N1936" s="470"/>
      <c r="O1936" s="471">
        <f t="shared" si="50"/>
        <v>120</v>
      </c>
      <c r="P1936" s="472" t="str">
        <f t="shared" si="51"/>
        <v/>
      </c>
      <c r="Q1936" s="472" t="str">
        <f t="shared" si="52"/>
        <v/>
      </c>
      <c r="R1936" s="473" t="str">
        <f t="shared" si="53"/>
        <v/>
      </c>
      <c r="S1936" s="467" t="str">
        <f t="shared" si="54"/>
        <v>Leasehold (non-mineral; excluded from mineral NMA). Gross=tract-map basis.</v>
      </c>
      <c r="T1936" s="489"/>
      <c r="U1936" s="490"/>
      <c r="V1936" s="450"/>
      <c r="W1936" s="450"/>
      <c r="X1936" s="450"/>
      <c r="Y1936" s="450"/>
      <c r="Z1936" s="450"/>
    </row>
    <row r="1937" spans="1:26" x14ac:dyDescent="0.25">
      <c r="A1937" s="467" t="s">
        <v>1644</v>
      </c>
      <c r="B1937" s="467">
        <v>26</v>
      </c>
      <c r="C1937" s="467" t="s">
        <v>202</v>
      </c>
      <c r="D1937" s="467" t="s">
        <v>298</v>
      </c>
      <c r="E1937" s="468">
        <v>38441</v>
      </c>
      <c r="F1937" s="468">
        <v>38504</v>
      </c>
      <c r="G1937" s="467" t="s">
        <v>1645</v>
      </c>
      <c r="H1937" s="467" t="s">
        <v>262</v>
      </c>
      <c r="I1937" s="467" t="s">
        <v>263</v>
      </c>
      <c r="J1937" s="467" t="s">
        <v>264</v>
      </c>
      <c r="K1937" s="469" t="str">
        <f>HYPERLINK("https://okcountyrecords.com/detail/roger+mills/2005-003756","OKCountyRecords: 2005-003756")</f>
        <v>OKCountyRecords: 2005-003756</v>
      </c>
      <c r="L1937" s="467">
        <v>5</v>
      </c>
      <c r="M1937" s="467" t="s">
        <v>1489</v>
      </c>
      <c r="N1937" s="470"/>
      <c r="O1937" s="471">
        <f t="shared" si="50"/>
        <v>120</v>
      </c>
      <c r="P1937" s="472" t="str">
        <f t="shared" si="51"/>
        <v/>
      </c>
      <c r="Q1937" s="472" t="str">
        <f t="shared" si="52"/>
        <v/>
      </c>
      <c r="R1937" s="473" t="str">
        <f t="shared" si="53"/>
        <v/>
      </c>
      <c r="S1937" s="467" t="str">
        <f t="shared" si="54"/>
        <v>Leasehold (non-mineral; excluded from mineral NMA). Gross=tract-map basis.</v>
      </c>
      <c r="T1937" s="489"/>
      <c r="U1937" s="490"/>
      <c r="V1937" s="450"/>
      <c r="W1937" s="450"/>
      <c r="X1937" s="450"/>
      <c r="Y1937" s="450"/>
      <c r="Z1937" s="450"/>
    </row>
    <row r="1938" spans="1:26" x14ac:dyDescent="0.25">
      <c r="A1938" s="467" t="s">
        <v>1646</v>
      </c>
      <c r="B1938" s="467"/>
      <c r="C1938" s="467" t="s">
        <v>1647</v>
      </c>
      <c r="D1938" s="467" t="s">
        <v>300</v>
      </c>
      <c r="E1938" s="468">
        <v>38441</v>
      </c>
      <c r="F1938" s="468">
        <v>38511</v>
      </c>
      <c r="G1938" s="467" t="s">
        <v>1648</v>
      </c>
      <c r="H1938" s="467" t="s">
        <v>262</v>
      </c>
      <c r="I1938" s="467" t="s">
        <v>263</v>
      </c>
      <c r="J1938" s="467" t="s">
        <v>302</v>
      </c>
      <c r="K1938" s="469" t="str">
        <f>HYPERLINK("https://okcountyrecords.com/detail/roger+mills/2005-003939","OKCountyRecords: 2005-003939")</f>
        <v>OKCountyRecords: 2005-003939</v>
      </c>
      <c r="L1938" s="467">
        <v>5</v>
      </c>
      <c r="M1938" s="467" t="s">
        <v>1489</v>
      </c>
      <c r="N1938" s="470"/>
      <c r="O1938" s="471">
        <f t="shared" si="50"/>
        <v>120</v>
      </c>
      <c r="P1938" s="472" t="str">
        <f t="shared" si="51"/>
        <v/>
      </c>
      <c r="Q1938" s="472" t="str">
        <f t="shared" si="52"/>
        <v/>
      </c>
      <c r="R1938" s="473" t="str">
        <f t="shared" si="53"/>
        <v/>
      </c>
      <c r="S1938" s="467" t="str">
        <f t="shared" si="54"/>
        <v>Leasehold (non-mineral; excluded from mineral NMA). Gross=tract-map basis.</v>
      </c>
      <c r="T1938" s="489"/>
      <c r="U1938" s="490"/>
      <c r="V1938" s="450"/>
      <c r="W1938" s="450"/>
      <c r="X1938" s="450"/>
      <c r="Y1938" s="450"/>
      <c r="Z1938" s="450"/>
    </row>
    <row r="1939" spans="1:26" x14ac:dyDescent="0.25">
      <c r="A1939" s="467" t="s">
        <v>1649</v>
      </c>
      <c r="B1939" s="467"/>
      <c r="C1939" s="467" t="s">
        <v>619</v>
      </c>
      <c r="D1939" s="467" t="s">
        <v>1650</v>
      </c>
      <c r="E1939" s="468">
        <v>38446</v>
      </c>
      <c r="F1939" s="468">
        <v>38446</v>
      </c>
      <c r="G1939" s="467" t="s">
        <v>1651</v>
      </c>
      <c r="H1939" s="467" t="s">
        <v>1652</v>
      </c>
      <c r="I1939" s="467" t="s">
        <v>1280</v>
      </c>
      <c r="J1939" s="467" t="s">
        <v>1653</v>
      </c>
      <c r="K1939" s="469" t="str">
        <f>HYPERLINK("https://okcountyrecords.com/detail/roger+mills/2005-001909","OKCountyRecords: 2005-001909")</f>
        <v>OKCountyRecords: 2005-001909</v>
      </c>
      <c r="L1939" s="467">
        <v>2</v>
      </c>
      <c r="M1939" s="467" t="s">
        <v>404</v>
      </c>
      <c r="N1939" s="470">
        <v>1</v>
      </c>
      <c r="O1939" s="471">
        <f t="shared" si="50"/>
        <v>160</v>
      </c>
      <c r="P1939" s="472">
        <f t="shared" si="51"/>
        <v>1</v>
      </c>
      <c r="Q1939" s="472">
        <f t="shared" si="52"/>
        <v>-1</v>
      </c>
      <c r="R1939" s="473">
        <f t="shared" si="53"/>
        <v>160</v>
      </c>
      <c r="S1939" s="467" t="str">
        <f t="shared" si="54"/>
        <v>Mineral; basis Conv Amt(dec). Gross=tract-map basis.</v>
      </c>
      <c r="T1939" s="489"/>
      <c r="U1939" s="490"/>
      <c r="V1939" s="450"/>
      <c r="W1939" s="450"/>
      <c r="X1939" s="450"/>
      <c r="Y1939" s="450"/>
      <c r="Z1939" s="450"/>
    </row>
    <row r="1940" spans="1:26" x14ac:dyDescent="0.25">
      <c r="A1940" s="467" t="s">
        <v>1654</v>
      </c>
      <c r="B1940" s="467"/>
      <c r="C1940" s="467" t="s">
        <v>202</v>
      </c>
      <c r="D1940" s="467" t="s">
        <v>273</v>
      </c>
      <c r="E1940" s="468">
        <v>38447</v>
      </c>
      <c r="F1940" s="468">
        <v>38462</v>
      </c>
      <c r="G1940" s="467" t="s">
        <v>1655</v>
      </c>
      <c r="H1940" s="467" t="s">
        <v>1656</v>
      </c>
      <c r="I1940" s="467" t="s">
        <v>1657</v>
      </c>
      <c r="J1940" s="467" t="s">
        <v>277</v>
      </c>
      <c r="K1940" s="469" t="str">
        <f>HYPERLINK("https://okcountyrecords.com/detail/roger+mills/2005-002552","OKCountyRecords: 2005-002552")</f>
        <v>OKCountyRecords: 2005-002552</v>
      </c>
      <c r="L1940" s="467" t="s">
        <v>1658</v>
      </c>
      <c r="M1940" s="467" t="s">
        <v>1489</v>
      </c>
      <c r="N1940" s="470"/>
      <c r="O1940" s="471">
        <f t="shared" si="50"/>
        <v>360</v>
      </c>
      <c r="P1940" s="472" t="str">
        <f t="shared" si="51"/>
        <v/>
      </c>
      <c r="Q1940" s="472" t="str">
        <f t="shared" si="52"/>
        <v/>
      </c>
      <c r="R1940" s="473" t="str">
        <f t="shared" si="53"/>
        <v/>
      </c>
      <c r="S1940" s="467" t="str">
        <f t="shared" si="54"/>
        <v>Leasehold (non-mineral; excluded from mineral NMA). Gross=tract-map basis.</v>
      </c>
      <c r="T1940" s="489"/>
      <c r="U1940" s="490"/>
      <c r="V1940" s="450"/>
      <c r="W1940" s="450"/>
      <c r="X1940" s="450"/>
      <c r="Y1940" s="450"/>
      <c r="Z1940" s="450"/>
    </row>
    <row r="1941" spans="1:26" x14ac:dyDescent="0.25">
      <c r="A1941" s="467" t="s">
        <v>1659</v>
      </c>
      <c r="B1941" s="467"/>
      <c r="C1941" s="467" t="s">
        <v>1362</v>
      </c>
      <c r="D1941" s="467" t="s">
        <v>1660</v>
      </c>
      <c r="E1941" s="468">
        <v>38455</v>
      </c>
      <c r="F1941" s="468">
        <v>38455</v>
      </c>
      <c r="G1941" s="467" t="s">
        <v>1661</v>
      </c>
      <c r="H1941" s="467" t="s">
        <v>1662</v>
      </c>
      <c r="I1941" s="467" t="s">
        <v>1663</v>
      </c>
      <c r="J1941" s="467" t="s">
        <v>1664</v>
      </c>
      <c r="K1941" s="469" t="str">
        <f>HYPERLINK("https://okcountyrecords.com/detail/roger+mills/2005-002196","OKCountyRecords: 2005-002196")</f>
        <v>OKCountyRecords: 2005-002196</v>
      </c>
      <c r="L1941" s="467" t="s">
        <v>1356</v>
      </c>
      <c r="M1941" s="467" t="s">
        <v>404</v>
      </c>
      <c r="N1941" s="470">
        <v>1</v>
      </c>
      <c r="O1941" s="471">
        <f t="shared" si="50"/>
        <v>200</v>
      </c>
      <c r="P1941" s="472">
        <f t="shared" si="51"/>
        <v>1</v>
      </c>
      <c r="Q1941" s="472">
        <f t="shared" si="52"/>
        <v>-1</v>
      </c>
      <c r="R1941" s="473">
        <f t="shared" si="53"/>
        <v>200</v>
      </c>
      <c r="S1941" s="467" t="str">
        <f t="shared" si="54"/>
        <v>Mineral; basis Conv Amt(dec). Gross=tract-map basis.</v>
      </c>
      <c r="T1941" s="489"/>
      <c r="U1941" s="490"/>
      <c r="V1941" s="450"/>
      <c r="W1941" s="450"/>
      <c r="X1941" s="450"/>
      <c r="Y1941" s="450"/>
      <c r="Z1941" s="450"/>
    </row>
    <row r="1942" spans="1:26" x14ac:dyDescent="0.25">
      <c r="A1942" s="467" t="s">
        <v>1665</v>
      </c>
      <c r="B1942" s="467"/>
      <c r="C1942" s="467" t="s">
        <v>202</v>
      </c>
      <c r="D1942" s="467" t="s">
        <v>377</v>
      </c>
      <c r="E1942" s="468">
        <v>38457</v>
      </c>
      <c r="F1942" s="468">
        <v>38474</v>
      </c>
      <c r="G1942" s="467" t="s">
        <v>114</v>
      </c>
      <c r="H1942" s="467" t="s">
        <v>379</v>
      </c>
      <c r="I1942" s="467" t="s">
        <v>263</v>
      </c>
      <c r="J1942" s="467" t="s">
        <v>380</v>
      </c>
      <c r="K1942" s="469" t="str">
        <f>HYPERLINK("https://okcountyrecords.com/detail/roger+mills/2005-002831","OKCountyRecords: 2005-002831")</f>
        <v>OKCountyRecords: 2005-002831</v>
      </c>
      <c r="L1942" s="467">
        <v>5</v>
      </c>
      <c r="M1942" s="467" t="s">
        <v>1489</v>
      </c>
      <c r="N1942" s="470"/>
      <c r="O1942" s="471">
        <f t="shared" si="50"/>
        <v>120</v>
      </c>
      <c r="P1942" s="472" t="str">
        <f t="shared" si="51"/>
        <v/>
      </c>
      <c r="Q1942" s="472" t="str">
        <f t="shared" si="52"/>
        <v/>
      </c>
      <c r="R1942" s="473" t="str">
        <f t="shared" si="53"/>
        <v/>
      </c>
      <c r="S1942" s="467" t="str">
        <f t="shared" si="54"/>
        <v>Leasehold (non-mineral; excluded from mineral NMA). Gross=tract-map basis.</v>
      </c>
      <c r="T1942" s="489"/>
      <c r="U1942" s="490"/>
      <c r="V1942" s="450"/>
      <c r="W1942" s="450"/>
      <c r="X1942" s="450"/>
      <c r="Y1942" s="450"/>
      <c r="Z1942" s="450"/>
    </row>
    <row r="1943" spans="1:26" x14ac:dyDescent="0.25">
      <c r="A1943" s="467" t="s">
        <v>1666</v>
      </c>
      <c r="B1943" s="467"/>
      <c r="C1943" s="467" t="s">
        <v>202</v>
      </c>
      <c r="D1943" s="467" t="s">
        <v>278</v>
      </c>
      <c r="E1943" s="468">
        <v>38468</v>
      </c>
      <c r="F1943" s="468">
        <v>38551</v>
      </c>
      <c r="G1943" s="467" t="s">
        <v>1667</v>
      </c>
      <c r="H1943" s="467" t="s">
        <v>1656</v>
      </c>
      <c r="I1943" s="467" t="s">
        <v>215</v>
      </c>
      <c r="J1943" s="467" t="s">
        <v>216</v>
      </c>
      <c r="K1943" s="469" t="str">
        <f>HYPERLINK("https://okcountyrecords.com/detail/roger+mills/2005-004817","OKCountyRecords: 2005-004817")</f>
        <v>OKCountyRecords: 2005-004817</v>
      </c>
      <c r="L1943" s="467">
        <v>2</v>
      </c>
      <c r="M1943" s="467" t="s">
        <v>1489</v>
      </c>
      <c r="N1943" s="470"/>
      <c r="O1943" s="471">
        <f t="shared" si="50"/>
        <v>160</v>
      </c>
      <c r="P1943" s="472" t="str">
        <f t="shared" si="51"/>
        <v/>
      </c>
      <c r="Q1943" s="472" t="str">
        <f t="shared" si="52"/>
        <v/>
      </c>
      <c r="R1943" s="473" t="str">
        <f t="shared" si="53"/>
        <v/>
      </c>
      <c r="S1943" s="467" t="str">
        <f t="shared" si="54"/>
        <v>Leasehold (non-mineral; excluded from mineral NMA). Gross=tract-map basis.</v>
      </c>
      <c r="T1943" s="489"/>
      <c r="U1943" s="490"/>
      <c r="V1943" s="450"/>
      <c r="W1943" s="450"/>
      <c r="X1943" s="450"/>
      <c r="Y1943" s="450"/>
      <c r="Z1943" s="450"/>
    </row>
    <row r="1944" spans="1:26" x14ac:dyDescent="0.25">
      <c r="A1944" s="467" t="s">
        <v>1668</v>
      </c>
      <c r="B1944" s="467"/>
      <c r="C1944" s="467" t="s">
        <v>202</v>
      </c>
      <c r="D1944" s="467" t="s">
        <v>284</v>
      </c>
      <c r="E1944" s="468">
        <v>38468</v>
      </c>
      <c r="F1944" s="468">
        <v>38552</v>
      </c>
      <c r="G1944" s="467" t="s">
        <v>1669</v>
      </c>
      <c r="H1944" s="467" t="s">
        <v>1656</v>
      </c>
      <c r="I1944" s="467" t="s">
        <v>215</v>
      </c>
      <c r="J1944" s="467" t="s">
        <v>216</v>
      </c>
      <c r="K1944" s="469" t="str">
        <f>HYPERLINK("https://okcountyrecords.com/detail/roger+mills/2005-004863","OKCountyRecords: 2005-004863")</f>
        <v>OKCountyRecords: 2005-004863</v>
      </c>
      <c r="L1944" s="467">
        <v>2</v>
      </c>
      <c r="M1944" s="467" t="s">
        <v>1489</v>
      </c>
      <c r="N1944" s="470"/>
      <c r="O1944" s="471">
        <f t="shared" si="50"/>
        <v>160</v>
      </c>
      <c r="P1944" s="472" t="str">
        <f t="shared" si="51"/>
        <v/>
      </c>
      <c r="Q1944" s="472" t="str">
        <f t="shared" si="52"/>
        <v/>
      </c>
      <c r="R1944" s="473" t="str">
        <f t="shared" si="53"/>
        <v/>
      </c>
      <c r="S1944" s="467" t="str">
        <f t="shared" si="54"/>
        <v>Leasehold (non-mineral; excluded from mineral NMA). Gross=tract-map basis.</v>
      </c>
      <c r="T1944" s="489"/>
      <c r="U1944" s="490"/>
      <c r="V1944" s="450"/>
      <c r="W1944" s="450"/>
      <c r="X1944" s="450"/>
      <c r="Y1944" s="450"/>
      <c r="Z1944" s="450"/>
    </row>
    <row r="1945" spans="1:26" x14ac:dyDescent="0.25">
      <c r="A1945" s="467" t="s">
        <v>1671</v>
      </c>
      <c r="B1945" s="467">
        <v>27</v>
      </c>
      <c r="C1945" s="467" t="s">
        <v>202</v>
      </c>
      <c r="D1945" s="467" t="s">
        <v>308</v>
      </c>
      <c r="E1945" s="468">
        <v>38468</v>
      </c>
      <c r="F1945" s="468">
        <v>38551</v>
      </c>
      <c r="G1945" s="467" t="s">
        <v>1672</v>
      </c>
      <c r="H1945" s="467" t="s">
        <v>1656</v>
      </c>
      <c r="I1945" s="467" t="s">
        <v>215</v>
      </c>
      <c r="J1945" s="467" t="s">
        <v>216</v>
      </c>
      <c r="K1945" s="469" t="str">
        <f>HYPERLINK("https://okcountyrecords.com/detail/roger+mills/2005-004816","OKCountyRecords: 2005-004816")</f>
        <v>OKCountyRecords: 2005-004816</v>
      </c>
      <c r="L1945" s="467">
        <v>2</v>
      </c>
      <c r="M1945" s="467" t="s">
        <v>1489</v>
      </c>
      <c r="N1945" s="470"/>
      <c r="O1945" s="471">
        <f t="shared" si="50"/>
        <v>160</v>
      </c>
      <c r="P1945" s="472" t="str">
        <f t="shared" si="51"/>
        <v/>
      </c>
      <c r="Q1945" s="472" t="str">
        <f t="shared" si="52"/>
        <v/>
      </c>
      <c r="R1945" s="473" t="str">
        <f t="shared" si="53"/>
        <v/>
      </c>
      <c r="S1945" s="467" t="str">
        <f t="shared" si="54"/>
        <v>Leasehold (non-mineral; excluded from mineral NMA). Gross=tract-map basis.</v>
      </c>
      <c r="T1945" s="489"/>
      <c r="U1945" s="490"/>
      <c r="V1945" s="450"/>
      <c r="W1945" s="450"/>
      <c r="X1945" s="450"/>
      <c r="Y1945" s="450"/>
      <c r="Z1945" s="450"/>
    </row>
    <row r="1946" spans="1:26" x14ac:dyDescent="0.25">
      <c r="A1946" s="467" t="s">
        <v>1673</v>
      </c>
      <c r="B1946" s="467"/>
      <c r="C1946" s="467" t="s">
        <v>202</v>
      </c>
      <c r="D1946" s="467" t="s">
        <v>281</v>
      </c>
      <c r="E1946" s="468">
        <v>38468</v>
      </c>
      <c r="F1946" s="468">
        <v>38551</v>
      </c>
      <c r="G1946" s="467" t="s">
        <v>1674</v>
      </c>
      <c r="H1946" s="467" t="s">
        <v>1656</v>
      </c>
      <c r="I1946" s="467" t="s">
        <v>283</v>
      </c>
      <c r="J1946" s="467" t="s">
        <v>216</v>
      </c>
      <c r="K1946" s="469" t="str">
        <f>HYPERLINK("https://okcountyrecords.com/detail/roger+mills/2005-004818","OKCountyRecords: 2005-004818")</f>
        <v>OKCountyRecords: 2005-004818</v>
      </c>
      <c r="L1946" s="467">
        <v>2</v>
      </c>
      <c r="M1946" s="467" t="s">
        <v>1489</v>
      </c>
      <c r="N1946" s="470"/>
      <c r="O1946" s="471">
        <f t="shared" si="50"/>
        <v>160</v>
      </c>
      <c r="P1946" s="472" t="str">
        <f t="shared" si="51"/>
        <v/>
      </c>
      <c r="Q1946" s="472" t="str">
        <f t="shared" si="52"/>
        <v/>
      </c>
      <c r="R1946" s="473" t="str">
        <f t="shared" si="53"/>
        <v/>
      </c>
      <c r="S1946" s="467" t="str">
        <f t="shared" si="54"/>
        <v>Leasehold (non-mineral; excluded from mineral NMA). Gross=tract-map basis.</v>
      </c>
      <c r="T1946" s="489"/>
      <c r="U1946" s="490"/>
      <c r="V1946" s="450"/>
      <c r="W1946" s="450"/>
      <c r="X1946" s="450"/>
      <c r="Y1946" s="450"/>
      <c r="Z1946" s="450"/>
    </row>
    <row r="1947" spans="1:26" x14ac:dyDescent="0.25">
      <c r="A1947" s="467" t="s">
        <v>1675</v>
      </c>
      <c r="B1947" s="467"/>
      <c r="C1947" s="467" t="s">
        <v>619</v>
      </c>
      <c r="D1947" s="467" t="s">
        <v>1676</v>
      </c>
      <c r="E1947" s="468">
        <v>38473</v>
      </c>
      <c r="F1947" s="468">
        <v>38548</v>
      </c>
      <c r="G1947" s="467" t="s">
        <v>114</v>
      </c>
      <c r="H1947" s="467" t="s">
        <v>1677</v>
      </c>
      <c r="I1947" s="467" t="s">
        <v>1663</v>
      </c>
      <c r="J1947" s="467" t="s">
        <v>1678</v>
      </c>
      <c r="K1947" s="469" t="str">
        <f>HYPERLINK("https://okcountyrecords.com/detail/roger+mills/2005-004793","OKCountyRecords: 2005-004793")</f>
        <v>OKCountyRecords: 2005-004793</v>
      </c>
      <c r="L1947" s="467" t="s">
        <v>1356</v>
      </c>
      <c r="M1947" s="467" t="s">
        <v>404</v>
      </c>
      <c r="N1947" s="470">
        <f>IF(O1947&gt;0,10.13/O1947,"")</f>
        <v>5.0650000000000001E-2</v>
      </c>
      <c r="O1947" s="471">
        <f t="shared" si="50"/>
        <v>200</v>
      </c>
      <c r="P1947" s="472">
        <f t="shared" si="51"/>
        <v>5.0650000000000001E-2</v>
      </c>
      <c r="Q1947" s="472">
        <f t="shared" si="52"/>
        <v>-5.0650000000000001E-2</v>
      </c>
      <c r="R1947" s="473">
        <f t="shared" si="53"/>
        <v>10.130000000000001</v>
      </c>
      <c r="S1947" s="467"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90" t="s">
        <v>641</v>
      </c>
      <c r="U1947" s="490" t="s">
        <v>1679</v>
      </c>
      <c r="V1947" s="450"/>
      <c r="W1947" s="450"/>
      <c r="X1947" s="450"/>
      <c r="Y1947" s="450"/>
      <c r="Z1947" s="450"/>
    </row>
    <row r="1948" spans="1:26" x14ac:dyDescent="0.25">
      <c r="A1948" s="467" t="s">
        <v>1680</v>
      </c>
      <c r="B1948" s="467"/>
      <c r="C1948" s="467" t="s">
        <v>619</v>
      </c>
      <c r="D1948" s="467" t="s">
        <v>1681</v>
      </c>
      <c r="E1948" s="468">
        <v>38473</v>
      </c>
      <c r="F1948" s="468">
        <v>38573</v>
      </c>
      <c r="G1948" s="467" t="s">
        <v>114</v>
      </c>
      <c r="H1948" s="467" t="s">
        <v>1677</v>
      </c>
      <c r="I1948" s="467" t="s">
        <v>263</v>
      </c>
      <c r="J1948" s="467" t="s">
        <v>1682</v>
      </c>
      <c r="K1948" s="469" t="str">
        <f>HYPERLINK("https://okcountyrecords.com/detail/roger+mills/2005-005251","OKCountyRecords: 2005-005251")</f>
        <v>OKCountyRecords: 2005-005251</v>
      </c>
      <c r="L1948" s="467">
        <v>5</v>
      </c>
      <c r="M1948" s="467" t="s">
        <v>404</v>
      </c>
      <c r="N1948" s="470">
        <f>2.5/120</f>
        <v>2.0833333333333332E-2</v>
      </c>
      <c r="O1948" s="471">
        <f t="shared" si="50"/>
        <v>120</v>
      </c>
      <c r="P1948" s="472">
        <f t="shared" si="51"/>
        <v>2.0833333333333332E-2</v>
      </c>
      <c r="Q1948" s="472">
        <f t="shared" si="52"/>
        <v>-2.0833333333333332E-2</v>
      </c>
      <c r="R1948" s="473">
        <f t="shared" si="53"/>
        <v>2.5</v>
      </c>
      <c r="S1948" s="467"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90" t="s">
        <v>641</v>
      </c>
      <c r="U1948" s="490" t="s">
        <v>1683</v>
      </c>
      <c r="V1948" s="450"/>
      <c r="W1948" s="450"/>
      <c r="X1948" s="450"/>
      <c r="Y1948" s="450"/>
      <c r="Z1948" s="450"/>
    </row>
    <row r="1949" spans="1:26" x14ac:dyDescent="0.25">
      <c r="A1949" s="467" t="s">
        <v>1684</v>
      </c>
      <c r="B1949" s="467"/>
      <c r="C1949" s="467" t="s">
        <v>619</v>
      </c>
      <c r="D1949" s="467" t="s">
        <v>1685</v>
      </c>
      <c r="E1949" s="468">
        <v>38483</v>
      </c>
      <c r="F1949" s="468">
        <v>38490</v>
      </c>
      <c r="G1949" s="467" t="s">
        <v>1686</v>
      </c>
      <c r="H1949" s="467" t="s">
        <v>1687</v>
      </c>
      <c r="I1949" s="467" t="s">
        <v>1280</v>
      </c>
      <c r="J1949" s="467" t="s">
        <v>1688</v>
      </c>
      <c r="K1949" s="469" t="str">
        <f>HYPERLINK("https://okcountyrecords.com/detail/roger+mills/2005-003389","OKCountyRecords: 2005-003389")</f>
        <v>OKCountyRecords: 2005-003389</v>
      </c>
      <c r="L1949" s="467">
        <v>2</v>
      </c>
      <c r="M1949" s="467" t="s">
        <v>404</v>
      </c>
      <c r="N1949" s="470">
        <f>2/791.47</f>
        <v>2.5269435354467002E-3</v>
      </c>
      <c r="O1949" s="471">
        <f t="shared" si="50"/>
        <v>160</v>
      </c>
      <c r="P1949" s="472">
        <f t="shared" si="51"/>
        <v>2.5269435354467002E-3</v>
      </c>
      <c r="Q1949" s="472">
        <f t="shared" si="52"/>
        <v>-2.5269435354467002E-3</v>
      </c>
      <c r="R1949" s="473">
        <f t="shared" si="53"/>
        <v>0.40431096567147207</v>
      </c>
      <c r="S1949" s="467"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89"/>
      <c r="U1949" s="490"/>
      <c r="V1949" s="450"/>
      <c r="W1949" s="450"/>
      <c r="X1949" s="450"/>
      <c r="Y1949" s="450"/>
      <c r="Z1949" s="450"/>
    </row>
    <row r="1950" spans="1:26" x14ac:dyDescent="0.25">
      <c r="A1950" s="467" t="s">
        <v>1689</v>
      </c>
      <c r="B1950" s="467"/>
      <c r="C1950" s="467" t="s">
        <v>1690</v>
      </c>
      <c r="D1950" s="467" t="s">
        <v>1691</v>
      </c>
      <c r="E1950" s="468">
        <v>38497</v>
      </c>
      <c r="F1950" s="468">
        <v>38499</v>
      </c>
      <c r="G1950" s="467" t="s">
        <v>1619</v>
      </c>
      <c r="H1950" s="467" t="s">
        <v>1692</v>
      </c>
      <c r="I1950" s="467" t="s">
        <v>1693</v>
      </c>
      <c r="J1950" s="467" t="s">
        <v>1694</v>
      </c>
      <c r="K1950" s="469" t="str">
        <f>HYPERLINK("https://okcountyrecords.com/detail/roger+mills/2005-003691","OKCountyRecords: 2005-003691")</f>
        <v>OKCountyRecords: 2005-003691</v>
      </c>
      <c r="L1950" s="467" t="s">
        <v>602</v>
      </c>
      <c r="M1950" s="467" t="s">
        <v>1489</v>
      </c>
      <c r="N1950" s="476"/>
      <c r="O1950" s="471">
        <f t="shared" si="50"/>
        <v>440</v>
      </c>
      <c r="P1950" s="472" t="str">
        <f t="shared" si="51"/>
        <v/>
      </c>
      <c r="Q1950" s="472" t="str">
        <f t="shared" si="52"/>
        <v/>
      </c>
      <c r="R1950" s="473" t="str">
        <f t="shared" si="53"/>
        <v/>
      </c>
      <c r="S1950" s="467" t="str">
        <f t="shared" si="55"/>
        <v>Leasehold (non-mineral; excluded from mineral NMA). Gross=tract-map basis.</v>
      </c>
      <c r="T1950" s="489"/>
      <c r="U1950" s="490"/>
      <c r="V1950" s="450"/>
      <c r="W1950" s="450"/>
      <c r="X1950" s="450"/>
      <c r="Y1950" s="450"/>
      <c r="Z1950" s="450"/>
    </row>
    <row r="1951" spans="1:26" x14ac:dyDescent="0.25">
      <c r="A1951" s="467" t="s">
        <v>1695</v>
      </c>
      <c r="B1951" s="467"/>
      <c r="C1951" s="467" t="s">
        <v>619</v>
      </c>
      <c r="D1951" s="467" t="s">
        <v>1696</v>
      </c>
      <c r="E1951" s="468">
        <v>38516</v>
      </c>
      <c r="F1951" s="468">
        <v>38517</v>
      </c>
      <c r="G1951" s="467" t="s">
        <v>1697</v>
      </c>
      <c r="H1951" s="467" t="s">
        <v>1698</v>
      </c>
      <c r="I1951" s="467" t="s">
        <v>1699</v>
      </c>
      <c r="J1951" s="467" t="s">
        <v>63</v>
      </c>
      <c r="K1951" s="469" t="str">
        <f>HYPERLINK("https://okcountyrecords.com/detail/roger+mills/2005-004044","OKCountyRecords: 2005-004044")</f>
        <v>OKCountyRecords: 2005-004044</v>
      </c>
      <c r="L1951" s="467" t="s">
        <v>1587</v>
      </c>
      <c r="M1951" s="467" t="s">
        <v>404</v>
      </c>
      <c r="N1951" s="470">
        <v>1</v>
      </c>
      <c r="O1951" s="471">
        <f t="shared" si="50"/>
        <v>280</v>
      </c>
      <c r="P1951" s="472">
        <f t="shared" si="51"/>
        <v>1</v>
      </c>
      <c r="Q1951" s="472">
        <f t="shared" si="52"/>
        <v>-1</v>
      </c>
      <c r="R1951" s="473">
        <f t="shared" si="53"/>
        <v>280</v>
      </c>
      <c r="S1951" s="467" t="str">
        <f t="shared" si="55"/>
        <v>Mineral; basis Conv Amt(dec). Gross=tract-map basis.</v>
      </c>
      <c r="T1951" s="489"/>
      <c r="U1951" s="490"/>
      <c r="V1951" s="450"/>
      <c r="W1951" s="450"/>
      <c r="X1951" s="450"/>
      <c r="Y1951" s="450"/>
      <c r="Z1951" s="450"/>
    </row>
    <row r="1952" spans="1:26" x14ac:dyDescent="0.25">
      <c r="A1952" s="467" t="s">
        <v>1700</v>
      </c>
      <c r="B1952" s="467"/>
      <c r="C1952" s="467" t="s">
        <v>202</v>
      </c>
      <c r="D1952" s="467" t="s">
        <v>292</v>
      </c>
      <c r="E1952" s="468">
        <v>38522</v>
      </c>
      <c r="F1952" s="468">
        <v>38554</v>
      </c>
      <c r="G1952" s="467" t="s">
        <v>1701</v>
      </c>
      <c r="H1952" s="467" t="s">
        <v>262</v>
      </c>
      <c r="I1952" s="467" t="s">
        <v>215</v>
      </c>
      <c r="J1952" s="467" t="s">
        <v>289</v>
      </c>
      <c r="K1952" s="469" t="str">
        <f>HYPERLINK("https://okcountyrecords.com/detail/roger+mills/2005-004940","OKCountyRecords: 2005-004940")</f>
        <v>OKCountyRecords: 2005-004940</v>
      </c>
      <c r="L1952" s="467">
        <v>2</v>
      </c>
      <c r="M1952" s="467" t="s">
        <v>1489</v>
      </c>
      <c r="N1952" s="470"/>
      <c r="O1952" s="471">
        <f t="shared" si="50"/>
        <v>160</v>
      </c>
      <c r="P1952" s="472" t="str">
        <f t="shared" si="51"/>
        <v/>
      </c>
      <c r="Q1952" s="472" t="str">
        <f t="shared" si="52"/>
        <v/>
      </c>
      <c r="R1952" s="473" t="str">
        <f t="shared" si="53"/>
        <v/>
      </c>
      <c r="S1952" s="467" t="str">
        <f t="shared" si="55"/>
        <v>Leasehold (non-mineral; excluded from mineral NMA). Gross=tract-map basis.</v>
      </c>
      <c r="T1952" s="489"/>
      <c r="U1952" s="490"/>
      <c r="V1952" s="450"/>
      <c r="W1952" s="450"/>
      <c r="X1952" s="450"/>
      <c r="Y1952" s="450"/>
      <c r="Z1952" s="450"/>
    </row>
    <row r="1953" spans="1:26" x14ac:dyDescent="0.25">
      <c r="A1953" s="467" t="s">
        <v>1703</v>
      </c>
      <c r="B1953" s="467"/>
      <c r="C1953" s="467" t="s">
        <v>202</v>
      </c>
      <c r="D1953" s="467" t="s">
        <v>290</v>
      </c>
      <c r="E1953" s="468">
        <v>38522</v>
      </c>
      <c r="F1953" s="468">
        <v>38554</v>
      </c>
      <c r="G1953" s="467" t="s">
        <v>1704</v>
      </c>
      <c r="H1953" s="467" t="s">
        <v>262</v>
      </c>
      <c r="I1953" s="467" t="s">
        <v>215</v>
      </c>
      <c r="J1953" s="467" t="s">
        <v>289</v>
      </c>
      <c r="K1953" s="469" t="str">
        <f>HYPERLINK("https://okcountyrecords.com/detail/roger+mills/2005-004939","OKCountyRecords: 2005-004939")</f>
        <v>OKCountyRecords: 2005-004939</v>
      </c>
      <c r="L1953" s="467">
        <v>2</v>
      </c>
      <c r="M1953" s="467" t="s">
        <v>1489</v>
      </c>
      <c r="N1953" s="470"/>
      <c r="O1953" s="471">
        <f t="shared" si="50"/>
        <v>160</v>
      </c>
      <c r="P1953" s="472" t="str">
        <f t="shared" si="51"/>
        <v/>
      </c>
      <c r="Q1953" s="472" t="str">
        <f t="shared" si="52"/>
        <v/>
      </c>
      <c r="R1953" s="473" t="str">
        <f t="shared" si="53"/>
        <v/>
      </c>
      <c r="S1953" s="467" t="str">
        <f t="shared" si="55"/>
        <v>Leasehold (non-mineral; excluded from mineral NMA). Gross=tract-map basis.</v>
      </c>
      <c r="T1953" s="489"/>
      <c r="U1953" s="490"/>
      <c r="V1953" s="450"/>
      <c r="W1953" s="450"/>
      <c r="X1953" s="450"/>
      <c r="Y1953" s="450"/>
      <c r="Z1953" s="450"/>
    </row>
    <row r="1954" spans="1:26" x14ac:dyDescent="0.25">
      <c r="A1954" s="467" t="s">
        <v>1705</v>
      </c>
      <c r="B1954" s="467"/>
      <c r="C1954" s="467" t="s">
        <v>202</v>
      </c>
      <c r="D1954" s="467" t="s">
        <v>287</v>
      </c>
      <c r="E1954" s="468">
        <v>38522</v>
      </c>
      <c r="F1954" s="468">
        <v>38554</v>
      </c>
      <c r="G1954" s="467" t="s">
        <v>1706</v>
      </c>
      <c r="H1954" s="467" t="s">
        <v>262</v>
      </c>
      <c r="I1954" s="467" t="s">
        <v>215</v>
      </c>
      <c r="J1954" s="467" t="s">
        <v>289</v>
      </c>
      <c r="K1954" s="469" t="str">
        <f>HYPERLINK("https://okcountyrecords.com/detail/roger+mills/2005-004938","OKCountyRecords: 2005-004938")</f>
        <v>OKCountyRecords: 2005-004938</v>
      </c>
      <c r="L1954" s="467">
        <v>2</v>
      </c>
      <c r="M1954" s="467" t="s">
        <v>1489</v>
      </c>
      <c r="N1954" s="470"/>
      <c r="O1954" s="471">
        <f t="shared" si="50"/>
        <v>160</v>
      </c>
      <c r="P1954" s="472" t="str">
        <f t="shared" si="51"/>
        <v/>
      </c>
      <c r="Q1954" s="472" t="str">
        <f t="shared" si="52"/>
        <v/>
      </c>
      <c r="R1954" s="473" t="str">
        <f t="shared" si="53"/>
        <v/>
      </c>
      <c r="S1954" s="467" t="str">
        <f t="shared" si="55"/>
        <v>Leasehold (non-mineral; excluded from mineral NMA). Gross=tract-map basis.</v>
      </c>
      <c r="T1954" s="489"/>
      <c r="U1954" s="490"/>
      <c r="V1954" s="450"/>
      <c r="W1954" s="450"/>
      <c r="X1954" s="450"/>
      <c r="Y1954" s="450"/>
      <c r="Z1954" s="450"/>
    </row>
    <row r="1955" spans="1:26" x14ac:dyDescent="0.25">
      <c r="A1955" s="467" t="s">
        <v>1707</v>
      </c>
      <c r="B1955" s="467"/>
      <c r="C1955" s="467" t="s">
        <v>202</v>
      </c>
      <c r="D1955" s="467" t="s">
        <v>296</v>
      </c>
      <c r="E1955" s="468">
        <v>38522</v>
      </c>
      <c r="F1955" s="468">
        <v>38555</v>
      </c>
      <c r="G1955" s="467" t="s">
        <v>1708</v>
      </c>
      <c r="H1955" s="467" t="s">
        <v>262</v>
      </c>
      <c r="I1955" s="467" t="s">
        <v>215</v>
      </c>
      <c r="J1955" s="467" t="s">
        <v>289</v>
      </c>
      <c r="K1955" s="469" t="str">
        <f>HYPERLINK("https://okcountyrecords.com/detail/roger+mills/2005-004951","OKCountyRecords: 2005-004951")</f>
        <v>OKCountyRecords: 2005-004951</v>
      </c>
      <c r="L1955" s="467">
        <v>2</v>
      </c>
      <c r="M1955" s="467" t="s">
        <v>1489</v>
      </c>
      <c r="N1955" s="470"/>
      <c r="O1955" s="471">
        <f t="shared" si="50"/>
        <v>160</v>
      </c>
      <c r="P1955" s="472" t="str">
        <f t="shared" si="51"/>
        <v/>
      </c>
      <c r="Q1955" s="472" t="str">
        <f t="shared" si="52"/>
        <v/>
      </c>
      <c r="R1955" s="473" t="str">
        <f t="shared" si="53"/>
        <v/>
      </c>
      <c r="S1955" s="467" t="str">
        <f t="shared" si="55"/>
        <v>Leasehold (non-mineral; excluded from mineral NMA). Gross=tract-map basis.</v>
      </c>
      <c r="T1955" s="489"/>
      <c r="U1955" s="490"/>
      <c r="V1955" s="450"/>
      <c r="W1955" s="450"/>
      <c r="X1955" s="450"/>
      <c r="Y1955" s="450"/>
      <c r="Z1955" s="450"/>
    </row>
    <row r="1956" spans="1:26" x14ac:dyDescent="0.25">
      <c r="A1956" s="467" t="s">
        <v>1709</v>
      </c>
      <c r="B1956" s="467"/>
      <c r="C1956" s="467" t="s">
        <v>202</v>
      </c>
      <c r="D1956" s="467" t="s">
        <v>294</v>
      </c>
      <c r="E1956" s="468">
        <v>38522</v>
      </c>
      <c r="F1956" s="468">
        <v>38554</v>
      </c>
      <c r="G1956" s="467" t="s">
        <v>1710</v>
      </c>
      <c r="H1956" s="467" t="s">
        <v>262</v>
      </c>
      <c r="I1956" s="467" t="s">
        <v>215</v>
      </c>
      <c r="J1956" s="467" t="s">
        <v>289</v>
      </c>
      <c r="K1956" s="469" t="str">
        <f>HYPERLINK("https://okcountyrecords.com/detail/roger+mills/2005-004941","OKCountyRecords: 2005-004941")</f>
        <v>OKCountyRecords: 2005-004941</v>
      </c>
      <c r="L1956" s="467">
        <v>2</v>
      </c>
      <c r="M1956" s="467" t="s">
        <v>1489</v>
      </c>
      <c r="N1956" s="470"/>
      <c r="O1956" s="471">
        <f t="shared" si="50"/>
        <v>160</v>
      </c>
      <c r="P1956" s="472" t="str">
        <f t="shared" si="51"/>
        <v/>
      </c>
      <c r="Q1956" s="472" t="str">
        <f t="shared" si="52"/>
        <v/>
      </c>
      <c r="R1956" s="473" t="str">
        <f t="shared" si="53"/>
        <v/>
      </c>
      <c r="S1956" s="467" t="str">
        <f t="shared" si="55"/>
        <v>Leasehold (non-mineral; excluded from mineral NMA). Gross=tract-map basis.</v>
      </c>
      <c r="T1956" s="489"/>
      <c r="U1956" s="490"/>
      <c r="V1956" s="450"/>
      <c r="W1956" s="450"/>
      <c r="X1956" s="450"/>
      <c r="Y1956" s="450"/>
      <c r="Z1956" s="450"/>
    </row>
    <row r="1957" spans="1:26" x14ac:dyDescent="0.25">
      <c r="A1957" s="467" t="s">
        <v>1711</v>
      </c>
      <c r="B1957" s="467">
        <v>28</v>
      </c>
      <c r="C1957" s="467" t="s">
        <v>202</v>
      </c>
      <c r="D1957" s="467" t="s">
        <v>305</v>
      </c>
      <c r="E1957" s="468">
        <v>38522</v>
      </c>
      <c r="F1957" s="468">
        <v>38541</v>
      </c>
      <c r="G1957" s="467" t="s">
        <v>1712</v>
      </c>
      <c r="H1957" s="467" t="s">
        <v>262</v>
      </c>
      <c r="I1957" s="467" t="s">
        <v>215</v>
      </c>
      <c r="J1957" s="467" t="s">
        <v>1713</v>
      </c>
      <c r="K1957" s="469" t="str">
        <f>HYPERLINK("https://okcountyrecords.com/detail/roger+mills/2005-004681","OKCountyRecords: 2005-004681")</f>
        <v>OKCountyRecords: 2005-004681</v>
      </c>
      <c r="L1957" s="467">
        <v>2</v>
      </c>
      <c r="M1957" s="467" t="s">
        <v>1489</v>
      </c>
      <c r="N1957" s="470"/>
      <c r="O1957" s="471">
        <f t="shared" si="50"/>
        <v>160</v>
      </c>
      <c r="P1957" s="472" t="str">
        <f t="shared" si="51"/>
        <v/>
      </c>
      <c r="Q1957" s="472" t="str">
        <f t="shared" si="52"/>
        <v/>
      </c>
      <c r="R1957" s="473" t="str">
        <f t="shared" si="53"/>
        <v/>
      </c>
      <c r="S1957" s="467" t="str">
        <f t="shared" si="55"/>
        <v>Leasehold (non-mineral; excluded from mineral NMA). Gross=tract-map basis.</v>
      </c>
      <c r="T1957" s="489"/>
      <c r="U1957" s="490"/>
      <c r="V1957" s="450"/>
      <c r="W1957" s="450"/>
      <c r="X1957" s="450"/>
      <c r="Y1957" s="450"/>
      <c r="Z1957" s="450"/>
    </row>
    <row r="1958" spans="1:26" x14ac:dyDescent="0.25">
      <c r="A1958" s="467" t="s">
        <v>1714</v>
      </c>
      <c r="B1958" s="467"/>
      <c r="C1958" s="467" t="s">
        <v>1690</v>
      </c>
      <c r="D1958" s="467" t="s">
        <v>1715</v>
      </c>
      <c r="E1958" s="468">
        <v>38523</v>
      </c>
      <c r="F1958" s="468">
        <v>38579</v>
      </c>
      <c r="G1958" s="467" t="s">
        <v>1619</v>
      </c>
      <c r="H1958" s="467" t="s">
        <v>1716</v>
      </c>
      <c r="I1958" s="467" t="s">
        <v>1693</v>
      </c>
      <c r="J1958" s="467" t="s">
        <v>1717</v>
      </c>
      <c r="K1958" s="469" t="str">
        <f>HYPERLINK("https://okcountyrecords.com/detail/roger+mills/2005-005406","OKCountyRecords: 2005-005406")</f>
        <v>OKCountyRecords: 2005-005406</v>
      </c>
      <c r="L1958" s="467" t="s">
        <v>602</v>
      </c>
      <c r="M1958" s="467" t="s">
        <v>1489</v>
      </c>
      <c r="N1958" s="476"/>
      <c r="O1958" s="471">
        <f t="shared" si="50"/>
        <v>440</v>
      </c>
      <c r="P1958" s="472" t="str">
        <f t="shared" si="51"/>
        <v/>
      </c>
      <c r="Q1958" s="472" t="str">
        <f t="shared" si="52"/>
        <v/>
      </c>
      <c r="R1958" s="473" t="str">
        <f t="shared" si="53"/>
        <v/>
      </c>
      <c r="S1958" s="467" t="str">
        <f t="shared" si="55"/>
        <v>Leasehold (non-mineral; excluded from mineral NMA). Gross=tract-map basis.</v>
      </c>
      <c r="T1958" s="489"/>
      <c r="U1958" s="490"/>
      <c r="V1958" s="450"/>
      <c r="W1958" s="450"/>
      <c r="X1958" s="450"/>
      <c r="Y1958" s="450"/>
      <c r="Z1958" s="450"/>
    </row>
    <row r="1959" spans="1:26" x14ac:dyDescent="0.25">
      <c r="A1959" s="467" t="s">
        <v>1718</v>
      </c>
      <c r="B1959" s="467"/>
      <c r="C1959" s="467" t="s">
        <v>619</v>
      </c>
      <c r="D1959" s="467" t="s">
        <v>1719</v>
      </c>
      <c r="E1959" s="468">
        <v>38608</v>
      </c>
      <c r="F1959" s="468">
        <v>38658</v>
      </c>
      <c r="G1959" s="467" t="s">
        <v>295</v>
      </c>
      <c r="H1959" s="467" t="s">
        <v>1720</v>
      </c>
      <c r="I1959" s="467" t="s">
        <v>1280</v>
      </c>
      <c r="J1959" s="467" t="s">
        <v>63</v>
      </c>
      <c r="K1959" s="469" t="str">
        <f>HYPERLINK("https://okcountyrecords.com/detail/roger+mills/2005-007540","OKCountyRecords: 2005-007540")</f>
        <v>OKCountyRecords: 2005-007540</v>
      </c>
      <c r="L1959" s="467">
        <v>2</v>
      </c>
      <c r="M1959" s="467" t="s">
        <v>404</v>
      </c>
      <c r="N1959" s="470">
        <v>1</v>
      </c>
      <c r="O1959" s="471">
        <f t="shared" si="50"/>
        <v>160</v>
      </c>
      <c r="P1959" s="472">
        <f t="shared" si="51"/>
        <v>1</v>
      </c>
      <c r="Q1959" s="472">
        <f t="shared" si="52"/>
        <v>-1</v>
      </c>
      <c r="R1959" s="473">
        <f t="shared" si="53"/>
        <v>160</v>
      </c>
      <c r="S1959" s="467" t="str">
        <f t="shared" si="55"/>
        <v>Mineral; basis Conv Amt(dec). Gross=tract-map basis.</v>
      </c>
      <c r="T1959" s="489"/>
      <c r="U1959" s="490"/>
      <c r="V1959" s="450"/>
      <c r="W1959" s="450"/>
      <c r="X1959" s="450"/>
      <c r="Y1959" s="450"/>
      <c r="Z1959" s="450"/>
    </row>
    <row r="1960" spans="1:26" x14ac:dyDescent="0.25">
      <c r="A1960" s="467" t="s">
        <v>1721</v>
      </c>
      <c r="B1960" s="467"/>
      <c r="C1960" s="467" t="s">
        <v>202</v>
      </c>
      <c r="D1960" s="467" t="s">
        <v>311</v>
      </c>
      <c r="E1960" s="468">
        <v>38621</v>
      </c>
      <c r="F1960" s="468">
        <v>38709</v>
      </c>
      <c r="G1960" s="467" t="s">
        <v>1722</v>
      </c>
      <c r="H1960" s="467" t="s">
        <v>1723</v>
      </c>
      <c r="I1960" s="467" t="s">
        <v>215</v>
      </c>
      <c r="J1960" s="467" t="s">
        <v>216</v>
      </c>
      <c r="K1960" s="469" t="str">
        <f>HYPERLINK("https://okcountyrecords.com/detail/roger+mills/2005-008722","OKCountyRecords: 2005-008722")</f>
        <v>OKCountyRecords: 2005-008722</v>
      </c>
      <c r="L1960" s="467">
        <v>2</v>
      </c>
      <c r="M1960" s="467" t="s">
        <v>1489</v>
      </c>
      <c r="N1960" s="470"/>
      <c r="O1960" s="471">
        <f t="shared" si="50"/>
        <v>160</v>
      </c>
      <c r="P1960" s="472" t="str">
        <f t="shared" si="51"/>
        <v/>
      </c>
      <c r="Q1960" s="472" t="str">
        <f t="shared" si="52"/>
        <v/>
      </c>
      <c r="R1960" s="473" t="str">
        <f t="shared" si="53"/>
        <v/>
      </c>
      <c r="S1960" s="467" t="str">
        <f t="shared" si="55"/>
        <v>Leasehold (non-mineral; excluded from mineral NMA). Gross=tract-map basis.</v>
      </c>
      <c r="T1960" s="489"/>
      <c r="U1960" s="490"/>
      <c r="V1960" s="450"/>
      <c r="W1960" s="450"/>
      <c r="X1960" s="450"/>
      <c r="Y1960" s="450"/>
      <c r="Z1960" s="450"/>
    </row>
    <row r="1961" spans="1:26" x14ac:dyDescent="0.25">
      <c r="A1961" s="467" t="s">
        <v>1724</v>
      </c>
      <c r="B1961" s="467">
        <v>29</v>
      </c>
      <c r="C1961" s="467" t="s">
        <v>202</v>
      </c>
      <c r="D1961" s="467" t="s">
        <v>341</v>
      </c>
      <c r="E1961" s="468">
        <v>38621</v>
      </c>
      <c r="F1961" s="468">
        <v>38709</v>
      </c>
      <c r="G1961" s="467" t="s">
        <v>1725</v>
      </c>
      <c r="H1961" s="467" t="s">
        <v>1726</v>
      </c>
      <c r="I1961" s="467" t="s">
        <v>222</v>
      </c>
      <c r="J1961" s="467" t="s">
        <v>223</v>
      </c>
      <c r="K1961" s="469" t="str">
        <f>HYPERLINK("https://okcountyrecords.com/detail/roger+mills/2005-008721","OKCountyRecords: 2005-008721")</f>
        <v>OKCountyRecords: 2005-008721</v>
      </c>
      <c r="L1961" s="467" t="s">
        <v>625</v>
      </c>
      <c r="M1961" s="467" t="s">
        <v>1489</v>
      </c>
      <c r="N1961" s="476"/>
      <c r="O1961" s="471">
        <f t="shared" si="50"/>
        <v>280</v>
      </c>
      <c r="P1961" s="472" t="str">
        <f t="shared" si="51"/>
        <v/>
      </c>
      <c r="Q1961" s="472" t="str">
        <f t="shared" si="52"/>
        <v/>
      </c>
      <c r="R1961" s="473" t="str">
        <f t="shared" si="53"/>
        <v/>
      </c>
      <c r="S1961" s="467" t="str">
        <f t="shared" si="55"/>
        <v>Leasehold (non-mineral; excluded from mineral NMA). Gross=tract-map basis.</v>
      </c>
      <c r="T1961" s="489"/>
      <c r="U1961" s="490"/>
      <c r="V1961" s="450"/>
      <c r="W1961" s="450"/>
      <c r="X1961" s="450"/>
      <c r="Y1961" s="450"/>
      <c r="Z1961" s="450"/>
    </row>
    <row r="1962" spans="1:26" x14ac:dyDescent="0.25">
      <c r="A1962" s="467" t="s">
        <v>1727</v>
      </c>
      <c r="B1962" s="467"/>
      <c r="C1962" s="467" t="s">
        <v>619</v>
      </c>
      <c r="D1962" s="467" t="s">
        <v>1728</v>
      </c>
      <c r="E1962" s="468">
        <v>38624</v>
      </c>
      <c r="F1962" s="468">
        <v>38642</v>
      </c>
      <c r="G1962" s="467" t="s">
        <v>293</v>
      </c>
      <c r="H1962" s="467" t="s">
        <v>1729</v>
      </c>
      <c r="I1962" s="467" t="s">
        <v>215</v>
      </c>
      <c r="J1962" s="467" t="s">
        <v>1730</v>
      </c>
      <c r="K1962" s="469" t="str">
        <f>HYPERLINK("https://okcountyrecords.com/detail/roger+mills/2005-007117","OKCountyRecords: 2005-007117")</f>
        <v>OKCountyRecords: 2005-007117</v>
      </c>
      <c r="L1962" s="467">
        <v>2</v>
      </c>
      <c r="M1962" s="467" t="s">
        <v>404</v>
      </c>
      <c r="N1962" s="470">
        <f>1.5442/160</f>
        <v>9.6512500000000001E-3</v>
      </c>
      <c r="O1962" s="471">
        <f t="shared" si="50"/>
        <v>160</v>
      </c>
      <c r="P1962" s="472">
        <f t="shared" si="51"/>
        <v>9.6512500000000001E-3</v>
      </c>
      <c r="Q1962" s="472">
        <f t="shared" si="52"/>
        <v>-9.6512500000000001E-3</v>
      </c>
      <c r="R1962" s="473">
        <f t="shared" si="53"/>
        <v>1.5442</v>
      </c>
      <c r="S1962" s="467"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89" t="s">
        <v>641</v>
      </c>
      <c r="U1962" s="490" t="s">
        <v>1731</v>
      </c>
      <c r="V1962" s="450"/>
      <c r="W1962" s="450"/>
      <c r="X1962" s="450"/>
      <c r="Y1962" s="450"/>
      <c r="Z1962" s="450"/>
    </row>
    <row r="1963" spans="1:26" x14ac:dyDescent="0.25">
      <c r="A1963" s="467" t="s">
        <v>1732</v>
      </c>
      <c r="B1963" s="467"/>
      <c r="C1963" s="467" t="s">
        <v>619</v>
      </c>
      <c r="D1963" s="467" t="s">
        <v>1733</v>
      </c>
      <c r="E1963" s="468">
        <v>38625</v>
      </c>
      <c r="F1963" s="468">
        <v>38642</v>
      </c>
      <c r="G1963" s="467" t="s">
        <v>306</v>
      </c>
      <c r="H1963" s="467" t="s">
        <v>1729</v>
      </c>
      <c r="I1963" s="467" t="s">
        <v>215</v>
      </c>
      <c r="J1963" s="467" t="s">
        <v>1730</v>
      </c>
      <c r="K1963" s="469" t="str">
        <f>HYPERLINK("https://okcountyrecords.com/detail/roger+mills/2005-007116","OKCountyRecords: 2005-007116")</f>
        <v>OKCountyRecords: 2005-007116</v>
      </c>
      <c r="L1963" s="467">
        <v>2</v>
      </c>
      <c r="M1963" s="467" t="s">
        <v>404</v>
      </c>
      <c r="N1963" s="470">
        <f>1.5442/160</f>
        <v>9.6512500000000001E-3</v>
      </c>
      <c r="O1963" s="471">
        <f t="shared" si="50"/>
        <v>160</v>
      </c>
      <c r="P1963" s="472">
        <f t="shared" si="51"/>
        <v>9.6512500000000001E-3</v>
      </c>
      <c r="Q1963" s="472">
        <f t="shared" si="52"/>
        <v>-9.6512500000000001E-3</v>
      </c>
      <c r="R1963" s="473">
        <f t="shared" si="53"/>
        <v>1.5442</v>
      </c>
      <c r="S1963" s="467"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89" t="s">
        <v>641</v>
      </c>
      <c r="U1963" s="490" t="s">
        <v>1731</v>
      </c>
      <c r="V1963" s="450"/>
      <c r="W1963" s="450"/>
      <c r="X1963" s="450"/>
      <c r="Y1963" s="450"/>
      <c r="Z1963" s="450"/>
    </row>
    <row r="1964" spans="1:26" x14ac:dyDescent="0.25">
      <c r="A1964" s="467" t="s">
        <v>1734</v>
      </c>
      <c r="B1964" s="467"/>
      <c r="C1964" s="467" t="s">
        <v>619</v>
      </c>
      <c r="D1964" s="467" t="s">
        <v>1735</v>
      </c>
      <c r="E1964" s="468">
        <v>38626</v>
      </c>
      <c r="F1964" s="468">
        <v>38642</v>
      </c>
      <c r="G1964" s="467" t="s">
        <v>1736</v>
      </c>
      <c r="H1964" s="467" t="s">
        <v>1729</v>
      </c>
      <c r="I1964" s="467" t="s">
        <v>215</v>
      </c>
      <c r="J1964" s="467" t="s">
        <v>1730</v>
      </c>
      <c r="K1964" s="469" t="str">
        <f>HYPERLINK("https://okcountyrecords.com/detail/roger+mills/2005-007119","OKCountyRecords: 2005-007119")</f>
        <v>OKCountyRecords: 2005-007119</v>
      </c>
      <c r="L1964" s="467">
        <v>2</v>
      </c>
      <c r="M1964" s="467" t="s">
        <v>404</v>
      </c>
      <c r="N1964" s="470">
        <f>1.5442/160</f>
        <v>9.6512500000000001E-3</v>
      </c>
      <c r="O1964" s="471">
        <f t="shared" si="50"/>
        <v>160</v>
      </c>
      <c r="P1964" s="472">
        <f t="shared" si="51"/>
        <v>9.6512500000000001E-3</v>
      </c>
      <c r="Q1964" s="472">
        <f t="shared" si="52"/>
        <v>-9.6512500000000001E-3</v>
      </c>
      <c r="R1964" s="473">
        <f t="shared" si="53"/>
        <v>1.5442</v>
      </c>
      <c r="S1964" s="467"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89" t="s">
        <v>641</v>
      </c>
      <c r="U1964" s="490" t="s">
        <v>1731</v>
      </c>
      <c r="V1964" s="450"/>
      <c r="W1964" s="450"/>
      <c r="X1964" s="450"/>
      <c r="Y1964" s="450"/>
      <c r="Z1964" s="450"/>
    </row>
    <row r="1965" spans="1:26" x14ac:dyDescent="0.25">
      <c r="A1965" s="467" t="s">
        <v>1737</v>
      </c>
      <c r="B1965" s="467"/>
      <c r="C1965" s="467" t="s">
        <v>619</v>
      </c>
      <c r="D1965" s="467" t="s">
        <v>1738</v>
      </c>
      <c r="E1965" s="468">
        <v>38626</v>
      </c>
      <c r="F1965" s="468">
        <v>38642</v>
      </c>
      <c r="G1965" s="467" t="s">
        <v>1736</v>
      </c>
      <c r="H1965" s="467" t="s">
        <v>1729</v>
      </c>
      <c r="I1965" s="467" t="s">
        <v>215</v>
      </c>
      <c r="J1965" s="467" t="s">
        <v>1730</v>
      </c>
      <c r="K1965" s="469" t="str">
        <f>HYPERLINK("https://okcountyrecords.com/detail/roger+mills/2005-007120","OKCountyRecords: 2005-007120")</f>
        <v>OKCountyRecords: 2005-007120</v>
      </c>
      <c r="L1965" s="467">
        <v>2</v>
      </c>
      <c r="M1965" s="467" t="s">
        <v>404</v>
      </c>
      <c r="N1965" s="470">
        <f>1.5442/160</f>
        <v>9.6512500000000001E-3</v>
      </c>
      <c r="O1965" s="471">
        <f t="shared" si="50"/>
        <v>160</v>
      </c>
      <c r="P1965" s="472">
        <f t="shared" si="51"/>
        <v>9.6512500000000001E-3</v>
      </c>
      <c r="Q1965" s="472">
        <f t="shared" si="52"/>
        <v>-9.6512500000000001E-3</v>
      </c>
      <c r="R1965" s="473">
        <f t="shared" si="53"/>
        <v>1.5442</v>
      </c>
      <c r="S1965" s="467"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89" t="s">
        <v>641</v>
      </c>
      <c r="U1965" s="490" t="s">
        <v>1731</v>
      </c>
      <c r="V1965" s="450"/>
      <c r="W1965" s="450"/>
      <c r="X1965" s="450"/>
      <c r="Y1965" s="450"/>
      <c r="Z1965" s="450"/>
    </row>
    <row r="1966" spans="1:26" x14ac:dyDescent="0.25">
      <c r="A1966" s="467" t="s">
        <v>1739</v>
      </c>
      <c r="B1966" s="467"/>
      <c r="C1966" s="467" t="s">
        <v>1740</v>
      </c>
      <c r="D1966" s="467" t="s">
        <v>1741</v>
      </c>
      <c r="E1966" s="468">
        <v>38629</v>
      </c>
      <c r="F1966" s="468">
        <v>38632</v>
      </c>
      <c r="G1966" s="467" t="s">
        <v>1742</v>
      </c>
      <c r="H1966" s="467" t="s">
        <v>1743</v>
      </c>
      <c r="I1966" s="467" t="s">
        <v>1256</v>
      </c>
      <c r="J1966" s="467" t="s">
        <v>1744</v>
      </c>
      <c r="K1966" s="469" t="str">
        <f>HYPERLINK("https://okcountyrecords.com/detail/roger+mills/2005-006992","OKCountyRecords: 2005-006992")</f>
        <v>OKCountyRecords: 2005-006992</v>
      </c>
      <c r="L1966" s="467" t="s">
        <v>625</v>
      </c>
      <c r="M1966" s="467" t="s">
        <v>1489</v>
      </c>
      <c r="N1966" s="476"/>
      <c r="O1966" s="471">
        <f t="shared" si="50"/>
        <v>280</v>
      </c>
      <c r="P1966" s="472" t="str">
        <f t="shared" si="51"/>
        <v/>
      </c>
      <c r="Q1966" s="472" t="str">
        <f t="shared" si="52"/>
        <v/>
      </c>
      <c r="R1966" s="473" t="str">
        <f t="shared" si="53"/>
        <v/>
      </c>
      <c r="S1966" s="467"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89"/>
      <c r="U1966" s="490"/>
      <c r="V1966" s="450"/>
      <c r="W1966" s="450"/>
      <c r="X1966" s="450"/>
      <c r="Y1966" s="450"/>
      <c r="Z1966" s="450"/>
    </row>
    <row r="1967" spans="1:26" x14ac:dyDescent="0.25">
      <c r="A1967" s="467" t="s">
        <v>1745</v>
      </c>
      <c r="B1967" s="467"/>
      <c r="C1967" s="467" t="s">
        <v>202</v>
      </c>
      <c r="D1967" s="467" t="s">
        <v>314</v>
      </c>
      <c r="E1967" s="468">
        <v>38632</v>
      </c>
      <c r="F1967" s="468">
        <v>38644</v>
      </c>
      <c r="G1967" s="467" t="s">
        <v>1746</v>
      </c>
      <c r="H1967" s="467" t="s">
        <v>1747</v>
      </c>
      <c r="I1967" s="467" t="s">
        <v>222</v>
      </c>
      <c r="J1967" s="467" t="s">
        <v>317</v>
      </c>
      <c r="K1967" s="469" t="str">
        <f>HYPERLINK("https://okcountyrecords.com/detail/roger+mills/2005-007202","OKCountyRecords: 2005-007202")</f>
        <v>OKCountyRecords: 2005-007202</v>
      </c>
      <c r="L1967" s="467" t="s">
        <v>625</v>
      </c>
      <c r="M1967" s="467" t="s">
        <v>1489</v>
      </c>
      <c r="N1967" s="476"/>
      <c r="O1967" s="471">
        <f t="shared" si="50"/>
        <v>280</v>
      </c>
      <c r="P1967" s="472" t="str">
        <f t="shared" si="51"/>
        <v/>
      </c>
      <c r="Q1967" s="472" t="str">
        <f t="shared" si="52"/>
        <v/>
      </c>
      <c r="R1967" s="473" t="str">
        <f t="shared" si="53"/>
        <v/>
      </c>
      <c r="S1967" s="467" t="str">
        <f t="shared" si="56"/>
        <v>Leasehold (non-mineral; excluded from mineral NMA). Gross=tract-map basis.</v>
      </c>
      <c r="T1967" s="489"/>
      <c r="U1967" s="490"/>
      <c r="V1967" s="450"/>
      <c r="W1967" s="450"/>
      <c r="X1967" s="450"/>
      <c r="Y1967" s="450"/>
      <c r="Z1967" s="450"/>
    </row>
    <row r="1968" spans="1:26" x14ac:dyDescent="0.25">
      <c r="A1968" s="467" t="s">
        <v>1748</v>
      </c>
      <c r="B1968" s="467">
        <v>31</v>
      </c>
      <c r="C1968" s="467" t="s">
        <v>202</v>
      </c>
      <c r="D1968" s="467" t="s">
        <v>334</v>
      </c>
      <c r="E1968" s="468">
        <v>38636</v>
      </c>
      <c r="F1968" s="468">
        <v>38701</v>
      </c>
      <c r="G1968" s="467" t="s">
        <v>1749</v>
      </c>
      <c r="H1968" s="467" t="s">
        <v>1750</v>
      </c>
      <c r="I1968" s="467" t="s">
        <v>1751</v>
      </c>
      <c r="J1968" s="467" t="s">
        <v>8558</v>
      </c>
      <c r="K1968" s="469" t="str">
        <f>HYPERLINK("https://okcountyrecords.com/detail/roger+mills/2005-008517","OKCountyRecords: 2005-008517")</f>
        <v>OKCountyRecords: 2005-008517</v>
      </c>
      <c r="L1968" s="467" t="s">
        <v>502</v>
      </c>
      <c r="M1968" s="467" t="s">
        <v>1489</v>
      </c>
      <c r="N1968" s="470"/>
      <c r="O1968" s="471">
        <f t="shared" si="50"/>
        <v>640</v>
      </c>
      <c r="P1968" s="472" t="str">
        <f t="shared" si="51"/>
        <v/>
      </c>
      <c r="Q1968" s="472" t="str">
        <f t="shared" si="52"/>
        <v/>
      </c>
      <c r="R1968" s="473" t="str">
        <f t="shared" si="53"/>
        <v/>
      </c>
      <c r="S1968" s="467" t="str">
        <f t="shared" si="56"/>
        <v>Leasehold (non-mineral; excluded from mineral NMA). All-section coverage. Gross=tract-map basis.</v>
      </c>
      <c r="T1968" s="489"/>
      <c r="U1968" s="490"/>
      <c r="V1968" s="450"/>
      <c r="W1968" s="450"/>
      <c r="X1968" s="450"/>
      <c r="Y1968" s="450"/>
      <c r="Z1968" s="450"/>
    </row>
    <row r="1969" spans="1:26" x14ac:dyDescent="0.25">
      <c r="A1969" s="467" t="s">
        <v>1752</v>
      </c>
      <c r="B1969" s="467">
        <v>30</v>
      </c>
      <c r="C1969" s="467" t="s">
        <v>202</v>
      </c>
      <c r="D1969" s="467" t="s">
        <v>336</v>
      </c>
      <c r="E1969" s="468">
        <v>38636</v>
      </c>
      <c r="F1969" s="468">
        <v>38701</v>
      </c>
      <c r="G1969" s="467" t="s">
        <v>1753</v>
      </c>
      <c r="H1969" s="467" t="s">
        <v>1750</v>
      </c>
      <c r="I1969" s="467" t="s">
        <v>263</v>
      </c>
      <c r="J1969" s="467" t="s">
        <v>8559</v>
      </c>
      <c r="K1969" s="469" t="str">
        <f>HYPERLINK("https://okcountyrecords.com/detail/roger+mills/2005-008515","OKCountyRecords: 2005-008515")</f>
        <v>OKCountyRecords: 2005-008515</v>
      </c>
      <c r="L1969" s="467">
        <v>5</v>
      </c>
      <c r="M1969" s="467" t="s">
        <v>1489</v>
      </c>
      <c r="N1969" s="470"/>
      <c r="O1969" s="471">
        <f t="shared" si="50"/>
        <v>120</v>
      </c>
      <c r="P1969" s="472" t="str">
        <f t="shared" si="51"/>
        <v/>
      </c>
      <c r="Q1969" s="472" t="str">
        <f t="shared" si="52"/>
        <v/>
      </c>
      <c r="R1969" s="473" t="str">
        <f t="shared" si="53"/>
        <v/>
      </c>
      <c r="S1969" s="467" t="str">
        <f t="shared" si="56"/>
        <v>Leasehold (non-mineral; excluded from mineral NMA). Gross=tract-map basis.</v>
      </c>
      <c r="T1969" s="489"/>
      <c r="U1969" s="490"/>
      <c r="V1969" s="450"/>
      <c r="W1969" s="450"/>
      <c r="X1969" s="450"/>
      <c r="Y1969" s="450"/>
      <c r="Z1969" s="450"/>
    </row>
    <row r="1970" spans="1:26" x14ac:dyDescent="0.25">
      <c r="A1970" s="467" t="s">
        <v>1754</v>
      </c>
      <c r="B1970" s="467">
        <v>32</v>
      </c>
      <c r="C1970" s="467" t="s">
        <v>202</v>
      </c>
      <c r="D1970" s="467" t="s">
        <v>1755</v>
      </c>
      <c r="E1970" s="468">
        <v>38637</v>
      </c>
      <c r="F1970" s="468">
        <v>38701</v>
      </c>
      <c r="G1970" s="467" t="s">
        <v>1756</v>
      </c>
      <c r="H1970" s="467" t="s">
        <v>1750</v>
      </c>
      <c r="I1970" s="467" t="s">
        <v>238</v>
      </c>
      <c r="J1970" s="467" t="s">
        <v>216</v>
      </c>
      <c r="K1970" s="469" t="str">
        <f>HYPERLINK("https://okcountyrecords.com/detail/roger+mills/2005-008528","OKCountyRecords: 2005-008528")</f>
        <v>OKCountyRecords: 2005-008528</v>
      </c>
      <c r="L1970" s="467" t="s">
        <v>502</v>
      </c>
      <c r="M1970" s="467" t="s">
        <v>1489</v>
      </c>
      <c r="N1970" s="470"/>
      <c r="O1970" s="471">
        <f t="shared" si="50"/>
        <v>640</v>
      </c>
      <c r="P1970" s="472" t="str">
        <f t="shared" si="51"/>
        <v/>
      </c>
      <c r="Q1970" s="472" t="str">
        <f t="shared" si="52"/>
        <v/>
      </c>
      <c r="R1970" s="473" t="str">
        <f t="shared" si="53"/>
        <v/>
      </c>
      <c r="S1970" s="467" t="str">
        <f t="shared" si="56"/>
        <v>Leasehold (non-mineral; excluded from mineral NMA). All-section coverage. Gross=tract-map basis.</v>
      </c>
      <c r="T1970" s="489"/>
      <c r="U1970" s="490"/>
      <c r="V1970" s="450"/>
      <c r="W1970" s="450"/>
      <c r="X1970" s="450"/>
      <c r="Y1970" s="450"/>
      <c r="Z1970" s="450"/>
    </row>
    <row r="1971" spans="1:26" x14ac:dyDescent="0.25">
      <c r="A1971" s="467" t="s">
        <v>1757</v>
      </c>
      <c r="B1971" s="467"/>
      <c r="C1971" s="467" t="s">
        <v>619</v>
      </c>
      <c r="D1971" s="467" t="s">
        <v>1758</v>
      </c>
      <c r="E1971" s="468">
        <v>38650</v>
      </c>
      <c r="F1971" s="468">
        <v>38658</v>
      </c>
      <c r="G1971" s="467" t="s">
        <v>1260</v>
      </c>
      <c r="H1971" s="467" t="s">
        <v>1615</v>
      </c>
      <c r="I1971" s="467" t="s">
        <v>1256</v>
      </c>
      <c r="J1971" s="467" t="s">
        <v>63</v>
      </c>
      <c r="K1971" s="469" t="str">
        <f>HYPERLINK("https://okcountyrecords.com/detail/roger+mills/2005-007551","OKCountyRecords: 2005-007551")</f>
        <v>OKCountyRecords: 2005-007551</v>
      </c>
      <c r="L1971" s="467" t="s">
        <v>625</v>
      </c>
      <c r="M1971" s="467" t="s">
        <v>404</v>
      </c>
      <c r="N1971" s="476">
        <v>1</v>
      </c>
      <c r="O1971" s="471">
        <f t="shared" si="50"/>
        <v>280</v>
      </c>
      <c r="P1971" s="472">
        <f t="shared" si="51"/>
        <v>1</v>
      </c>
      <c r="Q1971" s="472">
        <f t="shared" si="52"/>
        <v>-1</v>
      </c>
      <c r="R1971" s="473">
        <f t="shared" si="53"/>
        <v>280</v>
      </c>
      <c r="S1971" s="467" t="str">
        <f t="shared" si="56"/>
        <v>Mineral; basis Conv Amt(dec). Gross=tract-map basis.</v>
      </c>
      <c r="T1971" s="489"/>
      <c r="U1971" s="490"/>
      <c r="V1971" s="450"/>
      <c r="W1971" s="450"/>
      <c r="X1971" s="450"/>
      <c r="Y1971" s="450"/>
      <c r="Z1971" s="450"/>
    </row>
    <row r="1972" spans="1:26" x14ac:dyDescent="0.25">
      <c r="A1972" s="467" t="s">
        <v>1759</v>
      </c>
      <c r="B1972" s="467"/>
      <c r="C1972" s="467" t="s">
        <v>1760</v>
      </c>
      <c r="D1972" s="467" t="s">
        <v>1761</v>
      </c>
      <c r="E1972" s="468">
        <v>38651</v>
      </c>
      <c r="F1972" s="468">
        <v>38749</v>
      </c>
      <c r="G1972" s="467" t="s">
        <v>1750</v>
      </c>
      <c r="H1972" s="467" t="s">
        <v>1762</v>
      </c>
      <c r="I1972" s="467" t="s">
        <v>1763</v>
      </c>
      <c r="J1972" s="467" t="s">
        <v>1764</v>
      </c>
      <c r="K1972" s="469" t="str">
        <f>HYPERLINK("https://okcountyrecords.com/detail/roger+mills/2006-000767","OKCountyRecords: 2006-000767")</f>
        <v>OKCountyRecords: 2006-000767</v>
      </c>
      <c r="L1972" s="467">
        <v>5</v>
      </c>
      <c r="M1972" s="467" t="s">
        <v>1489</v>
      </c>
      <c r="N1972" s="470"/>
      <c r="O1972" s="471">
        <f t="shared" si="50"/>
        <v>120</v>
      </c>
      <c r="P1972" s="472" t="str">
        <f t="shared" si="51"/>
        <v/>
      </c>
      <c r="Q1972" s="472" t="str">
        <f t="shared" si="52"/>
        <v/>
      </c>
      <c r="R1972" s="473" t="str">
        <f t="shared" si="53"/>
        <v/>
      </c>
      <c r="S1972" s="467" t="str">
        <f t="shared" si="56"/>
        <v>Leasehold (non-mineral; excluded from mineral NMA). Gross=tract-map basis.</v>
      </c>
      <c r="T1972" s="489"/>
      <c r="U1972" s="490"/>
      <c r="V1972" s="450"/>
      <c r="W1972" s="450"/>
      <c r="X1972" s="450"/>
      <c r="Y1972" s="450"/>
      <c r="Z1972" s="450"/>
    </row>
    <row r="1973" spans="1:26" x14ac:dyDescent="0.25">
      <c r="A1973" s="467" t="s">
        <v>1765</v>
      </c>
      <c r="B1973" s="467"/>
      <c r="C1973" s="467" t="s">
        <v>202</v>
      </c>
      <c r="D1973" s="467" t="s">
        <v>318</v>
      </c>
      <c r="E1973" s="468">
        <v>38653</v>
      </c>
      <c r="F1973" s="468">
        <v>38701</v>
      </c>
      <c r="G1973" s="467" t="s">
        <v>1766</v>
      </c>
      <c r="H1973" s="467" t="s">
        <v>1750</v>
      </c>
      <c r="I1973" s="467" t="s">
        <v>321</v>
      </c>
      <c r="J1973" s="467" t="s">
        <v>216</v>
      </c>
      <c r="K1973" s="469" t="str">
        <f>HYPERLINK("https://okcountyrecords.com/detail/roger+mills/2005-008530","OKCountyRecords: 2005-008530")</f>
        <v>OKCountyRecords: 2005-008530</v>
      </c>
      <c r="L1973" s="467">
        <v>2</v>
      </c>
      <c r="M1973" s="467" t="s">
        <v>1489</v>
      </c>
      <c r="N1973" s="470"/>
      <c r="O1973" s="471">
        <f t="shared" si="50"/>
        <v>160</v>
      </c>
      <c r="P1973" s="472" t="str">
        <f t="shared" si="51"/>
        <v/>
      </c>
      <c r="Q1973" s="472" t="str">
        <f t="shared" si="52"/>
        <v/>
      </c>
      <c r="R1973" s="473" t="str">
        <f t="shared" si="53"/>
        <v/>
      </c>
      <c r="S1973" s="467" t="str">
        <f t="shared" si="56"/>
        <v>Leasehold (non-mineral; excluded from mineral NMA). Gross=tract-map basis.</v>
      </c>
      <c r="T1973" s="489"/>
      <c r="U1973" s="490"/>
      <c r="V1973" s="450"/>
      <c r="W1973" s="450"/>
      <c r="X1973" s="450"/>
      <c r="Y1973" s="450"/>
      <c r="Z1973" s="450"/>
    </row>
    <row r="1974" spans="1:26" x14ac:dyDescent="0.25">
      <c r="A1974" s="467" t="s">
        <v>1767</v>
      </c>
      <c r="B1974" s="467"/>
      <c r="C1974" s="467" t="s">
        <v>619</v>
      </c>
      <c r="D1974" s="467" t="s">
        <v>1768</v>
      </c>
      <c r="E1974" s="468">
        <v>38655</v>
      </c>
      <c r="F1974" s="468">
        <v>38658</v>
      </c>
      <c r="G1974" s="467" t="s">
        <v>1720</v>
      </c>
      <c r="H1974" s="467" t="s">
        <v>1769</v>
      </c>
      <c r="I1974" s="467" t="s">
        <v>1280</v>
      </c>
      <c r="J1974" s="467" t="s">
        <v>1770</v>
      </c>
      <c r="K1974" s="469" t="str">
        <f>HYPERLINK("https://okcountyrecords.com/detail/roger+mills/2005-007541","OKCountyRecords: 2005-007541")</f>
        <v>OKCountyRecords: 2005-007541</v>
      </c>
      <c r="L1974" s="467">
        <v>2</v>
      </c>
      <c r="M1974" s="467" t="s">
        <v>404</v>
      </c>
      <c r="N1974" s="470">
        <f>13.62593725/791.47</f>
        <v>1.7215987024144945E-2</v>
      </c>
      <c r="O1974" s="471">
        <f t="shared" si="50"/>
        <v>160</v>
      </c>
      <c r="P1974" s="472">
        <f t="shared" si="51"/>
        <v>1.7215987024144945E-2</v>
      </c>
      <c r="Q1974" s="472">
        <f t="shared" si="52"/>
        <v>-1.7215987024144945E-2</v>
      </c>
      <c r="R1974" s="473">
        <f t="shared" si="53"/>
        <v>2.7545579238631914</v>
      </c>
      <c r="S1974" s="467" t="str">
        <f t="shared" si="56"/>
        <v>Mineral; basis Conv Amt(dec). Gross=tract-map basis.</v>
      </c>
      <c r="T1974" s="489"/>
      <c r="U1974" s="490"/>
      <c r="V1974" s="450"/>
      <c r="W1974" s="450"/>
      <c r="X1974" s="450"/>
      <c r="Y1974" s="450"/>
      <c r="Z1974" s="450"/>
    </row>
    <row r="1975" spans="1:26" x14ac:dyDescent="0.25">
      <c r="A1975" s="467" t="s">
        <v>1771</v>
      </c>
      <c r="B1975" s="467"/>
      <c r="C1975" s="467" t="s">
        <v>1772</v>
      </c>
      <c r="D1975" s="467" t="s">
        <v>1773</v>
      </c>
      <c r="E1975" s="468">
        <v>38657</v>
      </c>
      <c r="F1975" s="468">
        <v>38692</v>
      </c>
      <c r="G1975" s="467" t="s">
        <v>1774</v>
      </c>
      <c r="H1975" s="467" t="s">
        <v>1775</v>
      </c>
      <c r="I1975" s="467" t="s">
        <v>1256</v>
      </c>
      <c r="J1975" s="467" t="s">
        <v>63</v>
      </c>
      <c r="K1975" s="469" t="str">
        <f>HYPERLINK("https://okcountyrecords.com/detail/roger+mills/2005-008247","OKCountyRecords: 2005-008247")</f>
        <v>OKCountyRecords: 2005-008247</v>
      </c>
      <c r="L1975" s="467" t="s">
        <v>625</v>
      </c>
      <c r="M1975" s="467" t="s">
        <v>1489</v>
      </c>
      <c r="N1975" s="476"/>
      <c r="O1975" s="471">
        <f t="shared" si="50"/>
        <v>280</v>
      </c>
      <c r="P1975" s="472" t="str">
        <f t="shared" si="51"/>
        <v/>
      </c>
      <c r="Q1975" s="472" t="str">
        <f t="shared" si="52"/>
        <v/>
      </c>
      <c r="R1975" s="473" t="str">
        <f t="shared" si="53"/>
        <v/>
      </c>
      <c r="S1975" s="467" t="str">
        <f t="shared" si="56"/>
        <v>Leasehold (non-mineral; excluded from mineral NMA). Gross=tract-map basis.</v>
      </c>
      <c r="T1975" s="489"/>
      <c r="U1975" s="490"/>
      <c r="V1975" s="450"/>
      <c r="W1975" s="450"/>
      <c r="X1975" s="450"/>
      <c r="Y1975" s="450"/>
      <c r="Z1975" s="450"/>
    </row>
    <row r="1976" spans="1:26" x14ac:dyDescent="0.25">
      <c r="A1976" s="467" t="s">
        <v>1776</v>
      </c>
      <c r="B1976" s="467"/>
      <c r="C1976" s="467" t="s">
        <v>202</v>
      </c>
      <c r="D1976" s="467" t="s">
        <v>322</v>
      </c>
      <c r="E1976" s="468">
        <v>38657</v>
      </c>
      <c r="F1976" s="468">
        <v>38701</v>
      </c>
      <c r="G1976" s="467" t="s">
        <v>8660</v>
      </c>
      <c r="H1976" s="467" t="s">
        <v>1750</v>
      </c>
      <c r="I1976" s="467" t="s">
        <v>321</v>
      </c>
      <c r="J1976" s="467" t="s">
        <v>325</v>
      </c>
      <c r="K1976" s="469" t="str">
        <f>HYPERLINK("https://okcountyrecords.com/detail/roger+mills/2005-008523","OKCountyRecords: 2005-008523")</f>
        <v>OKCountyRecords: 2005-008523</v>
      </c>
      <c r="L1976" s="467">
        <v>2</v>
      </c>
      <c r="M1976" s="467" t="s">
        <v>1489</v>
      </c>
      <c r="N1976" s="470"/>
      <c r="O1976" s="471">
        <f t="shared" si="50"/>
        <v>160</v>
      </c>
      <c r="P1976" s="472" t="str">
        <f t="shared" si="51"/>
        <v/>
      </c>
      <c r="Q1976" s="472" t="str">
        <f t="shared" si="52"/>
        <v/>
      </c>
      <c r="R1976" s="473" t="str">
        <f t="shared" si="53"/>
        <v/>
      </c>
      <c r="S1976" s="467" t="str">
        <f t="shared" si="56"/>
        <v>Leasehold (non-mineral; excluded from mineral NMA). Gross=tract-map basis.</v>
      </c>
      <c r="T1976" s="489"/>
      <c r="U1976" s="490"/>
      <c r="V1976" s="450"/>
      <c r="W1976" s="450"/>
      <c r="X1976" s="450"/>
      <c r="Y1976" s="450"/>
      <c r="Z1976" s="450"/>
    </row>
    <row r="1977" spans="1:26" x14ac:dyDescent="0.25">
      <c r="A1977" s="467" t="s">
        <v>1777</v>
      </c>
      <c r="B1977" s="467">
        <v>33</v>
      </c>
      <c r="C1977" s="467" t="s">
        <v>202</v>
      </c>
      <c r="D1977" s="467" t="s">
        <v>367</v>
      </c>
      <c r="E1977" s="468">
        <v>38658</v>
      </c>
      <c r="F1977" s="468">
        <v>38754</v>
      </c>
      <c r="G1977" s="467" t="s">
        <v>1778</v>
      </c>
      <c r="H1977" s="467" t="s">
        <v>1750</v>
      </c>
      <c r="I1977" s="467" t="s">
        <v>1779</v>
      </c>
      <c r="J1977" s="467" t="s">
        <v>216</v>
      </c>
      <c r="K1977" s="469" t="str">
        <f>HYPERLINK("https://okcountyrecords.com/detail/roger+mills/2006-000936","OKCountyRecords: 2006-000936")</f>
        <v>OKCountyRecords: 2006-000936</v>
      </c>
      <c r="L1977" s="467">
        <v>2</v>
      </c>
      <c r="M1977" s="467" t="s">
        <v>1489</v>
      </c>
      <c r="N1977" s="470"/>
      <c r="O1977" s="471">
        <f t="shared" si="50"/>
        <v>160</v>
      </c>
      <c r="P1977" s="472" t="str">
        <f t="shared" si="51"/>
        <v/>
      </c>
      <c r="Q1977" s="472" t="str">
        <f t="shared" si="52"/>
        <v/>
      </c>
      <c r="R1977" s="473" t="str">
        <f t="shared" si="53"/>
        <v/>
      </c>
      <c r="S1977" s="467" t="str">
        <f t="shared" si="56"/>
        <v>Leasehold (non-mineral; excluded from mineral NMA). Gross=tract-map basis.</v>
      </c>
      <c r="T1977" s="489"/>
      <c r="U1977" s="490"/>
      <c r="V1977" s="450"/>
      <c r="W1977" s="450"/>
      <c r="X1977" s="450"/>
      <c r="Y1977" s="450"/>
      <c r="Z1977" s="450"/>
    </row>
    <row r="1978" spans="1:26" x14ac:dyDescent="0.25">
      <c r="A1978" s="467" t="s">
        <v>1780</v>
      </c>
      <c r="B1978" s="467"/>
      <c r="C1978" s="467" t="s">
        <v>202</v>
      </c>
      <c r="D1978" s="467" t="s">
        <v>328</v>
      </c>
      <c r="E1978" s="468">
        <v>38658</v>
      </c>
      <c r="F1978" s="468">
        <v>38754</v>
      </c>
      <c r="G1978" s="467" t="s">
        <v>1781</v>
      </c>
      <c r="H1978" s="467" t="s">
        <v>1750</v>
      </c>
      <c r="I1978" s="467" t="s">
        <v>1779</v>
      </c>
      <c r="J1978" s="467" t="s">
        <v>216</v>
      </c>
      <c r="K1978" s="469" t="str">
        <f>HYPERLINK("https://okcountyrecords.com/detail/roger+mills/2006-000939","OKCountyRecords: 2006-000939")</f>
        <v>OKCountyRecords: 2006-000939</v>
      </c>
      <c r="L1978" s="467">
        <v>2</v>
      </c>
      <c r="M1978" s="467" t="s">
        <v>1489</v>
      </c>
      <c r="N1978" s="470"/>
      <c r="O1978" s="471">
        <f t="shared" si="50"/>
        <v>160</v>
      </c>
      <c r="P1978" s="472" t="str">
        <f t="shared" si="51"/>
        <v/>
      </c>
      <c r="Q1978" s="472" t="str">
        <f t="shared" si="52"/>
        <v/>
      </c>
      <c r="R1978" s="473" t="str">
        <f t="shared" si="53"/>
        <v/>
      </c>
      <c r="S1978" s="467" t="str">
        <f t="shared" si="56"/>
        <v>Leasehold (non-mineral; excluded from mineral NMA). Gross=tract-map basis.</v>
      </c>
      <c r="T1978" s="489"/>
      <c r="U1978" s="490"/>
      <c r="V1978" s="450"/>
      <c r="W1978" s="450"/>
      <c r="X1978" s="450"/>
      <c r="Y1978" s="450"/>
      <c r="Z1978" s="450"/>
    </row>
    <row r="1979" spans="1:26" x14ac:dyDescent="0.25">
      <c r="A1979" s="467" t="s">
        <v>1782</v>
      </c>
      <c r="B1979" s="467"/>
      <c r="C1979" s="467" t="s">
        <v>202</v>
      </c>
      <c r="D1979" s="467" t="s">
        <v>326</v>
      </c>
      <c r="E1979" s="468">
        <v>38658</v>
      </c>
      <c r="F1979" s="468">
        <v>38754</v>
      </c>
      <c r="G1979" s="467" t="s">
        <v>1783</v>
      </c>
      <c r="H1979" s="467" t="s">
        <v>1750</v>
      </c>
      <c r="I1979" s="467" t="s">
        <v>1779</v>
      </c>
      <c r="J1979" s="467" t="s">
        <v>216</v>
      </c>
      <c r="K1979" s="469" t="str">
        <f>HYPERLINK("https://okcountyrecords.com/detail/roger+mills/2006-000937","OKCountyRecords: 2006-000937")</f>
        <v>OKCountyRecords: 2006-000937</v>
      </c>
      <c r="L1979" s="467">
        <v>2</v>
      </c>
      <c r="M1979" s="467" t="s">
        <v>1489</v>
      </c>
      <c r="N1979" s="470"/>
      <c r="O1979" s="471">
        <f t="shared" si="50"/>
        <v>160</v>
      </c>
      <c r="P1979" s="472" t="str">
        <f t="shared" si="51"/>
        <v/>
      </c>
      <c r="Q1979" s="472" t="str">
        <f t="shared" si="52"/>
        <v/>
      </c>
      <c r="R1979" s="473" t="str">
        <f t="shared" si="53"/>
        <v/>
      </c>
      <c r="S1979" s="467" t="str">
        <f t="shared" si="56"/>
        <v>Leasehold (non-mineral; excluded from mineral NMA). Gross=tract-map basis.</v>
      </c>
      <c r="T1979" s="489"/>
      <c r="U1979" s="490"/>
      <c r="V1979" s="450"/>
      <c r="W1979" s="450"/>
      <c r="X1979" s="450"/>
      <c r="Y1979" s="450"/>
      <c r="Z1979" s="450"/>
    </row>
    <row r="1980" spans="1:26" x14ac:dyDescent="0.25">
      <c r="A1980" s="467" t="s">
        <v>1784</v>
      </c>
      <c r="B1980" s="467"/>
      <c r="C1980" s="467" t="s">
        <v>1456</v>
      </c>
      <c r="D1980" s="467" t="s">
        <v>1785</v>
      </c>
      <c r="E1980" s="468">
        <v>38666</v>
      </c>
      <c r="F1980" s="468">
        <v>38749</v>
      </c>
      <c r="G1980" s="467" t="s">
        <v>1750</v>
      </c>
      <c r="H1980" s="467" t="s">
        <v>1762</v>
      </c>
      <c r="I1980" s="467" t="s">
        <v>1786</v>
      </c>
      <c r="J1980" s="467" t="s">
        <v>1787</v>
      </c>
      <c r="K1980" s="469" t="str">
        <f>HYPERLINK("https://okcountyrecords.com/detail/roger+mills/2006-000776","OKCountyRecords: 2006-000776")</f>
        <v>OKCountyRecords: 2006-000776</v>
      </c>
      <c r="L1980" s="467">
        <v>2</v>
      </c>
      <c r="M1980" s="467" t="s">
        <v>1489</v>
      </c>
      <c r="N1980" s="470"/>
      <c r="O1980" s="471">
        <f t="shared" si="50"/>
        <v>160</v>
      </c>
      <c r="P1980" s="472" t="str">
        <f t="shared" si="51"/>
        <v/>
      </c>
      <c r="Q1980" s="472" t="str">
        <f t="shared" si="52"/>
        <v/>
      </c>
      <c r="R1980" s="473" t="str">
        <f t="shared" si="53"/>
        <v/>
      </c>
      <c r="S1980" s="467" t="str">
        <f t="shared" si="56"/>
        <v>Leasehold (non-mineral; excluded from mineral NMA). Gross=tract-map basis.</v>
      </c>
      <c r="T1980" s="489"/>
      <c r="U1980" s="490"/>
      <c r="V1980" s="450"/>
      <c r="W1980" s="450"/>
      <c r="X1980" s="450"/>
      <c r="Y1980" s="450"/>
      <c r="Z1980" s="450"/>
    </row>
    <row r="1981" spans="1:26" x14ac:dyDescent="0.25">
      <c r="A1981" s="467" t="s">
        <v>1788</v>
      </c>
      <c r="B1981" s="467"/>
      <c r="C1981" s="467" t="s">
        <v>1456</v>
      </c>
      <c r="D1981" s="467" t="s">
        <v>1789</v>
      </c>
      <c r="E1981" s="468">
        <v>38666</v>
      </c>
      <c r="F1981" s="468">
        <v>38749</v>
      </c>
      <c r="G1981" s="467" t="s">
        <v>1750</v>
      </c>
      <c r="H1981" s="467" t="s">
        <v>1762</v>
      </c>
      <c r="I1981" s="467" t="s">
        <v>1786</v>
      </c>
      <c r="J1981" s="467" t="s">
        <v>1790</v>
      </c>
      <c r="K1981" s="469" t="str">
        <f>HYPERLINK("https://okcountyrecords.com/detail/roger+mills/2006-000778","OKCountyRecords: 2006-000778")</f>
        <v>OKCountyRecords: 2006-000778</v>
      </c>
      <c r="L1981" s="467">
        <v>2</v>
      </c>
      <c r="M1981" s="467" t="s">
        <v>1489</v>
      </c>
      <c r="N1981" s="470"/>
      <c r="O1981" s="471">
        <f t="shared" si="50"/>
        <v>160</v>
      </c>
      <c r="P1981" s="472" t="str">
        <f t="shared" si="51"/>
        <v/>
      </c>
      <c r="Q1981" s="472" t="str">
        <f t="shared" si="52"/>
        <v/>
      </c>
      <c r="R1981" s="473" t="str">
        <f t="shared" si="53"/>
        <v/>
      </c>
      <c r="S1981" s="467" t="str">
        <f t="shared" si="56"/>
        <v>Leasehold (non-mineral; excluded from mineral NMA). Gross=tract-map basis.</v>
      </c>
      <c r="T1981" s="489"/>
      <c r="U1981" s="490"/>
      <c r="V1981" s="450"/>
      <c r="W1981" s="450"/>
      <c r="X1981" s="450"/>
      <c r="Y1981" s="450"/>
      <c r="Z1981" s="450"/>
    </row>
    <row r="1982" spans="1:26" x14ac:dyDescent="0.25">
      <c r="A1982" s="467" t="s">
        <v>1791</v>
      </c>
      <c r="B1982" s="467">
        <v>34</v>
      </c>
      <c r="C1982" s="467" t="s">
        <v>202</v>
      </c>
      <c r="D1982" s="467" t="s">
        <v>338</v>
      </c>
      <c r="E1982" s="468">
        <v>38670</v>
      </c>
      <c r="F1982" s="468">
        <v>38701</v>
      </c>
      <c r="G1982" s="467" t="s">
        <v>8642</v>
      </c>
      <c r="H1982" s="467" t="s">
        <v>1750</v>
      </c>
      <c r="I1982" s="467" t="s">
        <v>1792</v>
      </c>
      <c r="J1982" s="467" t="s">
        <v>8560</v>
      </c>
      <c r="K1982" s="469" t="str">
        <f>HYPERLINK("https://okcountyrecords.com/detail/roger+mills/2005-008522","OKCountyRecords: 2005-008522")</f>
        <v>OKCountyRecords: 2005-008522</v>
      </c>
      <c r="L1982" s="467" t="s">
        <v>438</v>
      </c>
      <c r="M1982" s="467" t="s">
        <v>1489</v>
      </c>
      <c r="N1982" s="470"/>
      <c r="O1982" s="471">
        <f t="shared" si="50"/>
        <v>240</v>
      </c>
      <c r="P1982" s="472" t="str">
        <f t="shared" si="51"/>
        <v/>
      </c>
      <c r="Q1982" s="472" t="str">
        <f t="shared" si="52"/>
        <v/>
      </c>
      <c r="R1982" s="473" t="str">
        <f t="shared" si="53"/>
        <v/>
      </c>
      <c r="S1982" s="467" t="str">
        <f t="shared" si="56"/>
        <v>Leasehold (non-mineral; excluded from mineral NMA). Gross=tract-map basis.</v>
      </c>
      <c r="T1982" s="489"/>
      <c r="U1982" s="490"/>
      <c r="V1982" s="450"/>
      <c r="W1982" s="450"/>
      <c r="X1982" s="450"/>
      <c r="Y1982" s="450"/>
      <c r="Z1982" s="450"/>
    </row>
    <row r="1983" spans="1:26" x14ac:dyDescent="0.25">
      <c r="A1983" s="467" t="s">
        <v>1793</v>
      </c>
      <c r="B1983" s="467"/>
      <c r="C1983" s="467" t="s">
        <v>1760</v>
      </c>
      <c r="D1983" s="467" t="s">
        <v>1794</v>
      </c>
      <c r="E1983" s="468">
        <v>38677</v>
      </c>
      <c r="F1983" s="468">
        <v>38749</v>
      </c>
      <c r="G1983" s="467" t="s">
        <v>1750</v>
      </c>
      <c r="H1983" s="467" t="s">
        <v>1762</v>
      </c>
      <c r="I1983" s="467" t="s">
        <v>263</v>
      </c>
      <c r="J1983" s="467" t="s">
        <v>1795</v>
      </c>
      <c r="K1983" s="469" t="str">
        <f>HYPERLINK("https://okcountyrecords.com/detail/roger+mills/2006-000766","OKCountyRecords: 2006-000766")</f>
        <v>OKCountyRecords: 2006-000766</v>
      </c>
      <c r="L1983" s="467">
        <v>5</v>
      </c>
      <c r="M1983" s="467" t="s">
        <v>1489</v>
      </c>
      <c r="N1983" s="470"/>
      <c r="O1983" s="471">
        <f t="shared" si="50"/>
        <v>120</v>
      </c>
      <c r="P1983" s="472" t="str">
        <f t="shared" si="51"/>
        <v/>
      </c>
      <c r="Q1983" s="472" t="str">
        <f t="shared" si="52"/>
        <v/>
      </c>
      <c r="R1983" s="473" t="str">
        <f t="shared" si="53"/>
        <v/>
      </c>
      <c r="S1983" s="467" t="str">
        <f t="shared" si="56"/>
        <v>Leasehold (non-mineral; excluded from mineral NMA). Gross=tract-map basis.</v>
      </c>
      <c r="T1983" s="489"/>
      <c r="U1983" s="490"/>
      <c r="V1983" s="450"/>
      <c r="W1983" s="450"/>
      <c r="X1983" s="450"/>
      <c r="Y1983" s="450"/>
      <c r="Z1983" s="450"/>
    </row>
    <row r="1984" spans="1:26" x14ac:dyDescent="0.25">
      <c r="A1984" s="467" t="s">
        <v>1796</v>
      </c>
      <c r="B1984" s="467"/>
      <c r="C1984" s="467" t="s">
        <v>202</v>
      </c>
      <c r="D1984" s="467" t="s">
        <v>330</v>
      </c>
      <c r="E1984" s="468">
        <v>38678</v>
      </c>
      <c r="F1984" s="468">
        <v>38754</v>
      </c>
      <c r="G1984" s="467" t="s">
        <v>1797</v>
      </c>
      <c r="H1984" s="467" t="s">
        <v>1750</v>
      </c>
      <c r="I1984" s="467" t="s">
        <v>332</v>
      </c>
      <c r="J1984" s="467" t="s">
        <v>333</v>
      </c>
      <c r="K1984" s="469" t="str">
        <f>HYPERLINK("https://okcountyrecords.com/detail/roger+mills/2006-000938","OKCountyRecords: 2006-000938")</f>
        <v>OKCountyRecords: 2006-000938</v>
      </c>
      <c r="L1984" s="467">
        <v>4</v>
      </c>
      <c r="M1984" s="467" t="s">
        <v>1489</v>
      </c>
      <c r="N1984" s="470"/>
      <c r="O1984" s="471">
        <f t="shared" si="50"/>
        <v>80</v>
      </c>
      <c r="P1984" s="472" t="str">
        <f t="shared" si="51"/>
        <v/>
      </c>
      <c r="Q1984" s="472" t="str">
        <f t="shared" si="52"/>
        <v/>
      </c>
      <c r="R1984" s="473" t="str">
        <f t="shared" si="53"/>
        <v/>
      </c>
      <c r="S1984" s="467" t="str">
        <f t="shared" si="56"/>
        <v>Leasehold (non-mineral; excluded from mineral NMA). Gross=tract-map basis.</v>
      </c>
      <c r="T1984" s="489"/>
      <c r="U1984" s="490"/>
      <c r="V1984" s="450"/>
      <c r="W1984" s="450"/>
      <c r="X1984" s="450"/>
      <c r="Y1984" s="450"/>
      <c r="Z1984" s="450"/>
    </row>
    <row r="1985" spans="1:26" x14ac:dyDescent="0.25">
      <c r="A1985" s="467" t="s">
        <v>1798</v>
      </c>
      <c r="B1985" s="467"/>
      <c r="C1985" s="467" t="s">
        <v>1456</v>
      </c>
      <c r="D1985" s="467" t="s">
        <v>1799</v>
      </c>
      <c r="E1985" s="468">
        <v>38686</v>
      </c>
      <c r="F1985" s="468">
        <v>38749</v>
      </c>
      <c r="G1985" s="467" t="s">
        <v>1750</v>
      </c>
      <c r="H1985" s="467" t="s">
        <v>1762</v>
      </c>
      <c r="I1985" s="467" t="s">
        <v>1792</v>
      </c>
      <c r="J1985" s="467" t="s">
        <v>1800</v>
      </c>
      <c r="K1985" s="469" t="str">
        <f>HYPERLINK("https://okcountyrecords.com/detail/roger+mills/2006-000770","OKCountyRecords: 2006-000770")</f>
        <v>OKCountyRecords: 2006-000770</v>
      </c>
      <c r="L1985" s="467" t="s">
        <v>613</v>
      </c>
      <c r="M1985" s="467" t="s">
        <v>1489</v>
      </c>
      <c r="N1985" s="470"/>
      <c r="O1985" s="471">
        <f t="shared" si="50"/>
        <v>440</v>
      </c>
      <c r="P1985" s="472" t="str">
        <f t="shared" si="51"/>
        <v/>
      </c>
      <c r="Q1985" s="472" t="str">
        <f t="shared" si="52"/>
        <v/>
      </c>
      <c r="R1985" s="473" t="str">
        <f t="shared" si="53"/>
        <v/>
      </c>
      <c r="S1985" s="467" t="str">
        <f t="shared" si="56"/>
        <v>Leasehold (non-mineral; excluded from mineral NMA). Gross=tract-map basis.</v>
      </c>
      <c r="T1985" s="489"/>
      <c r="U1985" s="490"/>
      <c r="V1985" s="450"/>
      <c r="W1985" s="450"/>
      <c r="X1985" s="450"/>
      <c r="Y1985" s="450"/>
      <c r="Z1985" s="450"/>
    </row>
    <row r="1986" spans="1:26" x14ac:dyDescent="0.25">
      <c r="A1986" s="467" t="s">
        <v>1801</v>
      </c>
      <c r="B1986" s="467"/>
      <c r="C1986" s="467" t="s">
        <v>1760</v>
      </c>
      <c r="D1986" s="467" t="s">
        <v>1802</v>
      </c>
      <c r="E1986" s="468">
        <v>38687</v>
      </c>
      <c r="F1986" s="468">
        <v>38806</v>
      </c>
      <c r="G1986" s="467" t="s">
        <v>1750</v>
      </c>
      <c r="H1986" s="467" t="s">
        <v>1762</v>
      </c>
      <c r="I1986" s="467" t="s">
        <v>1779</v>
      </c>
      <c r="J1986" s="467" t="s">
        <v>1803</v>
      </c>
      <c r="K1986" s="469" t="str">
        <f>HYPERLINK("https://okcountyrecords.com/detail/roger+mills/2006-002436","OKCountyRecords: 2006-002436")</f>
        <v>OKCountyRecords: 2006-002436</v>
      </c>
      <c r="L1986" s="467">
        <v>2</v>
      </c>
      <c r="M1986" s="467" t="s">
        <v>1489</v>
      </c>
      <c r="N1986" s="470"/>
      <c r="O1986" s="471">
        <f t="shared" si="50"/>
        <v>160</v>
      </c>
      <c r="P1986" s="472" t="str">
        <f t="shared" si="51"/>
        <v/>
      </c>
      <c r="Q1986" s="472" t="str">
        <f t="shared" si="52"/>
        <v/>
      </c>
      <c r="R1986" s="473" t="str">
        <f t="shared" si="53"/>
        <v/>
      </c>
      <c r="S1986" s="467" t="str">
        <f t="shared" si="56"/>
        <v>Leasehold (non-mineral; excluded from mineral NMA). Gross=tract-map basis.</v>
      </c>
      <c r="T1986" s="489"/>
      <c r="U1986" s="490"/>
      <c r="V1986" s="450"/>
      <c r="W1986" s="450"/>
      <c r="X1986" s="450"/>
      <c r="Y1986" s="450"/>
      <c r="Z1986" s="450"/>
    </row>
    <row r="1987" spans="1:26" x14ac:dyDescent="0.25">
      <c r="A1987" s="467" t="s">
        <v>1804</v>
      </c>
      <c r="B1987" s="467"/>
      <c r="C1987" s="467" t="s">
        <v>1760</v>
      </c>
      <c r="D1987" s="467" t="s">
        <v>1805</v>
      </c>
      <c r="E1987" s="468">
        <v>38687</v>
      </c>
      <c r="F1987" s="468">
        <v>38806</v>
      </c>
      <c r="G1987" s="467" t="s">
        <v>1750</v>
      </c>
      <c r="H1987" s="467" t="s">
        <v>1762</v>
      </c>
      <c r="I1987" s="467" t="s">
        <v>1779</v>
      </c>
      <c r="J1987" s="467" t="s">
        <v>1806</v>
      </c>
      <c r="K1987" s="469" t="str">
        <f>HYPERLINK("https://okcountyrecords.com/detail/roger+mills/2006-002437","OKCountyRecords: 2006-002437")</f>
        <v>OKCountyRecords: 2006-002437</v>
      </c>
      <c r="L1987" s="467">
        <v>2</v>
      </c>
      <c r="M1987" s="467" t="s">
        <v>1489</v>
      </c>
      <c r="N1987" s="470"/>
      <c r="O1987" s="471">
        <f t="shared" si="50"/>
        <v>160</v>
      </c>
      <c r="P1987" s="472" t="str">
        <f t="shared" si="51"/>
        <v/>
      </c>
      <c r="Q1987" s="472" t="str">
        <f t="shared" si="52"/>
        <v/>
      </c>
      <c r="R1987" s="473" t="str">
        <f t="shared" si="53"/>
        <v/>
      </c>
      <c r="S1987" s="467" t="str">
        <f t="shared" si="56"/>
        <v>Leasehold (non-mineral; excluded from mineral NMA). Gross=tract-map basis.</v>
      </c>
      <c r="T1987" s="489"/>
      <c r="U1987" s="490"/>
      <c r="V1987" s="450"/>
      <c r="W1987" s="450"/>
      <c r="X1987" s="450"/>
      <c r="Y1987" s="450"/>
      <c r="Z1987" s="450"/>
    </row>
    <row r="1988" spans="1:26" x14ac:dyDescent="0.25">
      <c r="A1988" s="467" t="s">
        <v>1807</v>
      </c>
      <c r="B1988" s="467"/>
      <c r="C1988" s="467" t="s">
        <v>521</v>
      </c>
      <c r="D1988" s="467" t="s">
        <v>1808</v>
      </c>
      <c r="E1988" s="468">
        <v>38691</v>
      </c>
      <c r="F1988" s="468">
        <v>38807</v>
      </c>
      <c r="G1988" s="467" t="s">
        <v>331</v>
      </c>
      <c r="H1988" s="467" t="s">
        <v>320</v>
      </c>
      <c r="I1988" s="467" t="s">
        <v>238</v>
      </c>
      <c r="J1988" s="467" t="s">
        <v>1809</v>
      </c>
      <c r="K1988" s="469" t="str">
        <f>HYPERLINK("https://okcountyrecords.com/detail/roger+mills/2006-002508","OKCountyRecords: 2006-002508")</f>
        <v>OKCountyRecords: 2006-002508</v>
      </c>
      <c r="L1988" s="467" t="s">
        <v>502</v>
      </c>
      <c r="M1988" s="467" t="s">
        <v>465</v>
      </c>
      <c r="N1988" s="470"/>
      <c r="O1988" s="471">
        <f t="shared" si="50"/>
        <v>640</v>
      </c>
      <c r="P1988" s="472" t="str">
        <f t="shared" si="51"/>
        <v/>
      </c>
      <c r="Q1988" s="472" t="str">
        <f t="shared" si="52"/>
        <v/>
      </c>
      <c r="R1988" s="473" t="str">
        <f t="shared" si="53"/>
        <v/>
      </c>
      <c r="S1988" s="467" t="str">
        <f t="shared" si="56"/>
        <v>Other (non-mineral; excluded from mineral NMA). All-section coverage. Gross=tract-map basis.</v>
      </c>
      <c r="T1988" s="489"/>
      <c r="U1988" s="490"/>
      <c r="V1988" s="450"/>
      <c r="W1988" s="450"/>
      <c r="X1988" s="450"/>
      <c r="Y1988" s="450"/>
      <c r="Z1988" s="450"/>
    </row>
    <row r="1989" spans="1:26" x14ac:dyDescent="0.25">
      <c r="A1989" s="467" t="s">
        <v>1810</v>
      </c>
      <c r="B1989" s="467">
        <v>35</v>
      </c>
      <c r="C1989" s="467" t="s">
        <v>202</v>
      </c>
      <c r="D1989" s="467" t="s">
        <v>369</v>
      </c>
      <c r="E1989" s="468">
        <v>38693</v>
      </c>
      <c r="F1989" s="468">
        <v>38754</v>
      </c>
      <c r="G1989" s="467" t="s">
        <v>1811</v>
      </c>
      <c r="H1989" s="467" t="s">
        <v>1750</v>
      </c>
      <c r="I1989" s="467" t="s">
        <v>332</v>
      </c>
      <c r="J1989" s="467" t="s">
        <v>333</v>
      </c>
      <c r="K1989" s="469" t="str">
        <f>HYPERLINK("https://okcountyrecords.com/detail/roger+mills/2006-000931","OKCountyRecords: 2006-000931")</f>
        <v>OKCountyRecords: 2006-000931</v>
      </c>
      <c r="L1989" s="467">
        <v>4</v>
      </c>
      <c r="M1989" s="467" t="s">
        <v>1489</v>
      </c>
      <c r="N1989" s="470"/>
      <c r="O1989" s="471">
        <f t="shared" si="50"/>
        <v>80</v>
      </c>
      <c r="P1989" s="472" t="str">
        <f t="shared" si="51"/>
        <v/>
      </c>
      <c r="Q1989" s="472" t="str">
        <f t="shared" si="52"/>
        <v/>
      </c>
      <c r="R1989" s="473" t="str">
        <f t="shared" si="53"/>
        <v/>
      </c>
      <c r="S1989" s="467" t="str">
        <f t="shared" si="56"/>
        <v>Leasehold (non-mineral; excluded from mineral NMA). Gross=tract-map basis.</v>
      </c>
      <c r="T1989" s="489"/>
      <c r="U1989" s="490"/>
      <c r="V1989" s="450"/>
      <c r="W1989" s="450"/>
      <c r="X1989" s="450"/>
      <c r="Y1989" s="450"/>
      <c r="Z1989" s="450"/>
    </row>
    <row r="1990" spans="1:26" x14ac:dyDescent="0.25">
      <c r="A1990" s="467" t="s">
        <v>1812</v>
      </c>
      <c r="B1990" s="467"/>
      <c r="C1990" s="467" t="s">
        <v>1813</v>
      </c>
      <c r="D1990" s="467" t="s">
        <v>1814</v>
      </c>
      <c r="E1990" s="468">
        <v>38694</v>
      </c>
      <c r="F1990" s="468">
        <v>38727</v>
      </c>
      <c r="G1990" s="467" t="s">
        <v>335</v>
      </c>
      <c r="H1990" s="467" t="s">
        <v>102</v>
      </c>
      <c r="I1990" s="467" t="s">
        <v>1815</v>
      </c>
      <c r="J1990" s="467" t="s">
        <v>1816</v>
      </c>
      <c r="K1990" s="469" t="str">
        <f>HYPERLINK("https://okcountyrecords.com/detail/roger+mills/2006-000153","OKCountyRecords: 2006-000153")</f>
        <v>OKCountyRecords: 2006-000153</v>
      </c>
      <c r="L1990" s="467">
        <v>5</v>
      </c>
      <c r="M1990" s="467" t="s">
        <v>404</v>
      </c>
      <c r="N1990" s="470"/>
      <c r="O1990" s="471">
        <f t="shared" si="50"/>
        <v>120</v>
      </c>
      <c r="P1990" s="472" t="str">
        <f t="shared" si="51"/>
        <v/>
      </c>
      <c r="Q1990" s="472" t="str">
        <f t="shared" si="52"/>
        <v/>
      </c>
      <c r="R1990" s="473" t="str">
        <f t="shared" si="53"/>
        <v/>
      </c>
      <c r="S1990" s="467" t="s">
        <v>1817</v>
      </c>
      <c r="T1990" s="489" t="s">
        <v>467</v>
      </c>
      <c r="U1990" s="490" t="s">
        <v>1818</v>
      </c>
      <c r="V1990" s="450"/>
      <c r="W1990" s="450"/>
      <c r="X1990" s="450"/>
      <c r="Y1990" s="450"/>
      <c r="Z1990" s="450"/>
    </row>
    <row r="1991" spans="1:26" x14ac:dyDescent="0.25">
      <c r="A1991" s="467" t="s">
        <v>1819</v>
      </c>
      <c r="B1991" s="467"/>
      <c r="C1991" s="467" t="s">
        <v>1465</v>
      </c>
      <c r="D1991" s="467" t="s">
        <v>1820</v>
      </c>
      <c r="E1991" s="468">
        <v>38698</v>
      </c>
      <c r="F1991" s="468">
        <v>38727</v>
      </c>
      <c r="G1991" s="467" t="s">
        <v>1821</v>
      </c>
      <c r="H1991" s="467" t="s">
        <v>1822</v>
      </c>
      <c r="I1991" s="467" t="s">
        <v>1280</v>
      </c>
      <c r="J1991" s="467" t="s">
        <v>1823</v>
      </c>
      <c r="K1991" s="469" t="str">
        <f>HYPERLINK("https://okcountyrecords.com/detail/roger+mills/2006-000151","OKCountyRecords: 2006-000151")</f>
        <v>OKCountyRecords: 2006-000151</v>
      </c>
      <c r="L1991" s="467">
        <v>2</v>
      </c>
      <c r="M1991" s="467" t="s">
        <v>465</v>
      </c>
      <c r="N1991" s="470"/>
      <c r="O1991" s="471">
        <f t="shared" si="50"/>
        <v>160</v>
      </c>
      <c r="P1991" s="472" t="str">
        <f t="shared" si="51"/>
        <v/>
      </c>
      <c r="Q1991" s="472" t="str">
        <f t="shared" si="52"/>
        <v/>
      </c>
      <c r="R1991" s="473" t="str">
        <f t="shared" si="53"/>
        <v/>
      </c>
      <c r="S1991" s="467"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89"/>
      <c r="U1991" s="490"/>
      <c r="V1991" s="450"/>
      <c r="W1991" s="450"/>
      <c r="X1991" s="450"/>
      <c r="Y1991" s="450"/>
      <c r="Z1991" s="450"/>
    </row>
    <row r="1992" spans="1:26" x14ac:dyDescent="0.25">
      <c r="A1992" s="467" t="s">
        <v>1824</v>
      </c>
      <c r="B1992" s="467"/>
      <c r="C1992" s="467" t="s">
        <v>1813</v>
      </c>
      <c r="D1992" s="467" t="s">
        <v>1825</v>
      </c>
      <c r="E1992" s="468">
        <v>38699</v>
      </c>
      <c r="F1992" s="468">
        <v>38727</v>
      </c>
      <c r="G1992" s="467" t="s">
        <v>1826</v>
      </c>
      <c r="H1992" s="467" t="s">
        <v>102</v>
      </c>
      <c r="I1992" s="467" t="s">
        <v>222</v>
      </c>
      <c r="J1992" s="467" t="s">
        <v>1827</v>
      </c>
      <c r="K1992" s="469" t="str">
        <f>HYPERLINK("https://okcountyrecords.com/detail/roger+mills/2006-000154","OKCountyRecords: 2006-000154")</f>
        <v>OKCountyRecords: 2006-000154</v>
      </c>
      <c r="L1992" s="467" t="s">
        <v>625</v>
      </c>
      <c r="M1992" s="467" t="s">
        <v>404</v>
      </c>
      <c r="N1992" s="476"/>
      <c r="O1992" s="471">
        <f t="shared" si="50"/>
        <v>280</v>
      </c>
      <c r="P1992" s="472" t="str">
        <f t="shared" si="51"/>
        <v/>
      </c>
      <c r="Q1992" s="472" t="str">
        <f t="shared" si="52"/>
        <v/>
      </c>
      <c r="R1992" s="473" t="str">
        <f t="shared" si="53"/>
        <v/>
      </c>
      <c r="S1992" s="467" t="s">
        <v>1817</v>
      </c>
      <c r="T1992" s="489" t="s">
        <v>467</v>
      </c>
      <c r="U1992" s="490" t="s">
        <v>1818</v>
      </c>
      <c r="V1992" s="450"/>
      <c r="W1992" s="450"/>
      <c r="X1992" s="450"/>
      <c r="Y1992" s="450"/>
      <c r="Z1992" s="450"/>
    </row>
    <row r="1993" spans="1:26" x14ac:dyDescent="0.25">
      <c r="A1993" s="467" t="s">
        <v>1828</v>
      </c>
      <c r="B1993" s="467"/>
      <c r="C1993" s="467" t="s">
        <v>1456</v>
      </c>
      <c r="D1993" s="467" t="s">
        <v>1829</v>
      </c>
      <c r="E1993" s="468">
        <v>38701</v>
      </c>
      <c r="F1993" s="468">
        <v>39833</v>
      </c>
      <c r="G1993" s="467" t="s">
        <v>1750</v>
      </c>
      <c r="H1993" s="467" t="s">
        <v>1762</v>
      </c>
      <c r="I1993" s="467" t="s">
        <v>321</v>
      </c>
      <c r="J1993" s="467" t="s">
        <v>1830</v>
      </c>
      <c r="K1993" s="469" t="str">
        <f>HYPERLINK("https://okcountyrecords.com/detail/roger+mills/2009-000272","OKCountyRecords: 2009-000272")</f>
        <v>OKCountyRecords: 2009-000272</v>
      </c>
      <c r="L1993" s="467">
        <v>2</v>
      </c>
      <c r="M1993" s="467" t="s">
        <v>1489</v>
      </c>
      <c r="N1993" s="470"/>
      <c r="O1993" s="471">
        <f t="shared" si="50"/>
        <v>160</v>
      </c>
      <c r="P1993" s="472" t="str">
        <f t="shared" si="51"/>
        <v/>
      </c>
      <c r="Q1993" s="472" t="str">
        <f t="shared" si="52"/>
        <v/>
      </c>
      <c r="R1993" s="473" t="str">
        <f t="shared" si="53"/>
        <v/>
      </c>
      <c r="S1993" s="467"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89"/>
      <c r="U1993" s="490"/>
      <c r="V1993" s="450"/>
      <c r="W1993" s="450"/>
      <c r="X1993" s="450"/>
      <c r="Y1993" s="450"/>
      <c r="Z1993" s="450"/>
    </row>
    <row r="1994" spans="1:26" x14ac:dyDescent="0.25">
      <c r="A1994" s="467" t="s">
        <v>1832</v>
      </c>
      <c r="B1994" s="467"/>
      <c r="C1994" s="467" t="s">
        <v>1760</v>
      </c>
      <c r="D1994" s="467" t="s">
        <v>1833</v>
      </c>
      <c r="E1994" s="468">
        <v>38702</v>
      </c>
      <c r="F1994" s="468">
        <v>38806</v>
      </c>
      <c r="G1994" s="467" t="s">
        <v>1750</v>
      </c>
      <c r="H1994" s="467" t="s">
        <v>1762</v>
      </c>
      <c r="I1994" s="467" t="s">
        <v>332</v>
      </c>
      <c r="J1994" s="467" t="s">
        <v>1834</v>
      </c>
      <c r="K1994" s="469" t="str">
        <f>HYPERLINK("https://okcountyrecords.com/detail/roger+mills/2006-002438","OKCountyRecords: 2006-002438")</f>
        <v>OKCountyRecords: 2006-002438</v>
      </c>
      <c r="L1994" s="467">
        <v>4</v>
      </c>
      <c r="M1994" s="467" t="s">
        <v>1489</v>
      </c>
      <c r="N1994" s="470"/>
      <c r="O1994" s="471">
        <f t="shared" ref="O1994:O2057" si="58">IF($L1994="","",IF(ISNUMBER(SEARCH("all",$L1994)),640,(ISNUMBER(SEARCH("1",$L1994)))*80+(ISNUMBER(SEARCH("2",$L1994)))*160+(ISNUMBER(SEARCH("3",$L1994)))*40+(ISNUMBER(SEARCH("4",$L1994)))*80+(ISNUMBER(SEARCH("5",$L1994)))*120+(ISNUMBER(SEARCH("6",$L1994)))*80+(ISNUMBER(SEARCH("7",$L1994)))*40+(ISNUMBER(SEARCH("8",$L1994)))*40))</f>
        <v>80</v>
      </c>
      <c r="P1994" s="472" t="str">
        <f t="shared" ref="P1994:P2057" si="59">IF($M1994&lt;&gt;"Mineral","",IF(ISNUMBER($N1994),$N1994,IF(OR(ISNUMBER(SEARCH("surface",$J1994)),ISNUMBER(SEARCH("reserv",$J1994)),ISNUMBER(SEARCH("less and except",$J1994))),0,"")))</f>
        <v/>
      </c>
      <c r="Q1994" s="472" t="str">
        <f t="shared" ref="Q1994:Q2057" si="60">IF($P1994="","",-$P1994)</f>
        <v/>
      </c>
      <c r="R1994" s="473" t="str">
        <f t="shared" ref="R1994:R2057" si="61">IF($P1994="","",$O1994*$P1994)</f>
        <v/>
      </c>
      <c r="S1994" s="467" t="str">
        <f t="shared" si="57"/>
        <v>Leasehold (non-mineral; excluded from mineral NMA). Gross=tract-map basis.</v>
      </c>
      <c r="T1994" s="489"/>
      <c r="U1994" s="490"/>
      <c r="V1994" s="450"/>
      <c r="W1994" s="450"/>
      <c r="X1994" s="450"/>
      <c r="Y1994" s="450"/>
      <c r="Z1994" s="450"/>
    </row>
    <row r="1995" spans="1:26" x14ac:dyDescent="0.25">
      <c r="A1995" s="467" t="s">
        <v>1835</v>
      </c>
      <c r="B1995" s="467">
        <v>36</v>
      </c>
      <c r="C1995" s="467" t="s">
        <v>202</v>
      </c>
      <c r="D1995" s="467" t="s">
        <v>356</v>
      </c>
      <c r="E1995" s="468">
        <v>38709</v>
      </c>
      <c r="F1995" s="468">
        <v>38733</v>
      </c>
      <c r="G1995" s="467" t="s">
        <v>1836</v>
      </c>
      <c r="H1995" s="467" t="s">
        <v>1837</v>
      </c>
      <c r="I1995" s="467" t="s">
        <v>215</v>
      </c>
      <c r="J1995" s="467" t="s">
        <v>216</v>
      </c>
      <c r="K1995" s="469" t="str">
        <f>HYPERLINK("https://okcountyrecords.com/detail/roger+mills/2006-000321","OKCountyRecords: 2006-000321")</f>
        <v>OKCountyRecords: 2006-000321</v>
      </c>
      <c r="L1995" s="467">
        <v>2</v>
      </c>
      <c r="M1995" s="467" t="s">
        <v>1489</v>
      </c>
      <c r="N1995" s="470"/>
      <c r="O1995" s="471">
        <f t="shared" si="58"/>
        <v>160</v>
      </c>
      <c r="P1995" s="472" t="str">
        <f t="shared" si="59"/>
        <v/>
      </c>
      <c r="Q1995" s="472" t="str">
        <f t="shared" si="60"/>
        <v/>
      </c>
      <c r="R1995" s="473" t="str">
        <f t="shared" si="61"/>
        <v/>
      </c>
      <c r="S1995" s="467" t="str">
        <f t="shared" si="57"/>
        <v>Leasehold (non-mineral; excluded from mineral NMA). Gross=tract-map basis.</v>
      </c>
      <c r="T1995" s="489"/>
      <c r="U1995" s="490"/>
      <c r="V1995" s="450"/>
      <c r="W1995" s="450"/>
      <c r="X1995" s="450"/>
      <c r="Y1995" s="450"/>
      <c r="Z1995" s="450"/>
    </row>
    <row r="1996" spans="1:26" x14ac:dyDescent="0.25">
      <c r="A1996" s="467" t="s">
        <v>1838</v>
      </c>
      <c r="B1996" s="467"/>
      <c r="C1996" s="467" t="s">
        <v>1839</v>
      </c>
      <c r="D1996" s="467" t="s">
        <v>1840</v>
      </c>
      <c r="E1996" s="468">
        <v>38717</v>
      </c>
      <c r="F1996" s="468">
        <v>38982</v>
      </c>
      <c r="G1996" s="467" t="s">
        <v>1841</v>
      </c>
      <c r="H1996" s="467" t="s">
        <v>1842</v>
      </c>
      <c r="I1996" s="467" t="s">
        <v>332</v>
      </c>
      <c r="J1996" s="467" t="s">
        <v>1843</v>
      </c>
      <c r="K1996" s="469" t="str">
        <f>HYPERLINK("https://okcountyrecords.com/detail/roger+mills/2006-006475","OKCountyRecords: 2006-006475")</f>
        <v>OKCountyRecords: 2006-006475</v>
      </c>
      <c r="L1996" s="467">
        <v>4</v>
      </c>
      <c r="M1996" s="467" t="s">
        <v>1489</v>
      </c>
      <c r="N1996" s="470"/>
      <c r="O1996" s="471">
        <f t="shared" si="58"/>
        <v>80</v>
      </c>
      <c r="P1996" s="472" t="str">
        <f t="shared" si="59"/>
        <v/>
      </c>
      <c r="Q1996" s="472" t="str">
        <f t="shared" si="60"/>
        <v/>
      </c>
      <c r="R1996" s="473" t="str">
        <f t="shared" si="61"/>
        <v/>
      </c>
      <c r="S1996" s="467" t="str">
        <f t="shared" si="57"/>
        <v>Leasehold (non-mineral; excluded from mineral NMA). Gross=tract-map basis.</v>
      </c>
      <c r="T1996" s="489"/>
      <c r="U1996" s="490"/>
      <c r="V1996" s="450"/>
      <c r="W1996" s="450"/>
      <c r="X1996" s="450"/>
      <c r="Y1996" s="450"/>
      <c r="Z1996" s="450"/>
    </row>
    <row r="1997" spans="1:26" x14ac:dyDescent="0.25">
      <c r="A1997" s="467" t="s">
        <v>1844</v>
      </c>
      <c r="B1997" s="467"/>
      <c r="C1997" s="467" t="s">
        <v>1845</v>
      </c>
      <c r="D1997" s="467" t="s">
        <v>344</v>
      </c>
      <c r="E1997" s="468">
        <v>38720</v>
      </c>
      <c r="F1997" s="468">
        <v>38785</v>
      </c>
      <c r="G1997" s="467" t="s">
        <v>1846</v>
      </c>
      <c r="H1997" s="467" t="s">
        <v>1750</v>
      </c>
      <c r="I1997" s="467" t="s">
        <v>222</v>
      </c>
      <c r="J1997" s="467" t="s">
        <v>346</v>
      </c>
      <c r="K1997" s="469" t="str">
        <f>HYPERLINK("https://okcountyrecords.com/detail/roger+mills/2006-001886","OKCountyRecords: 2006-001886")</f>
        <v>OKCountyRecords: 2006-001886</v>
      </c>
      <c r="L1997" s="467" t="s">
        <v>625</v>
      </c>
      <c r="M1997" s="467" t="s">
        <v>1489</v>
      </c>
      <c r="N1997" s="476"/>
      <c r="O1997" s="471">
        <f t="shared" si="58"/>
        <v>280</v>
      </c>
      <c r="P1997" s="472" t="str">
        <f t="shared" si="59"/>
        <v/>
      </c>
      <c r="Q1997" s="472" t="str">
        <f t="shared" si="60"/>
        <v/>
      </c>
      <c r="R1997" s="473" t="str">
        <f t="shared" si="61"/>
        <v/>
      </c>
      <c r="S1997" s="467" t="str">
        <f t="shared" si="57"/>
        <v>Leasehold (non-mineral; excluded from mineral NMA). Gross=tract-map basis.</v>
      </c>
      <c r="T1997" s="489"/>
      <c r="U1997" s="490"/>
      <c r="V1997" s="450"/>
      <c r="W1997" s="450"/>
      <c r="X1997" s="450"/>
      <c r="Y1997" s="450"/>
      <c r="Z1997" s="450"/>
    </row>
    <row r="1998" spans="1:26" x14ac:dyDescent="0.25">
      <c r="A1998" s="467" t="s">
        <v>1847</v>
      </c>
      <c r="B1998" s="467"/>
      <c r="C1998" s="467" t="s">
        <v>1456</v>
      </c>
      <c r="D1998" s="467" t="s">
        <v>1848</v>
      </c>
      <c r="E1998" s="468">
        <v>38723</v>
      </c>
      <c r="F1998" s="468">
        <v>38749</v>
      </c>
      <c r="G1998" s="467" t="s">
        <v>237</v>
      </c>
      <c r="H1998" s="467" t="s">
        <v>1762</v>
      </c>
      <c r="I1998" s="467" t="s">
        <v>1550</v>
      </c>
      <c r="J1998" s="467" t="s">
        <v>1849</v>
      </c>
      <c r="K1998" s="469" t="str">
        <f>HYPERLINK("https://okcountyrecords.com/detail/roger+mills/2006-000762","OKCountyRecords: 2006-000762")</f>
        <v>OKCountyRecords: 2006-000762</v>
      </c>
      <c r="L1998" s="467">
        <v>5</v>
      </c>
      <c r="M1998" s="467" t="s">
        <v>1489</v>
      </c>
      <c r="N1998" s="470"/>
      <c r="O1998" s="471">
        <f t="shared" si="58"/>
        <v>120</v>
      </c>
      <c r="P1998" s="472" t="str">
        <f t="shared" si="59"/>
        <v/>
      </c>
      <c r="Q1998" s="472" t="str">
        <f t="shared" si="60"/>
        <v/>
      </c>
      <c r="R1998" s="473" t="str">
        <f t="shared" si="61"/>
        <v/>
      </c>
      <c r="S1998" s="467" t="str">
        <f t="shared" si="57"/>
        <v>Leasehold (non-mineral; excluded from mineral NMA). Gross=tract-map basis.</v>
      </c>
      <c r="T1998" s="489"/>
      <c r="U1998" s="490"/>
      <c r="V1998" s="450"/>
      <c r="W1998" s="450"/>
      <c r="X1998" s="450"/>
      <c r="Y1998" s="450"/>
      <c r="Z1998" s="450"/>
    </row>
    <row r="1999" spans="1:26" x14ac:dyDescent="0.25">
      <c r="A1999" s="467" t="s">
        <v>1850</v>
      </c>
      <c r="B1999" s="467">
        <v>37</v>
      </c>
      <c r="C1999" s="467" t="s">
        <v>202</v>
      </c>
      <c r="D1999" s="467" t="s">
        <v>359</v>
      </c>
      <c r="E1999" s="468">
        <v>38726</v>
      </c>
      <c r="F1999" s="468">
        <v>38742</v>
      </c>
      <c r="G1999" s="467" t="s">
        <v>1851</v>
      </c>
      <c r="H1999" s="467" t="s">
        <v>1837</v>
      </c>
      <c r="I1999" s="467" t="s">
        <v>215</v>
      </c>
      <c r="J1999" s="467" t="s">
        <v>216</v>
      </c>
      <c r="K1999" s="469" t="str">
        <f>HYPERLINK("https://okcountyrecords.com/detail/roger+mills/2006-000583","OKCountyRecords: 2006-000583")</f>
        <v>OKCountyRecords: 2006-000583</v>
      </c>
      <c r="L1999" s="467">
        <v>2</v>
      </c>
      <c r="M1999" s="467" t="s">
        <v>1489</v>
      </c>
      <c r="N1999" s="470"/>
      <c r="O1999" s="471">
        <f t="shared" si="58"/>
        <v>160</v>
      </c>
      <c r="P1999" s="472" t="str">
        <f t="shared" si="59"/>
        <v/>
      </c>
      <c r="Q1999" s="472" t="str">
        <f t="shared" si="60"/>
        <v/>
      </c>
      <c r="R1999" s="473" t="str">
        <f t="shared" si="61"/>
        <v/>
      </c>
      <c r="S1999" s="467" t="str">
        <f t="shared" si="57"/>
        <v>Leasehold (non-mineral; excluded from mineral NMA). Gross=tract-map basis.</v>
      </c>
      <c r="T1999" s="489"/>
      <c r="U1999" s="490"/>
      <c r="V1999" s="450"/>
      <c r="W1999" s="450"/>
      <c r="X1999" s="450"/>
      <c r="Y1999" s="450"/>
      <c r="Z1999" s="450"/>
    </row>
    <row r="2000" spans="1:26" x14ac:dyDescent="0.25">
      <c r="A2000" s="467" t="s">
        <v>1852</v>
      </c>
      <c r="B2000" s="467"/>
      <c r="C2000" s="467" t="s">
        <v>1186</v>
      </c>
      <c r="D2000" s="467" t="s">
        <v>1853</v>
      </c>
      <c r="E2000" s="468">
        <v>38733</v>
      </c>
      <c r="F2000" s="468">
        <v>38751</v>
      </c>
      <c r="G2000" s="467" t="s">
        <v>114</v>
      </c>
      <c r="H2000" s="467" t="s">
        <v>1677</v>
      </c>
      <c r="I2000" s="467" t="s">
        <v>263</v>
      </c>
      <c r="J2000" s="467" t="s">
        <v>1854</v>
      </c>
      <c r="K2000" s="469" t="str">
        <f>HYPERLINK("https://okcountyrecords.com/detail/roger+mills/2006-000870","OKCountyRecords: 2006-000870")</f>
        <v>OKCountyRecords: 2006-000870</v>
      </c>
      <c r="L2000" s="467">
        <v>5</v>
      </c>
      <c r="M2000" s="467" t="s">
        <v>404</v>
      </c>
      <c r="N2000" s="470">
        <f>IF(O2000&gt;0,2.5/O2000,"")</f>
        <v>2.0833333333333332E-2</v>
      </c>
      <c r="O2000" s="471">
        <f t="shared" si="58"/>
        <v>120</v>
      </c>
      <c r="P2000" s="472">
        <f t="shared" si="59"/>
        <v>2.0833333333333332E-2</v>
      </c>
      <c r="Q2000" s="472">
        <f t="shared" si="60"/>
        <v>-2.0833333333333332E-2</v>
      </c>
      <c r="R2000" s="473">
        <f t="shared" si="61"/>
        <v>2.5</v>
      </c>
      <c r="S2000" s="467"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89" t="s">
        <v>641</v>
      </c>
      <c r="U2000" s="490" t="s">
        <v>1683</v>
      </c>
      <c r="V2000" s="450"/>
      <c r="W2000" s="450"/>
      <c r="X2000" s="450"/>
      <c r="Y2000" s="450"/>
      <c r="Z2000" s="450"/>
    </row>
    <row r="2001" spans="1:26" x14ac:dyDescent="0.25">
      <c r="A2001" s="467" t="s">
        <v>1855</v>
      </c>
      <c r="B2001" s="467">
        <v>38</v>
      </c>
      <c r="C2001" s="467" t="s">
        <v>202</v>
      </c>
      <c r="D2001" s="467" t="s">
        <v>364</v>
      </c>
      <c r="E2001" s="468">
        <v>38733</v>
      </c>
      <c r="F2001" s="468">
        <v>38747</v>
      </c>
      <c r="G2001" s="467" t="s">
        <v>1856</v>
      </c>
      <c r="H2001" s="467" t="s">
        <v>1837</v>
      </c>
      <c r="I2001" s="467" t="s">
        <v>215</v>
      </c>
      <c r="J2001" s="467" t="s">
        <v>8561</v>
      </c>
      <c r="K2001" s="469" t="str">
        <f>HYPERLINK("https://okcountyrecords.com/detail/roger+mills/2006-000702","OKCountyRecords: 2006-000702")</f>
        <v>OKCountyRecords: 2006-000702</v>
      </c>
      <c r="L2001" s="467">
        <v>2</v>
      </c>
      <c r="M2001" s="467" t="s">
        <v>1489</v>
      </c>
      <c r="N2001" s="470"/>
      <c r="O2001" s="471">
        <f t="shared" si="58"/>
        <v>160</v>
      </c>
      <c r="P2001" s="472" t="str">
        <f t="shared" si="59"/>
        <v/>
      </c>
      <c r="Q2001" s="472" t="str">
        <f t="shared" si="60"/>
        <v/>
      </c>
      <c r="R2001" s="473" t="str">
        <f t="shared" si="61"/>
        <v/>
      </c>
      <c r="S2001" s="467"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89"/>
      <c r="U2001" s="490"/>
      <c r="V2001" s="450"/>
      <c r="W2001" s="450"/>
      <c r="X2001" s="450"/>
      <c r="Y2001" s="450"/>
      <c r="Z2001" s="450"/>
    </row>
    <row r="2002" spans="1:26" x14ac:dyDescent="0.25">
      <c r="A2002" s="467" t="s">
        <v>1857</v>
      </c>
      <c r="B2002" s="467"/>
      <c r="C2002" s="467" t="s">
        <v>202</v>
      </c>
      <c r="D2002" s="467" t="s">
        <v>373</v>
      </c>
      <c r="E2002" s="468">
        <v>38734</v>
      </c>
      <c r="F2002" s="468">
        <v>38824</v>
      </c>
      <c r="G2002" s="467" t="s">
        <v>191</v>
      </c>
      <c r="H2002" s="467" t="s">
        <v>1858</v>
      </c>
      <c r="I2002" s="467" t="s">
        <v>375</v>
      </c>
      <c r="J2002" s="467" t="s">
        <v>8562</v>
      </c>
      <c r="K2002" s="469" t="str">
        <f>HYPERLINK("https://okcountyrecords.com/detail/roger+mills/2006-002915","OKCountyRecords: 2006-002915")</f>
        <v>OKCountyRecords: 2006-002915</v>
      </c>
      <c r="L2002" s="467">
        <v>5</v>
      </c>
      <c r="M2002" s="467" t="s">
        <v>1489</v>
      </c>
      <c r="N2002" s="470"/>
      <c r="O2002" s="471">
        <f t="shared" si="58"/>
        <v>120</v>
      </c>
      <c r="P2002" s="472" t="str">
        <f t="shared" si="59"/>
        <v/>
      </c>
      <c r="Q2002" s="472" t="str">
        <f t="shared" si="60"/>
        <v/>
      </c>
      <c r="R2002" s="473" t="str">
        <f t="shared" si="61"/>
        <v/>
      </c>
      <c r="S2002" s="467" t="str">
        <f t="shared" si="62"/>
        <v>Leasehold (non-mineral; excluded from mineral NMA). Gross=tract-map basis.</v>
      </c>
      <c r="T2002" s="489"/>
      <c r="U2002" s="490"/>
      <c r="V2002" s="450"/>
      <c r="W2002" s="450"/>
      <c r="X2002" s="450"/>
      <c r="Y2002" s="450"/>
      <c r="Z2002" s="450"/>
    </row>
    <row r="2003" spans="1:26" x14ac:dyDescent="0.25">
      <c r="A2003" s="467" t="s">
        <v>1859</v>
      </c>
      <c r="B2003" s="467"/>
      <c r="C2003" s="467" t="s">
        <v>1760</v>
      </c>
      <c r="D2003" s="467" t="s">
        <v>1860</v>
      </c>
      <c r="E2003" s="468">
        <v>38737</v>
      </c>
      <c r="F2003" s="468">
        <v>38789</v>
      </c>
      <c r="G2003" s="467" t="s">
        <v>1750</v>
      </c>
      <c r="H2003" s="467" t="s">
        <v>1762</v>
      </c>
      <c r="I2003" s="467" t="s">
        <v>332</v>
      </c>
      <c r="J2003" s="467" t="s">
        <v>1861</v>
      </c>
      <c r="K2003" s="469" t="str">
        <f>HYPERLINK("https://okcountyrecords.com/detail/roger+mills/2006-001930","OKCountyRecords: 2006-001930")</f>
        <v>OKCountyRecords: 2006-001930</v>
      </c>
      <c r="L2003" s="467">
        <v>4</v>
      </c>
      <c r="M2003" s="467" t="s">
        <v>1489</v>
      </c>
      <c r="N2003" s="470"/>
      <c r="O2003" s="471">
        <f t="shared" si="58"/>
        <v>80</v>
      </c>
      <c r="P2003" s="472" t="str">
        <f t="shared" si="59"/>
        <v/>
      </c>
      <c r="Q2003" s="472" t="str">
        <f t="shared" si="60"/>
        <v/>
      </c>
      <c r="R2003" s="473" t="str">
        <f t="shared" si="61"/>
        <v/>
      </c>
      <c r="S2003" s="467" t="str">
        <f t="shared" si="62"/>
        <v>Leasehold (non-mineral; excluded from mineral NMA). Gross=tract-map basis.</v>
      </c>
      <c r="T2003" s="489"/>
      <c r="U2003" s="490"/>
      <c r="V2003" s="450"/>
      <c r="W2003" s="450"/>
      <c r="X2003" s="450"/>
      <c r="Y2003" s="450"/>
      <c r="Z2003" s="450"/>
    </row>
    <row r="2004" spans="1:26" x14ac:dyDescent="0.25">
      <c r="A2004" s="467" t="s">
        <v>1862</v>
      </c>
      <c r="B2004" s="467"/>
      <c r="C2004" s="467" t="s">
        <v>1760</v>
      </c>
      <c r="D2004" s="467" t="s">
        <v>1863</v>
      </c>
      <c r="E2004" s="468">
        <v>38748</v>
      </c>
      <c r="F2004" s="468">
        <v>38810</v>
      </c>
      <c r="G2004" s="467" t="s">
        <v>119</v>
      </c>
      <c r="H2004" s="467" t="s">
        <v>1762</v>
      </c>
      <c r="I2004" s="467" t="s">
        <v>222</v>
      </c>
      <c r="J2004" s="467" t="s">
        <v>1864</v>
      </c>
      <c r="K2004" s="469" t="str">
        <f>HYPERLINK("https://okcountyrecords.com/detail/roger+mills/2006-002590","OKCountyRecords: 2006-002590")</f>
        <v>OKCountyRecords: 2006-002590</v>
      </c>
      <c r="L2004" s="467" t="s">
        <v>625</v>
      </c>
      <c r="M2004" s="467" t="s">
        <v>1489</v>
      </c>
      <c r="N2004" s="476"/>
      <c r="O2004" s="471">
        <f t="shared" si="58"/>
        <v>280</v>
      </c>
      <c r="P2004" s="472" t="str">
        <f t="shared" si="59"/>
        <v/>
      </c>
      <c r="Q2004" s="472" t="str">
        <f t="shared" si="60"/>
        <v/>
      </c>
      <c r="R2004" s="473" t="str">
        <f t="shared" si="61"/>
        <v/>
      </c>
      <c r="S2004" s="467" t="str">
        <f t="shared" si="62"/>
        <v>Leasehold (non-mineral; excluded from mineral NMA). Gross=tract-map basis.</v>
      </c>
      <c r="T2004" s="489"/>
      <c r="U2004" s="490"/>
      <c r="V2004" s="450"/>
      <c r="W2004" s="450"/>
      <c r="X2004" s="450"/>
      <c r="Y2004" s="450"/>
      <c r="Z2004" s="450"/>
    </row>
    <row r="2005" spans="1:26" x14ac:dyDescent="0.25">
      <c r="A2005" s="467" t="s">
        <v>1865</v>
      </c>
      <c r="B2005" s="467"/>
      <c r="C2005" s="467" t="s">
        <v>1760</v>
      </c>
      <c r="D2005" s="467" t="s">
        <v>1866</v>
      </c>
      <c r="E2005" s="468">
        <v>38748</v>
      </c>
      <c r="F2005" s="468">
        <v>38765</v>
      </c>
      <c r="G2005" s="467" t="s">
        <v>343</v>
      </c>
      <c r="H2005" s="467" t="s">
        <v>1867</v>
      </c>
      <c r="I2005" s="467" t="s">
        <v>1868</v>
      </c>
      <c r="J2005" s="467" t="s">
        <v>1869</v>
      </c>
      <c r="K2005" s="469" t="str">
        <f>HYPERLINK("https://okcountyrecords.com/detail/roger+mills/2006-001349","OKCountyRecords: 2006-001349")</f>
        <v>OKCountyRecords: 2006-001349</v>
      </c>
      <c r="L2005" s="467" t="s">
        <v>1870</v>
      </c>
      <c r="M2005" s="467" t="s">
        <v>1489</v>
      </c>
      <c r="N2005" s="476"/>
      <c r="O2005" s="471">
        <f t="shared" si="58"/>
        <v>400</v>
      </c>
      <c r="P2005" s="472" t="str">
        <f t="shared" si="59"/>
        <v/>
      </c>
      <c r="Q2005" s="472" t="str">
        <f t="shared" si="60"/>
        <v/>
      </c>
      <c r="R2005" s="473" t="str">
        <f t="shared" si="61"/>
        <v/>
      </c>
      <c r="S2005" s="467" t="str">
        <f t="shared" si="62"/>
        <v>Leasehold (non-mineral; excluded from mineral NMA). Gross=tract-map basis.</v>
      </c>
      <c r="T2005" s="489"/>
      <c r="U2005" s="490"/>
      <c r="V2005" s="450"/>
      <c r="W2005" s="450"/>
      <c r="X2005" s="450"/>
      <c r="Y2005" s="450"/>
      <c r="Z2005" s="450"/>
    </row>
    <row r="2006" spans="1:26" x14ac:dyDescent="0.25">
      <c r="A2006" s="467" t="s">
        <v>1871</v>
      </c>
      <c r="B2006" s="467"/>
      <c r="C2006" s="467" t="s">
        <v>1872</v>
      </c>
      <c r="D2006" s="467" t="s">
        <v>1873</v>
      </c>
      <c r="E2006" s="468">
        <v>38757</v>
      </c>
      <c r="F2006" s="468">
        <v>38804</v>
      </c>
      <c r="G2006" s="467" t="s">
        <v>1529</v>
      </c>
      <c r="H2006" s="467" t="s">
        <v>1874</v>
      </c>
      <c r="I2006" s="467" t="s">
        <v>215</v>
      </c>
      <c r="J2006" s="467" t="s">
        <v>1875</v>
      </c>
      <c r="K2006" s="469" t="str">
        <f>HYPERLINK("https://okcountyrecords.com/detail/roger+mills/2006-002339","OKCountyRecords: 2006-002339")</f>
        <v>OKCountyRecords: 2006-002339</v>
      </c>
      <c r="L2006" s="467">
        <v>2</v>
      </c>
      <c r="M2006" s="467" t="s">
        <v>1489</v>
      </c>
      <c r="N2006" s="470"/>
      <c r="O2006" s="471">
        <f t="shared" si="58"/>
        <v>160</v>
      </c>
      <c r="P2006" s="472" t="str">
        <f t="shared" si="59"/>
        <v/>
      </c>
      <c r="Q2006" s="472" t="str">
        <f t="shared" si="60"/>
        <v/>
      </c>
      <c r="R2006" s="473" t="str">
        <f t="shared" si="61"/>
        <v/>
      </c>
      <c r="S2006" s="467" t="str">
        <f t="shared" si="62"/>
        <v>Leasehold (non-mineral; excluded from mineral NMA). Gross=tract-map basis.</v>
      </c>
      <c r="T2006" s="489"/>
      <c r="U2006" s="490"/>
      <c r="V2006" s="450"/>
      <c r="W2006" s="450"/>
      <c r="X2006" s="450"/>
      <c r="Y2006" s="450"/>
      <c r="Z2006" s="450"/>
    </row>
    <row r="2007" spans="1:26" x14ac:dyDescent="0.25">
      <c r="A2007" s="467" t="s">
        <v>1876</v>
      </c>
      <c r="B2007" s="467"/>
      <c r="C2007" s="467" t="s">
        <v>1456</v>
      </c>
      <c r="D2007" s="467" t="s">
        <v>1877</v>
      </c>
      <c r="E2007" s="468">
        <v>38760</v>
      </c>
      <c r="F2007" s="468">
        <v>39833</v>
      </c>
      <c r="G2007" s="467" t="s">
        <v>1750</v>
      </c>
      <c r="H2007" s="467" t="s">
        <v>1762</v>
      </c>
      <c r="I2007" s="467" t="s">
        <v>1878</v>
      </c>
      <c r="J2007" s="467" t="s">
        <v>1879</v>
      </c>
      <c r="K2007" s="469" t="str">
        <f>HYPERLINK("https://okcountyrecords.com/detail/roger+mills/2009-000273","OKCountyRecords: 2009-000273")</f>
        <v>OKCountyRecords: 2009-000273</v>
      </c>
      <c r="L2007" s="467">
        <v>5</v>
      </c>
      <c r="M2007" s="467" t="s">
        <v>1489</v>
      </c>
      <c r="N2007" s="470"/>
      <c r="O2007" s="471">
        <f t="shared" si="58"/>
        <v>120</v>
      </c>
      <c r="P2007" s="472" t="str">
        <f t="shared" si="59"/>
        <v/>
      </c>
      <c r="Q2007" s="472" t="str">
        <f t="shared" si="60"/>
        <v/>
      </c>
      <c r="R2007" s="473" t="str">
        <f t="shared" si="61"/>
        <v/>
      </c>
      <c r="S2007" s="467" t="str">
        <f t="shared" si="62"/>
        <v>Leasehold (non-mineral; excluded from mineral NMA). Gross=tract-map basis.</v>
      </c>
      <c r="T2007" s="489"/>
      <c r="U2007" s="490"/>
      <c r="V2007" s="450"/>
      <c r="W2007" s="450"/>
      <c r="X2007" s="450"/>
      <c r="Y2007" s="450"/>
      <c r="Z2007" s="450"/>
    </row>
    <row r="2008" spans="1:26" x14ac:dyDescent="0.25">
      <c r="A2008" s="467" t="s">
        <v>1881</v>
      </c>
      <c r="B2008" s="467">
        <v>39</v>
      </c>
      <c r="C2008" s="467" t="s">
        <v>202</v>
      </c>
      <c r="D2008" s="467" t="s">
        <v>371</v>
      </c>
      <c r="E2008" s="468">
        <v>38760</v>
      </c>
      <c r="F2008" s="468">
        <v>38792</v>
      </c>
      <c r="G2008" s="467" t="s">
        <v>1882</v>
      </c>
      <c r="H2008" s="467" t="s">
        <v>1837</v>
      </c>
      <c r="I2008" s="467" t="s">
        <v>222</v>
      </c>
      <c r="J2008" s="467" t="s">
        <v>8563</v>
      </c>
      <c r="K2008" s="469" t="str">
        <f>HYPERLINK("https://okcountyrecords.com/detail/roger+mills/2006-002044","OKCountyRecords: 2006-002044")</f>
        <v>OKCountyRecords: 2006-002044</v>
      </c>
      <c r="L2008" s="467" t="s">
        <v>625</v>
      </c>
      <c r="M2008" s="467" t="s">
        <v>1489</v>
      </c>
      <c r="N2008" s="476"/>
      <c r="O2008" s="471">
        <f t="shared" si="58"/>
        <v>280</v>
      </c>
      <c r="P2008" s="472" t="str">
        <f t="shared" si="59"/>
        <v/>
      </c>
      <c r="Q2008" s="472" t="str">
        <f t="shared" si="60"/>
        <v/>
      </c>
      <c r="R2008" s="473" t="str">
        <f t="shared" si="61"/>
        <v/>
      </c>
      <c r="S2008" s="467" t="str">
        <f t="shared" si="62"/>
        <v>Leasehold (non-mineral; excluded from mineral NMA). Gross=tract-map basis.</v>
      </c>
      <c r="T2008" s="489"/>
      <c r="U2008" s="490"/>
      <c r="V2008" s="450"/>
      <c r="W2008" s="450"/>
      <c r="X2008" s="450"/>
      <c r="Y2008" s="450"/>
      <c r="Z2008" s="450"/>
    </row>
    <row r="2009" spans="1:26" x14ac:dyDescent="0.25">
      <c r="A2009" s="467" t="s">
        <v>1883</v>
      </c>
      <c r="B2009" s="467"/>
      <c r="C2009" s="467" t="s">
        <v>1760</v>
      </c>
      <c r="D2009" s="467" t="s">
        <v>1884</v>
      </c>
      <c r="E2009" s="468">
        <v>38769</v>
      </c>
      <c r="F2009" s="468">
        <v>38863</v>
      </c>
      <c r="G2009" s="467" t="s">
        <v>1750</v>
      </c>
      <c r="H2009" s="467" t="s">
        <v>1762</v>
      </c>
      <c r="I2009" s="467" t="s">
        <v>222</v>
      </c>
      <c r="J2009" s="467" t="s">
        <v>1885</v>
      </c>
      <c r="K2009" s="469" t="str">
        <f>HYPERLINK("https://okcountyrecords.com/detail/roger+mills/2006-003963","OKCountyRecords: 2006-003963")</f>
        <v>OKCountyRecords: 2006-003963</v>
      </c>
      <c r="L2009" s="467" t="s">
        <v>625</v>
      </c>
      <c r="M2009" s="467" t="s">
        <v>1489</v>
      </c>
      <c r="N2009" s="476"/>
      <c r="O2009" s="471">
        <f t="shared" si="58"/>
        <v>280</v>
      </c>
      <c r="P2009" s="472" t="str">
        <f t="shared" si="59"/>
        <v/>
      </c>
      <c r="Q2009" s="472" t="str">
        <f t="shared" si="60"/>
        <v/>
      </c>
      <c r="R2009" s="473" t="str">
        <f t="shared" si="61"/>
        <v/>
      </c>
      <c r="S2009" s="467" t="str">
        <f t="shared" si="62"/>
        <v>Leasehold (non-mineral; excluded from mineral NMA). Gross=tract-map basis.</v>
      </c>
      <c r="T2009" s="489"/>
      <c r="U2009" s="490"/>
      <c r="V2009" s="450"/>
      <c r="W2009" s="450"/>
      <c r="X2009" s="450"/>
      <c r="Y2009" s="450"/>
      <c r="Z2009" s="450"/>
    </row>
    <row r="2010" spans="1:26" x14ac:dyDescent="0.25">
      <c r="A2010" s="467" t="s">
        <v>1886</v>
      </c>
      <c r="B2010" s="467"/>
      <c r="C2010" s="467" t="s">
        <v>1887</v>
      </c>
      <c r="D2010" s="467" t="s">
        <v>1888</v>
      </c>
      <c r="E2010" s="468">
        <v>38798</v>
      </c>
      <c r="F2010" s="468">
        <v>39262</v>
      </c>
      <c r="G2010" s="467" t="s">
        <v>262</v>
      </c>
      <c r="H2010" s="467" t="s">
        <v>1889</v>
      </c>
      <c r="I2010" s="467" t="s">
        <v>215</v>
      </c>
      <c r="J2010" s="467" t="s">
        <v>1890</v>
      </c>
      <c r="K2010" s="469" t="str">
        <f>HYPERLINK("https://okcountyrecords.com/detail/roger+mills/2007-002804","OKCountyRecords: 2007-002804")</f>
        <v>OKCountyRecords: 2007-002804</v>
      </c>
      <c r="L2010" s="467">
        <v>2</v>
      </c>
      <c r="M2010" s="467" t="s">
        <v>1489</v>
      </c>
      <c r="N2010" s="470"/>
      <c r="O2010" s="471">
        <f t="shared" si="58"/>
        <v>160</v>
      </c>
      <c r="P2010" s="472" t="str">
        <f t="shared" si="59"/>
        <v/>
      </c>
      <c r="Q2010" s="472" t="str">
        <f t="shared" si="60"/>
        <v/>
      </c>
      <c r="R2010" s="473" t="str">
        <f t="shared" si="61"/>
        <v/>
      </c>
      <c r="S2010" s="467" t="str">
        <f t="shared" si="62"/>
        <v>Leasehold (non-mineral; excluded from mineral NMA). Gross=tract-map basis.</v>
      </c>
      <c r="T2010" s="489"/>
      <c r="U2010" s="490"/>
      <c r="V2010" s="450"/>
      <c r="W2010" s="450"/>
      <c r="X2010" s="450"/>
      <c r="Y2010" s="450"/>
      <c r="Z2010" s="450"/>
    </row>
    <row r="2011" spans="1:26" x14ac:dyDescent="0.25">
      <c r="A2011" s="467" t="s">
        <v>1891</v>
      </c>
      <c r="B2011" s="467"/>
      <c r="C2011" s="467" t="s">
        <v>1892</v>
      </c>
      <c r="D2011" s="467" t="s">
        <v>1893</v>
      </c>
      <c r="E2011" s="468">
        <v>38798</v>
      </c>
      <c r="F2011" s="468">
        <v>38813</v>
      </c>
      <c r="G2011" s="467" t="s">
        <v>262</v>
      </c>
      <c r="H2011" s="467" t="s">
        <v>1894</v>
      </c>
      <c r="I2011" s="467" t="s">
        <v>215</v>
      </c>
      <c r="J2011" s="467" t="s">
        <v>1895</v>
      </c>
      <c r="K2011" s="469" t="str">
        <f>HYPERLINK("https://okcountyrecords.com/detail/roger+mills/2006-002685","OKCountyRecords: 2006-002685")</f>
        <v>OKCountyRecords: 2006-002685</v>
      </c>
      <c r="L2011" s="467">
        <v>2</v>
      </c>
      <c r="M2011" s="467" t="s">
        <v>1489</v>
      </c>
      <c r="N2011" s="470"/>
      <c r="O2011" s="471">
        <f t="shared" si="58"/>
        <v>160</v>
      </c>
      <c r="P2011" s="472" t="str">
        <f t="shared" si="59"/>
        <v/>
      </c>
      <c r="Q2011" s="472" t="str">
        <f t="shared" si="60"/>
        <v/>
      </c>
      <c r="R2011" s="473" t="str">
        <f t="shared" si="61"/>
        <v/>
      </c>
      <c r="S2011" s="467" t="str">
        <f t="shared" si="62"/>
        <v>Leasehold (non-mineral; excluded from mineral NMA). Gross=tract-map basis.</v>
      </c>
      <c r="T2011" s="489"/>
      <c r="U2011" s="490"/>
      <c r="V2011" s="450"/>
      <c r="W2011" s="450"/>
      <c r="X2011" s="450"/>
      <c r="Y2011" s="450"/>
      <c r="Z2011" s="450"/>
    </row>
    <row r="2012" spans="1:26" x14ac:dyDescent="0.25">
      <c r="A2012" s="467" t="s">
        <v>1896</v>
      </c>
      <c r="B2012" s="467"/>
      <c r="C2012" s="467" t="s">
        <v>619</v>
      </c>
      <c r="D2012" s="467" t="s">
        <v>1897</v>
      </c>
      <c r="E2012" s="468">
        <v>38855</v>
      </c>
      <c r="F2012" s="468">
        <v>38856</v>
      </c>
      <c r="G2012" s="467" t="s">
        <v>1898</v>
      </c>
      <c r="H2012" s="467" t="s">
        <v>1899</v>
      </c>
      <c r="I2012" s="467" t="s">
        <v>1280</v>
      </c>
      <c r="J2012" s="467" t="s">
        <v>1900</v>
      </c>
      <c r="K2012" s="469" t="str">
        <f>HYPERLINK("https://okcountyrecords.com/detail/roger+mills/2006-003765","OKCountyRecords: 2006-003765")</f>
        <v>OKCountyRecords: 2006-003765</v>
      </c>
      <c r="L2012" s="467">
        <v>2</v>
      </c>
      <c r="M2012" s="467" t="s">
        <v>404</v>
      </c>
      <c r="N2012" s="470">
        <v>1</v>
      </c>
      <c r="O2012" s="471">
        <f t="shared" si="58"/>
        <v>160</v>
      </c>
      <c r="P2012" s="472">
        <f t="shared" si="59"/>
        <v>1</v>
      </c>
      <c r="Q2012" s="472">
        <f t="shared" si="60"/>
        <v>-1</v>
      </c>
      <c r="R2012" s="473">
        <f t="shared" si="61"/>
        <v>160</v>
      </c>
      <c r="S2012" s="467" t="str">
        <f t="shared" si="62"/>
        <v>Mineral; basis Conv Amt(dec). Gross=tract-map basis.</v>
      </c>
      <c r="T2012" s="489"/>
      <c r="U2012" s="490"/>
      <c r="V2012" s="450"/>
      <c r="W2012" s="450"/>
      <c r="X2012" s="450"/>
      <c r="Y2012" s="450"/>
      <c r="Z2012" s="450"/>
    </row>
    <row r="2013" spans="1:26" x14ac:dyDescent="0.25">
      <c r="A2013" s="467" t="s">
        <v>1901</v>
      </c>
      <c r="B2013" s="467"/>
      <c r="C2013" s="467" t="s">
        <v>1902</v>
      </c>
      <c r="D2013" s="467" t="s">
        <v>1903</v>
      </c>
      <c r="E2013" s="468">
        <v>38861</v>
      </c>
      <c r="F2013" s="468">
        <v>38961</v>
      </c>
      <c r="G2013" s="467" t="s">
        <v>1904</v>
      </c>
      <c r="H2013" s="467" t="s">
        <v>1905</v>
      </c>
      <c r="I2013" s="467" t="s">
        <v>1280</v>
      </c>
      <c r="J2013" s="467" t="s">
        <v>63</v>
      </c>
      <c r="K2013" s="469" t="str">
        <f>HYPERLINK("https://okcountyrecords.com/detail/roger+mills/2006-006122","OKCountyRecords: 2006-006122")</f>
        <v>OKCountyRecords: 2006-006122</v>
      </c>
      <c r="L2013" s="467">
        <v>2</v>
      </c>
      <c r="M2013" s="467" t="s">
        <v>404</v>
      </c>
      <c r="N2013" s="470"/>
      <c r="O2013" s="471">
        <f t="shared" si="58"/>
        <v>160</v>
      </c>
      <c r="P2013" s="472" t="str">
        <f t="shared" si="59"/>
        <v/>
      </c>
      <c r="Q2013" s="472" t="str">
        <f t="shared" si="60"/>
        <v/>
      </c>
      <c r="R2013" s="473" t="str">
        <f t="shared" si="61"/>
        <v/>
      </c>
      <c r="S2013" s="467" t="str">
        <f t="shared" si="62"/>
        <v>Mineral; NO AMOUNT-verify instrument. Gross=tract-map basis.</v>
      </c>
      <c r="T2013" s="489"/>
      <c r="U2013" s="490"/>
      <c r="V2013" s="450"/>
      <c r="W2013" s="450"/>
      <c r="X2013" s="450"/>
      <c r="Y2013" s="450"/>
      <c r="Z2013" s="450"/>
    </row>
    <row r="2014" spans="1:26" x14ac:dyDescent="0.25">
      <c r="A2014" s="467" t="s">
        <v>1906</v>
      </c>
      <c r="B2014" s="467"/>
      <c r="C2014" s="467" t="s">
        <v>1907</v>
      </c>
      <c r="D2014" s="467" t="s">
        <v>1908</v>
      </c>
      <c r="E2014" s="468">
        <v>38861</v>
      </c>
      <c r="F2014" s="468">
        <v>39162</v>
      </c>
      <c r="G2014" s="467" t="s">
        <v>1909</v>
      </c>
      <c r="H2014" s="467" t="s">
        <v>1910</v>
      </c>
      <c r="I2014" s="467" t="s">
        <v>1911</v>
      </c>
      <c r="J2014" s="467" t="s">
        <v>1912</v>
      </c>
      <c r="K2014" s="469" t="str">
        <f>HYPERLINK("https://okcountyrecords.com/detail/roger+mills/2007-001310","OKCountyRecords: 2007-001310")</f>
        <v>OKCountyRecords: 2007-001310</v>
      </c>
      <c r="L2014" s="467" t="s">
        <v>602</v>
      </c>
      <c r="M2014" s="467" t="s">
        <v>1912</v>
      </c>
      <c r="N2014" s="476"/>
      <c r="O2014" s="471">
        <f t="shared" si="58"/>
        <v>440</v>
      </c>
      <c r="P2014" s="472" t="str">
        <f t="shared" si="59"/>
        <v/>
      </c>
      <c r="Q2014" s="472" t="str">
        <f t="shared" si="60"/>
        <v/>
      </c>
      <c r="R2014" s="473" t="str">
        <f t="shared" si="61"/>
        <v/>
      </c>
      <c r="S2014" s="467" t="str">
        <f t="shared" si="62"/>
        <v>ORRI (non-mineral; excluded from mineral NMA). Gross=tract-map basis.</v>
      </c>
      <c r="T2014" s="489"/>
      <c r="U2014" s="490"/>
      <c r="V2014" s="450"/>
      <c r="W2014" s="450"/>
      <c r="X2014" s="450"/>
      <c r="Y2014" s="450"/>
      <c r="Z2014" s="450"/>
    </row>
    <row r="2015" spans="1:26" x14ac:dyDescent="0.25">
      <c r="A2015" s="467" t="s">
        <v>1915</v>
      </c>
      <c r="B2015" s="467"/>
      <c r="C2015" s="467" t="s">
        <v>1892</v>
      </c>
      <c r="D2015" s="467" t="s">
        <v>1916</v>
      </c>
      <c r="E2015" s="468">
        <v>38862</v>
      </c>
      <c r="F2015" s="468">
        <v>38867</v>
      </c>
      <c r="G2015" s="467" t="s">
        <v>1917</v>
      </c>
      <c r="H2015" s="467" t="s">
        <v>8643</v>
      </c>
      <c r="I2015" s="467" t="s">
        <v>215</v>
      </c>
      <c r="J2015" s="467" t="s">
        <v>1918</v>
      </c>
      <c r="K2015" s="469" t="str">
        <f>HYPERLINK("https://okcountyrecords.com/detail/roger+mills/2006-003993","OKCountyRecords: 2006-003993")</f>
        <v>OKCountyRecords: 2006-003993</v>
      </c>
      <c r="L2015" s="467">
        <v>2</v>
      </c>
      <c r="M2015" s="467" t="s">
        <v>1489</v>
      </c>
      <c r="N2015" s="470"/>
      <c r="O2015" s="471">
        <f t="shared" si="58"/>
        <v>160</v>
      </c>
      <c r="P2015" s="472" t="str">
        <f t="shared" si="59"/>
        <v/>
      </c>
      <c r="Q2015" s="472" t="str">
        <f t="shared" si="60"/>
        <v/>
      </c>
      <c r="R2015" s="473" t="str">
        <f t="shared" si="61"/>
        <v/>
      </c>
      <c r="S2015" s="467" t="str">
        <f t="shared" si="62"/>
        <v>Leasehold (non-mineral; excluded from mineral NMA). Gross=tract-map basis.</v>
      </c>
      <c r="T2015" s="489"/>
      <c r="U2015" s="490"/>
      <c r="V2015" s="450"/>
      <c r="W2015" s="450"/>
      <c r="X2015" s="450"/>
      <c r="Y2015" s="450"/>
      <c r="Z2015" s="450"/>
    </row>
    <row r="2016" spans="1:26" x14ac:dyDescent="0.25">
      <c r="A2016" s="467" t="s">
        <v>1919</v>
      </c>
      <c r="B2016" s="467"/>
      <c r="C2016" s="467" t="s">
        <v>1920</v>
      </c>
      <c r="D2016" s="467" t="s">
        <v>1921</v>
      </c>
      <c r="E2016" s="468">
        <v>38869</v>
      </c>
      <c r="F2016" s="468">
        <v>38915</v>
      </c>
      <c r="G2016" s="467" t="s">
        <v>1922</v>
      </c>
      <c r="H2016" s="467" t="s">
        <v>102</v>
      </c>
      <c r="I2016" s="467" t="s">
        <v>883</v>
      </c>
      <c r="J2016" s="467" t="s">
        <v>1923</v>
      </c>
      <c r="K2016" s="469" t="str">
        <f>HYPERLINK("https://okcountyrecords.com/detail/roger+mills/2006-005146","OKCountyRecords: 2006-005146")</f>
        <v>OKCountyRecords: 2006-005146</v>
      </c>
      <c r="L2016" s="467">
        <v>4</v>
      </c>
      <c r="M2016" s="467" t="s">
        <v>1489</v>
      </c>
      <c r="N2016" s="470"/>
      <c r="O2016" s="471">
        <f t="shared" si="58"/>
        <v>80</v>
      </c>
      <c r="P2016" s="472" t="str">
        <f t="shared" si="59"/>
        <v/>
      </c>
      <c r="Q2016" s="472" t="str">
        <f t="shared" si="60"/>
        <v/>
      </c>
      <c r="R2016" s="473" t="str">
        <f t="shared" si="61"/>
        <v/>
      </c>
      <c r="S2016" s="467" t="s">
        <v>1501</v>
      </c>
      <c r="T2016" s="489" t="s">
        <v>467</v>
      </c>
      <c r="U2016" s="490" t="s">
        <v>504</v>
      </c>
      <c r="V2016" s="450"/>
      <c r="W2016" s="450"/>
      <c r="X2016" s="450"/>
      <c r="Y2016" s="450"/>
      <c r="Z2016" s="450"/>
    </row>
    <row r="2017" spans="1:26" x14ac:dyDescent="0.25">
      <c r="A2017" s="467" t="s">
        <v>1924</v>
      </c>
      <c r="B2017" s="467"/>
      <c r="C2017" s="467" t="s">
        <v>1925</v>
      </c>
      <c r="D2017" s="467" t="s">
        <v>1926</v>
      </c>
      <c r="E2017" s="468">
        <v>38890</v>
      </c>
      <c r="F2017" s="468">
        <v>38897</v>
      </c>
      <c r="G2017" s="467" t="s">
        <v>1927</v>
      </c>
      <c r="H2017" s="467" t="s">
        <v>1928</v>
      </c>
      <c r="I2017" s="467" t="s">
        <v>215</v>
      </c>
      <c r="J2017" s="467" t="s">
        <v>1929</v>
      </c>
      <c r="K2017" s="469" t="str">
        <f>HYPERLINK("https://okcountyrecords.com/detail/roger+mills/2006-004747","OKCountyRecords: 2006-004747")</f>
        <v>OKCountyRecords: 2006-004747</v>
      </c>
      <c r="L2017" s="467">
        <v>2</v>
      </c>
      <c r="M2017" s="467" t="s">
        <v>1489</v>
      </c>
      <c r="N2017" s="470"/>
      <c r="O2017" s="471">
        <f t="shared" si="58"/>
        <v>160</v>
      </c>
      <c r="P2017" s="472" t="str">
        <f t="shared" si="59"/>
        <v/>
      </c>
      <c r="Q2017" s="472" t="str">
        <f t="shared" si="60"/>
        <v/>
      </c>
      <c r="R2017" s="473" t="str">
        <f t="shared" si="61"/>
        <v/>
      </c>
      <c r="S2017" s="467"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89"/>
      <c r="U2017" s="490"/>
      <c r="V2017" s="450"/>
      <c r="W2017" s="450"/>
      <c r="X2017" s="450"/>
      <c r="Y2017" s="450"/>
      <c r="Z2017" s="450"/>
    </row>
    <row r="2018" spans="1:26" x14ac:dyDescent="0.25">
      <c r="A2018" s="467" t="s">
        <v>1930</v>
      </c>
      <c r="B2018" s="467"/>
      <c r="C2018" s="467" t="s">
        <v>1872</v>
      </c>
      <c r="D2018" s="467" t="s">
        <v>1931</v>
      </c>
      <c r="E2018" s="468">
        <v>38905</v>
      </c>
      <c r="F2018" s="468">
        <v>38911</v>
      </c>
      <c r="G2018" s="467" t="s">
        <v>1932</v>
      </c>
      <c r="H2018" s="467" t="s">
        <v>1933</v>
      </c>
      <c r="I2018" s="467" t="s">
        <v>215</v>
      </c>
      <c r="J2018" s="467" t="s">
        <v>1934</v>
      </c>
      <c r="K2018" s="469" t="str">
        <f>HYPERLINK("https://okcountyrecords.com/detail/roger+mills/2006-005043","OKCountyRecords: 2006-005043")</f>
        <v>OKCountyRecords: 2006-005043</v>
      </c>
      <c r="L2018" s="467">
        <v>2</v>
      </c>
      <c r="M2018" s="467" t="s">
        <v>1489</v>
      </c>
      <c r="N2018" s="470"/>
      <c r="O2018" s="471">
        <f t="shared" si="58"/>
        <v>160</v>
      </c>
      <c r="P2018" s="472" t="str">
        <f t="shared" si="59"/>
        <v/>
      </c>
      <c r="Q2018" s="472" t="str">
        <f t="shared" si="60"/>
        <v/>
      </c>
      <c r="R2018" s="473" t="str">
        <f t="shared" si="61"/>
        <v/>
      </c>
      <c r="S2018" s="467" t="str">
        <f t="shared" si="63"/>
        <v>Leasehold (non-mineral; excluded from mineral NMA). Gross=tract-map basis.</v>
      </c>
      <c r="T2018" s="489"/>
      <c r="U2018" s="490"/>
      <c r="V2018" s="450"/>
      <c r="W2018" s="450"/>
      <c r="X2018" s="450"/>
      <c r="Y2018" s="450"/>
      <c r="Z2018" s="450"/>
    </row>
    <row r="2019" spans="1:26" x14ac:dyDescent="0.25">
      <c r="A2019" s="467" t="s">
        <v>1935</v>
      </c>
      <c r="B2019" s="467"/>
      <c r="C2019" s="467" t="s">
        <v>1872</v>
      </c>
      <c r="D2019" s="467" t="s">
        <v>1936</v>
      </c>
      <c r="E2019" s="468">
        <v>38909</v>
      </c>
      <c r="F2019" s="468"/>
      <c r="G2019" s="467" t="s">
        <v>1937</v>
      </c>
      <c r="H2019" s="467" t="s">
        <v>1938</v>
      </c>
      <c r="I2019" s="467" t="s">
        <v>215</v>
      </c>
      <c r="J2019" s="467" t="s">
        <v>8644</v>
      </c>
      <c r="K2019" s="477" t="s">
        <v>1939</v>
      </c>
      <c r="L2019" s="467">
        <v>2</v>
      </c>
      <c r="M2019" s="467" t="s">
        <v>1489</v>
      </c>
      <c r="N2019" s="470">
        <v>1</v>
      </c>
      <c r="O2019" s="467">
        <f t="shared" si="58"/>
        <v>160</v>
      </c>
      <c r="P2019" s="472" t="str">
        <f t="shared" si="59"/>
        <v/>
      </c>
      <c r="Q2019" s="472" t="str">
        <f t="shared" si="60"/>
        <v/>
      </c>
      <c r="R2019" s="473" t="str">
        <f t="shared" si="61"/>
        <v/>
      </c>
      <c r="S2019" s="467" t="str">
        <f t="shared" si="63"/>
        <v>Leasehold (non-mineral; excluded from mineral NMA). Gross=tract-map basis.</v>
      </c>
      <c r="T2019" s="489" t="s">
        <v>845</v>
      </c>
      <c r="U2019" s="490" t="s">
        <v>1940</v>
      </c>
      <c r="V2019" s="450"/>
      <c r="W2019" s="450"/>
      <c r="X2019" s="450"/>
      <c r="Y2019" s="450"/>
      <c r="Z2019" s="450"/>
    </row>
    <row r="2020" spans="1:26" x14ac:dyDescent="0.25">
      <c r="A2020" s="467" t="s">
        <v>1941</v>
      </c>
      <c r="B2020" s="467"/>
      <c r="C2020" s="467" t="s">
        <v>1872</v>
      </c>
      <c r="D2020" s="467" t="s">
        <v>1942</v>
      </c>
      <c r="E2020" s="468">
        <v>38909</v>
      </c>
      <c r="F2020" s="468">
        <v>38912</v>
      </c>
      <c r="G2020" s="467" t="s">
        <v>1937</v>
      </c>
      <c r="H2020" s="467" t="s">
        <v>1938</v>
      </c>
      <c r="I2020" s="467" t="s">
        <v>215</v>
      </c>
      <c r="J2020" s="467" t="s">
        <v>1934</v>
      </c>
      <c r="K2020" s="469" t="str">
        <f>HYPERLINK("https://okcountyrecords.com/detail/roger+mills/2006-005081","OKCountyRecords: 2006-005081")</f>
        <v>OKCountyRecords: 2006-005081</v>
      </c>
      <c r="L2020" s="467">
        <v>2</v>
      </c>
      <c r="M2020" s="467" t="s">
        <v>1489</v>
      </c>
      <c r="N2020" s="470">
        <v>1</v>
      </c>
      <c r="O2020" s="471">
        <f t="shared" si="58"/>
        <v>160</v>
      </c>
      <c r="P2020" s="472" t="str">
        <f t="shared" si="59"/>
        <v/>
      </c>
      <c r="Q2020" s="472" t="str">
        <f t="shared" si="60"/>
        <v/>
      </c>
      <c r="R2020" s="473" t="str">
        <f t="shared" si="61"/>
        <v/>
      </c>
      <c r="S2020" s="467" t="str">
        <f t="shared" si="63"/>
        <v>Leasehold (non-mineral; excluded from mineral NMA). Gross=tract-map basis.</v>
      </c>
      <c r="T2020" s="492" t="s">
        <v>641</v>
      </c>
      <c r="U2020" s="492" t="s">
        <v>1943</v>
      </c>
      <c r="V2020" s="450"/>
      <c r="W2020" s="450"/>
      <c r="X2020" s="450"/>
      <c r="Y2020" s="450"/>
      <c r="Z2020" s="450"/>
    </row>
    <row r="2021" spans="1:26" x14ac:dyDescent="0.25">
      <c r="A2021" s="467" t="s">
        <v>1944</v>
      </c>
      <c r="B2021" s="467"/>
      <c r="C2021" s="467" t="s">
        <v>1945</v>
      </c>
      <c r="D2021" s="467" t="s">
        <v>1946</v>
      </c>
      <c r="E2021" s="468">
        <v>39009</v>
      </c>
      <c r="F2021" s="468">
        <v>39029</v>
      </c>
      <c r="G2021" s="467" t="s">
        <v>1927</v>
      </c>
      <c r="H2021" s="467" t="s">
        <v>1947</v>
      </c>
      <c r="I2021" s="467" t="s">
        <v>215</v>
      </c>
      <c r="J2021" s="467" t="s">
        <v>1929</v>
      </c>
      <c r="K2021" s="469" t="str">
        <f>HYPERLINK("https://okcountyrecords.com/detail/roger+mills/2006-007198","OKCountyRecords: 2006-007198")</f>
        <v>OKCountyRecords: 2006-007198</v>
      </c>
      <c r="L2021" s="467">
        <v>2</v>
      </c>
      <c r="M2021" s="467" t="s">
        <v>1489</v>
      </c>
      <c r="N2021" s="470"/>
      <c r="O2021" s="471">
        <f t="shared" si="58"/>
        <v>160</v>
      </c>
      <c r="P2021" s="472" t="str">
        <f t="shared" si="59"/>
        <v/>
      </c>
      <c r="Q2021" s="472" t="str">
        <f t="shared" si="60"/>
        <v/>
      </c>
      <c r="R2021" s="473" t="str">
        <f t="shared" si="61"/>
        <v/>
      </c>
      <c r="S2021" s="467" t="str">
        <f t="shared" si="63"/>
        <v>Leasehold (non-mineral; excluded from mineral NMA). Gross=tract-map basis.</v>
      </c>
      <c r="T2021" s="489"/>
      <c r="U2021" s="490"/>
      <c r="V2021" s="450"/>
      <c r="W2021" s="450"/>
      <c r="X2021" s="450"/>
      <c r="Y2021" s="450"/>
      <c r="Z2021" s="450"/>
    </row>
    <row r="2022" spans="1:26" x14ac:dyDescent="0.25">
      <c r="A2022" s="467" t="s">
        <v>1948</v>
      </c>
      <c r="B2022" s="467"/>
      <c r="C2022" s="467" t="s">
        <v>1456</v>
      </c>
      <c r="D2022" s="467" t="s">
        <v>1949</v>
      </c>
      <c r="E2022" s="468">
        <v>39052</v>
      </c>
      <c r="F2022" s="468">
        <v>39104</v>
      </c>
      <c r="G2022" s="467" t="s">
        <v>1950</v>
      </c>
      <c r="H2022" s="467" t="s">
        <v>1951</v>
      </c>
      <c r="I2022" s="467" t="s">
        <v>215</v>
      </c>
      <c r="J2022" s="467" t="s">
        <v>1952</v>
      </c>
      <c r="K2022" s="469" t="str">
        <f>HYPERLINK("https://okcountyrecords.com/detail/roger+mills/2007-000328","OKCountyRecords: 2007-000328")</f>
        <v>OKCountyRecords: 2007-000328</v>
      </c>
      <c r="L2022" s="467">
        <v>2</v>
      </c>
      <c r="M2022" s="467" t="s">
        <v>1489</v>
      </c>
      <c r="N2022" s="470"/>
      <c r="O2022" s="471">
        <f t="shared" si="58"/>
        <v>160</v>
      </c>
      <c r="P2022" s="472" t="str">
        <f t="shared" si="59"/>
        <v/>
      </c>
      <c r="Q2022" s="472" t="str">
        <f t="shared" si="60"/>
        <v/>
      </c>
      <c r="R2022" s="473" t="str">
        <f t="shared" si="61"/>
        <v/>
      </c>
      <c r="S2022" s="467" t="str">
        <f t="shared" si="63"/>
        <v>Leasehold (non-mineral; excluded from mineral NMA). Gross=tract-map basis.</v>
      </c>
      <c r="T2022" s="489"/>
      <c r="U2022" s="490"/>
      <c r="V2022" s="450"/>
      <c r="W2022" s="450"/>
      <c r="X2022" s="450"/>
      <c r="Y2022" s="450"/>
      <c r="Z2022" s="450"/>
    </row>
    <row r="2023" spans="1:26" x14ac:dyDescent="0.25">
      <c r="A2023" s="467" t="s">
        <v>1953</v>
      </c>
      <c r="B2023" s="467"/>
      <c r="C2023" s="467" t="s">
        <v>1954</v>
      </c>
      <c r="D2023" s="467" t="s">
        <v>1955</v>
      </c>
      <c r="E2023" s="468">
        <v>39145</v>
      </c>
      <c r="F2023" s="468">
        <v>39325</v>
      </c>
      <c r="G2023" s="467" t="s">
        <v>1956</v>
      </c>
      <c r="H2023" s="467" t="s">
        <v>1957</v>
      </c>
      <c r="I2023" s="467" t="s">
        <v>1958</v>
      </c>
      <c r="J2023" s="467" t="s">
        <v>1959</v>
      </c>
      <c r="K2023" s="469" t="str">
        <f>HYPERLINK("https://okcountyrecords.com/detail/roger+mills/2007-003914","OKCountyRecords: 2007-003914")</f>
        <v>OKCountyRecords: 2007-003914</v>
      </c>
      <c r="L2023" s="467" t="s">
        <v>1960</v>
      </c>
      <c r="M2023" s="467" t="s">
        <v>1489</v>
      </c>
      <c r="N2023" s="476"/>
      <c r="O2023" s="471">
        <f t="shared" si="58"/>
        <v>160</v>
      </c>
      <c r="P2023" s="472" t="str">
        <f t="shared" si="59"/>
        <v/>
      </c>
      <c r="Q2023" s="472" t="str">
        <f t="shared" si="60"/>
        <v/>
      </c>
      <c r="R2023" s="473" t="str">
        <f t="shared" si="61"/>
        <v/>
      </c>
      <c r="S2023" s="467" t="str">
        <f t="shared" si="63"/>
        <v>Leasehold (non-mineral; excluded from mineral NMA). Gross=tract-map basis.</v>
      </c>
      <c r="T2023" s="489"/>
      <c r="U2023" s="490"/>
      <c r="V2023" s="450"/>
      <c r="W2023" s="450"/>
      <c r="X2023" s="450"/>
      <c r="Y2023" s="450"/>
      <c r="Z2023" s="450"/>
    </row>
    <row r="2024" spans="1:26" x14ac:dyDescent="0.25">
      <c r="A2024" s="467" t="s">
        <v>1961</v>
      </c>
      <c r="B2024" s="467"/>
      <c r="C2024" s="467" t="s">
        <v>619</v>
      </c>
      <c r="D2024" s="467" t="s">
        <v>1962</v>
      </c>
      <c r="E2024" s="468">
        <v>39160</v>
      </c>
      <c r="F2024" s="468">
        <v>39167</v>
      </c>
      <c r="G2024" s="467" t="s">
        <v>1963</v>
      </c>
      <c r="H2024" s="467" t="s">
        <v>114</v>
      </c>
      <c r="I2024" s="467" t="s">
        <v>1280</v>
      </c>
      <c r="J2024" s="467" t="s">
        <v>63</v>
      </c>
      <c r="K2024" s="469" t="str">
        <f>HYPERLINK("https://okcountyrecords.com/detail/roger+mills/2007-001374","OKCountyRecords: 2007-001374")</f>
        <v>OKCountyRecords: 2007-001374</v>
      </c>
      <c r="L2024" s="467">
        <v>2</v>
      </c>
      <c r="M2024" s="467" t="s">
        <v>404</v>
      </c>
      <c r="N2024" s="470">
        <v>1</v>
      </c>
      <c r="O2024" s="471">
        <f t="shared" si="58"/>
        <v>160</v>
      </c>
      <c r="P2024" s="472">
        <f t="shared" si="59"/>
        <v>1</v>
      </c>
      <c r="Q2024" s="472">
        <f t="shared" si="60"/>
        <v>-1</v>
      </c>
      <c r="R2024" s="473">
        <f t="shared" si="61"/>
        <v>160</v>
      </c>
      <c r="S2024" s="467" t="str">
        <f t="shared" si="63"/>
        <v>Mineral; basis Conv Amt(dec). Gross=tract-map basis.</v>
      </c>
      <c r="T2024" s="489"/>
      <c r="U2024" s="490"/>
      <c r="V2024" s="450"/>
      <c r="W2024" s="450"/>
      <c r="X2024" s="450"/>
      <c r="Y2024" s="450"/>
      <c r="Z2024" s="450"/>
    </row>
    <row r="2025" spans="1:26" x14ac:dyDescent="0.25">
      <c r="A2025" s="467" t="s">
        <v>1964</v>
      </c>
      <c r="B2025" s="467"/>
      <c r="C2025" s="467" t="s">
        <v>533</v>
      </c>
      <c r="D2025" s="467" t="s">
        <v>1965</v>
      </c>
      <c r="E2025" s="468">
        <v>39162</v>
      </c>
      <c r="F2025" s="468">
        <v>39197</v>
      </c>
      <c r="G2025" s="467" t="s">
        <v>1966</v>
      </c>
      <c r="H2025" s="467" t="s">
        <v>1967</v>
      </c>
      <c r="I2025" s="467" t="s">
        <v>1968</v>
      </c>
      <c r="J2025" s="467" t="s">
        <v>63</v>
      </c>
      <c r="K2025" s="469" t="str">
        <f>HYPERLINK("https://okcountyrecords.com/detail/roger+mills/2007-001848","OKCountyRecords: 2007-001848")</f>
        <v>OKCountyRecords: 2007-001848</v>
      </c>
      <c r="L2025" s="467" t="s">
        <v>1969</v>
      </c>
      <c r="M2025" s="467" t="s">
        <v>404</v>
      </c>
      <c r="N2025" s="476">
        <v>1</v>
      </c>
      <c r="O2025" s="471">
        <f t="shared" si="58"/>
        <v>280</v>
      </c>
      <c r="P2025" s="472">
        <f t="shared" si="59"/>
        <v>1</v>
      </c>
      <c r="Q2025" s="472">
        <f t="shared" si="60"/>
        <v>-1</v>
      </c>
      <c r="R2025" s="473">
        <f t="shared" si="61"/>
        <v>280</v>
      </c>
      <c r="S2025" s="467" t="str">
        <f t="shared" si="63"/>
        <v>Mineral; basis Conv Amt(dec). Gross=tract-map basis.</v>
      </c>
      <c r="T2025" s="489"/>
      <c r="U2025" s="490"/>
      <c r="V2025" s="450"/>
      <c r="W2025" s="450"/>
      <c r="X2025" s="450"/>
      <c r="Y2025" s="450"/>
      <c r="Z2025" s="450"/>
    </row>
    <row r="2026" spans="1:26" x14ac:dyDescent="0.25">
      <c r="A2026" s="467" t="s">
        <v>1970</v>
      </c>
      <c r="B2026" s="467"/>
      <c r="C2026" s="467" t="s">
        <v>1887</v>
      </c>
      <c r="D2026" s="467" t="s">
        <v>1971</v>
      </c>
      <c r="E2026" s="468">
        <v>39268</v>
      </c>
      <c r="F2026" s="468">
        <v>39269</v>
      </c>
      <c r="G2026" s="467" t="s">
        <v>1529</v>
      </c>
      <c r="H2026" s="467" t="s">
        <v>262</v>
      </c>
      <c r="I2026" s="467" t="s">
        <v>1972</v>
      </c>
      <c r="J2026" s="467" t="s">
        <v>1973</v>
      </c>
      <c r="K2026" s="469" t="str">
        <f>HYPERLINK("https://okcountyrecords.com/detail/roger+mills/2007-002874","OKCountyRecords: 2007-002874")</f>
        <v>OKCountyRecords: 2007-002874</v>
      </c>
      <c r="L2026" s="467" t="s">
        <v>613</v>
      </c>
      <c r="M2026" s="467" t="s">
        <v>1489</v>
      </c>
      <c r="N2026" s="470"/>
      <c r="O2026" s="471">
        <f t="shared" si="58"/>
        <v>440</v>
      </c>
      <c r="P2026" s="472" t="str">
        <f t="shared" si="59"/>
        <v/>
      </c>
      <c r="Q2026" s="472" t="str">
        <f t="shared" si="60"/>
        <v/>
      </c>
      <c r="R2026" s="473" t="str">
        <f t="shared" si="61"/>
        <v/>
      </c>
      <c r="S2026" s="467" t="str">
        <f t="shared" si="63"/>
        <v>Leasehold (non-mineral; excluded from mineral NMA). Gross=tract-map basis.</v>
      </c>
      <c r="T2026" s="489"/>
      <c r="U2026" s="490"/>
      <c r="V2026" s="450"/>
      <c r="W2026" s="450"/>
      <c r="X2026" s="450"/>
      <c r="Y2026" s="450"/>
      <c r="Z2026" s="450"/>
    </row>
    <row r="2027" spans="1:26" x14ac:dyDescent="0.25">
      <c r="A2027" s="467" t="s">
        <v>1974</v>
      </c>
      <c r="B2027" s="467"/>
      <c r="C2027" s="467" t="s">
        <v>1975</v>
      </c>
      <c r="D2027" s="467" t="s">
        <v>1976</v>
      </c>
      <c r="E2027" s="468">
        <v>39315</v>
      </c>
      <c r="F2027" s="468">
        <v>39329</v>
      </c>
      <c r="G2027" s="467" t="s">
        <v>1977</v>
      </c>
      <c r="H2027" s="467" t="s">
        <v>102</v>
      </c>
      <c r="I2027" s="467" t="s">
        <v>569</v>
      </c>
      <c r="J2027" s="467" t="s">
        <v>760</v>
      </c>
      <c r="K2027" s="469" t="str">
        <f>HYPERLINK("https://okcountyrecords.com/detail/roger+mills/2007-004018","OKCountyRecords: 2007-004018")</f>
        <v>OKCountyRecords: 2007-004018</v>
      </c>
      <c r="L2027" s="467" t="s">
        <v>502</v>
      </c>
      <c r="M2027" s="467" t="s">
        <v>465</v>
      </c>
      <c r="N2027" s="470"/>
      <c r="O2027" s="471">
        <f t="shared" si="58"/>
        <v>640</v>
      </c>
      <c r="P2027" s="472" t="str">
        <f t="shared" si="59"/>
        <v/>
      </c>
      <c r="Q2027" s="472" t="str">
        <f t="shared" si="60"/>
        <v/>
      </c>
      <c r="R2027" s="473" t="str">
        <f t="shared" si="61"/>
        <v/>
      </c>
      <c r="S2027" s="467" t="s">
        <v>503</v>
      </c>
      <c r="T2027" s="489" t="s">
        <v>467</v>
      </c>
      <c r="U2027" s="490" t="s">
        <v>504</v>
      </c>
      <c r="V2027" s="450"/>
      <c r="W2027" s="450"/>
      <c r="X2027" s="450"/>
      <c r="Y2027" s="450"/>
      <c r="Z2027" s="450"/>
    </row>
    <row r="2028" spans="1:26" x14ac:dyDescent="0.25">
      <c r="A2028" s="467" t="s">
        <v>1978</v>
      </c>
      <c r="B2028" s="467">
        <v>40</v>
      </c>
      <c r="C2028" s="467" t="s">
        <v>1979</v>
      </c>
      <c r="D2028" s="467" t="s">
        <v>1936</v>
      </c>
      <c r="E2028" s="468">
        <v>39336</v>
      </c>
      <c r="F2028" s="468">
        <v>39336</v>
      </c>
      <c r="G2028" s="467" t="s">
        <v>1980</v>
      </c>
      <c r="H2028" s="467" t="s">
        <v>1981</v>
      </c>
      <c r="I2028" s="467" t="s">
        <v>1982</v>
      </c>
      <c r="J2028" s="467" t="s">
        <v>63</v>
      </c>
      <c r="K2028" s="469" t="str">
        <f>HYPERLINK("https://okcountyrecords.com/detail/roger+mills/1998-000843","OKCountyRecords: 1998-000843")</f>
        <v>OKCountyRecords: 1998-000843</v>
      </c>
      <c r="L2028" s="467" t="s">
        <v>1870</v>
      </c>
      <c r="M2028" s="467" t="s">
        <v>1489</v>
      </c>
      <c r="N2028" s="476"/>
      <c r="O2028" s="471">
        <f t="shared" si="58"/>
        <v>400</v>
      </c>
      <c r="P2028" s="472" t="str">
        <f t="shared" si="59"/>
        <v/>
      </c>
      <c r="Q2028" s="472" t="str">
        <f t="shared" si="60"/>
        <v/>
      </c>
      <c r="R2028" s="473" t="str">
        <f t="shared" si="61"/>
        <v/>
      </c>
      <c r="S2028" s="467"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92" t="s">
        <v>641</v>
      </c>
      <c r="U2028" s="492" t="s">
        <v>1984</v>
      </c>
      <c r="V2028" s="450"/>
      <c r="W2028" s="450"/>
      <c r="X2028" s="450"/>
      <c r="Y2028" s="450"/>
      <c r="Z2028" s="450"/>
    </row>
    <row r="2029" spans="1:26" x14ac:dyDescent="0.25">
      <c r="A2029" s="467" t="s">
        <v>1985</v>
      </c>
      <c r="B2029" s="467"/>
      <c r="C2029" s="467" t="s">
        <v>585</v>
      </c>
      <c r="D2029" s="467" t="s">
        <v>1986</v>
      </c>
      <c r="E2029" s="468">
        <v>39400</v>
      </c>
      <c r="F2029" s="468">
        <v>39400</v>
      </c>
      <c r="G2029" s="467" t="s">
        <v>1987</v>
      </c>
      <c r="H2029" s="467" t="s">
        <v>1988</v>
      </c>
      <c r="I2029" s="467" t="s">
        <v>1280</v>
      </c>
      <c r="J2029" s="467" t="s">
        <v>1989</v>
      </c>
      <c r="K2029" s="469" t="str">
        <f>HYPERLINK("https://okcountyrecords.com/detail/roger+mills/2007-005167","OKCountyRecords: 2007-005167")</f>
        <v>OKCountyRecords: 2007-005167</v>
      </c>
      <c r="L2029" s="467">
        <v>2</v>
      </c>
      <c r="M2029" s="467" t="s">
        <v>404</v>
      </c>
      <c r="N2029" s="470">
        <v>1</v>
      </c>
      <c r="O2029" s="471">
        <f t="shared" si="58"/>
        <v>160</v>
      </c>
      <c r="P2029" s="472">
        <f t="shared" si="59"/>
        <v>1</v>
      </c>
      <c r="Q2029" s="472">
        <f t="shared" si="60"/>
        <v>-1</v>
      </c>
      <c r="R2029" s="473">
        <f t="shared" si="61"/>
        <v>160</v>
      </c>
      <c r="S2029" s="467" t="str">
        <f t="shared" si="64"/>
        <v>Mineral; basis Conv Amt(dec). Gross=tract-map basis.</v>
      </c>
      <c r="T2029" s="490"/>
      <c r="U2029" s="490"/>
      <c r="V2029" s="450"/>
      <c r="W2029" s="450"/>
      <c r="X2029" s="450"/>
      <c r="Y2029" s="450"/>
      <c r="Z2029" s="450"/>
    </row>
    <row r="2030" spans="1:26" x14ac:dyDescent="0.25">
      <c r="A2030" s="467" t="s">
        <v>1990</v>
      </c>
      <c r="B2030" s="467"/>
      <c r="C2030" s="467" t="s">
        <v>1160</v>
      </c>
      <c r="D2030" s="467" t="s">
        <v>1991</v>
      </c>
      <c r="E2030" s="468">
        <v>39645</v>
      </c>
      <c r="F2030" s="468">
        <v>39652</v>
      </c>
      <c r="G2030" s="467" t="s">
        <v>1992</v>
      </c>
      <c r="H2030" s="467" t="s">
        <v>1993</v>
      </c>
      <c r="I2030" s="467" t="s">
        <v>579</v>
      </c>
      <c r="J2030" s="467" t="s">
        <v>63</v>
      </c>
      <c r="K2030" s="469" t="str">
        <f>HYPERLINK("https://okcountyrecords.com/detail/roger+mills/2008-004060","OKCountyRecords: 2008-004060")</f>
        <v>OKCountyRecords: 2008-004060</v>
      </c>
      <c r="L2030" s="467">
        <v>5</v>
      </c>
      <c r="M2030" s="467" t="s">
        <v>404</v>
      </c>
      <c r="N2030" s="470">
        <v>1</v>
      </c>
      <c r="O2030" s="471">
        <f t="shared" si="58"/>
        <v>120</v>
      </c>
      <c r="P2030" s="472">
        <f t="shared" si="59"/>
        <v>1</v>
      </c>
      <c r="Q2030" s="472">
        <f t="shared" si="60"/>
        <v>-1</v>
      </c>
      <c r="R2030" s="473">
        <f t="shared" si="61"/>
        <v>120</v>
      </c>
      <c r="S2030" s="467" t="str">
        <f t="shared" si="64"/>
        <v>Mineral; basis Conv Amt(dec). Gross=tract-map basis.</v>
      </c>
      <c r="T2030" s="490"/>
      <c r="U2030" s="490"/>
      <c r="V2030" s="450"/>
      <c r="W2030" s="450"/>
      <c r="X2030" s="450"/>
      <c r="Y2030" s="450"/>
      <c r="Z2030" s="450"/>
    </row>
    <row r="2031" spans="1:26" x14ac:dyDescent="0.25">
      <c r="A2031" s="467" t="s">
        <v>1994</v>
      </c>
      <c r="B2031" s="467"/>
      <c r="C2031" s="467" t="s">
        <v>619</v>
      </c>
      <c r="D2031" s="467" t="s">
        <v>1995</v>
      </c>
      <c r="E2031" s="468">
        <v>39751</v>
      </c>
      <c r="F2031" s="468">
        <v>39783</v>
      </c>
      <c r="G2031" s="467" t="s">
        <v>1996</v>
      </c>
      <c r="H2031" s="467" t="s">
        <v>1997</v>
      </c>
      <c r="I2031" s="467" t="s">
        <v>1280</v>
      </c>
      <c r="J2031" s="467" t="s">
        <v>63</v>
      </c>
      <c r="K2031" s="469" t="str">
        <f>HYPERLINK("https://okcountyrecords.com/detail/roger+mills/2008-007325","OKCountyRecords: 2008-007325")</f>
        <v>OKCountyRecords: 2008-007325</v>
      </c>
      <c r="L2031" s="467">
        <v>2</v>
      </c>
      <c r="M2031" s="467" t="s">
        <v>404</v>
      </c>
      <c r="N2031" s="470">
        <v>1</v>
      </c>
      <c r="O2031" s="471">
        <f t="shared" si="58"/>
        <v>160</v>
      </c>
      <c r="P2031" s="472">
        <f t="shared" si="59"/>
        <v>1</v>
      </c>
      <c r="Q2031" s="472">
        <f t="shared" si="60"/>
        <v>-1</v>
      </c>
      <c r="R2031" s="473">
        <f t="shared" si="61"/>
        <v>160</v>
      </c>
      <c r="S2031" s="467" t="str">
        <f t="shared" si="64"/>
        <v>Mineral; basis Conv Amt(dec). Gross=tract-map basis.</v>
      </c>
      <c r="T2031" s="490"/>
      <c r="U2031" s="490"/>
      <c r="V2031" s="450"/>
      <c r="W2031" s="450"/>
      <c r="X2031" s="450"/>
      <c r="Y2031" s="450"/>
      <c r="Z2031" s="450"/>
    </row>
    <row r="2032" spans="1:26" x14ac:dyDescent="0.25">
      <c r="A2032" s="467" t="s">
        <v>1998</v>
      </c>
      <c r="B2032" s="467"/>
      <c r="C2032" s="467" t="s">
        <v>1920</v>
      </c>
      <c r="D2032" s="467" t="s">
        <v>1999</v>
      </c>
      <c r="E2032" s="468">
        <v>39756</v>
      </c>
      <c r="F2032" s="468">
        <v>39770</v>
      </c>
      <c r="G2032" s="467" t="s">
        <v>2000</v>
      </c>
      <c r="H2032" s="467" t="s">
        <v>102</v>
      </c>
      <c r="I2032" s="467" t="s">
        <v>579</v>
      </c>
      <c r="J2032" s="467" t="s">
        <v>2001</v>
      </c>
      <c r="K2032" s="469" t="str">
        <f>HYPERLINK("https://okcountyrecords.com/detail/roger+mills/2008-007080","OKCountyRecords: 2008-007080")</f>
        <v>OKCountyRecords: 2008-007080</v>
      </c>
      <c r="L2032" s="467">
        <v>5</v>
      </c>
      <c r="M2032" s="467" t="s">
        <v>1489</v>
      </c>
      <c r="N2032" s="470"/>
      <c r="O2032" s="471">
        <f t="shared" si="58"/>
        <v>120</v>
      </c>
      <c r="P2032" s="472" t="str">
        <f t="shared" si="59"/>
        <v/>
      </c>
      <c r="Q2032" s="472" t="str">
        <f t="shared" si="60"/>
        <v/>
      </c>
      <c r="R2032" s="473" t="str">
        <f t="shared" si="61"/>
        <v/>
      </c>
      <c r="S2032" s="467" t="str">
        <f t="shared" si="64"/>
        <v>Leasehold (non-mineral; excluded from mineral NMA). FLAG: The Public placeholder-verify. Gross=tract-map basis.</v>
      </c>
      <c r="T2032" s="489"/>
      <c r="U2032" s="490"/>
      <c r="V2032" s="450"/>
      <c r="W2032" s="450"/>
      <c r="X2032" s="450"/>
      <c r="Y2032" s="450"/>
      <c r="Z2032" s="450"/>
    </row>
    <row r="2033" spans="1:26" x14ac:dyDescent="0.25">
      <c r="A2033" s="467" t="s">
        <v>2004</v>
      </c>
      <c r="B2033" s="467"/>
      <c r="C2033" s="467" t="s">
        <v>1456</v>
      </c>
      <c r="D2033" s="467" t="s">
        <v>2005</v>
      </c>
      <c r="E2033" s="468">
        <v>39815</v>
      </c>
      <c r="F2033" s="468">
        <v>39828</v>
      </c>
      <c r="G2033" s="467" t="s">
        <v>2006</v>
      </c>
      <c r="H2033" s="467" t="s">
        <v>2007</v>
      </c>
      <c r="I2033" s="467" t="s">
        <v>1256</v>
      </c>
      <c r="J2033" s="467" t="s">
        <v>63</v>
      </c>
      <c r="K2033" s="469" t="str">
        <f>HYPERLINK("https://okcountyrecords.com/detail/roger+mills/2009-000222","OKCountyRecords: 2009-000222")</f>
        <v>OKCountyRecords: 2009-000222</v>
      </c>
      <c r="L2033" s="467" t="s">
        <v>625</v>
      </c>
      <c r="M2033" s="467" t="s">
        <v>1489</v>
      </c>
      <c r="N2033" s="476"/>
      <c r="O2033" s="471">
        <f t="shared" si="58"/>
        <v>280</v>
      </c>
      <c r="P2033" s="472" t="str">
        <f t="shared" si="59"/>
        <v/>
      </c>
      <c r="Q2033" s="472" t="str">
        <f t="shared" si="60"/>
        <v/>
      </c>
      <c r="R2033" s="473" t="str">
        <f t="shared" si="61"/>
        <v/>
      </c>
      <c r="S2033" s="467" t="str">
        <f t="shared" si="64"/>
        <v>Leasehold (non-mineral; excluded from mineral NMA). Gross=tract-map basis.</v>
      </c>
      <c r="T2033" s="489"/>
      <c r="U2033" s="490"/>
      <c r="V2033" s="450"/>
      <c r="W2033" s="450"/>
      <c r="X2033" s="450"/>
      <c r="Y2033" s="450"/>
      <c r="Z2033" s="450"/>
    </row>
    <row r="2034" spans="1:26" x14ac:dyDescent="0.25">
      <c r="A2034" s="467" t="s">
        <v>2009</v>
      </c>
      <c r="B2034" s="467"/>
      <c r="C2034" s="467" t="s">
        <v>2010</v>
      </c>
      <c r="D2034" s="467" t="s">
        <v>2011</v>
      </c>
      <c r="E2034" s="468">
        <v>39854</v>
      </c>
      <c r="F2034" s="468">
        <v>39861</v>
      </c>
      <c r="G2034" s="467" t="s">
        <v>2012</v>
      </c>
      <c r="H2034" s="467" t="s">
        <v>2013</v>
      </c>
      <c r="I2034" s="467" t="s">
        <v>238</v>
      </c>
      <c r="J2034" s="467" t="s">
        <v>63</v>
      </c>
      <c r="K2034" s="469" t="str">
        <f>HYPERLINK("https://okcountyrecords.com/detail/roger+mills/2009-000702","OKCountyRecords: 2009-000702")</f>
        <v>OKCountyRecords: 2009-000702</v>
      </c>
      <c r="L2034" s="467" t="s">
        <v>502</v>
      </c>
      <c r="M2034" s="467" t="s">
        <v>404</v>
      </c>
      <c r="N2034" s="470">
        <v>1</v>
      </c>
      <c r="O2034" s="471">
        <f t="shared" si="58"/>
        <v>640</v>
      </c>
      <c r="P2034" s="472">
        <f t="shared" si="59"/>
        <v>1</v>
      </c>
      <c r="Q2034" s="472">
        <f t="shared" si="60"/>
        <v>-1</v>
      </c>
      <c r="R2034" s="473">
        <f t="shared" si="61"/>
        <v>640</v>
      </c>
      <c r="S2034" s="467"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90" t="s">
        <v>641</v>
      </c>
      <c r="U2034" s="490" t="s">
        <v>1021</v>
      </c>
      <c r="V2034" s="450"/>
      <c r="W2034" s="450"/>
      <c r="X2034" s="450"/>
      <c r="Y2034" s="450"/>
      <c r="Z2034" s="450"/>
    </row>
    <row r="2035" spans="1:26" x14ac:dyDescent="0.25">
      <c r="A2035" s="467" t="s">
        <v>2014</v>
      </c>
      <c r="B2035" s="467"/>
      <c r="C2035" s="467" t="s">
        <v>619</v>
      </c>
      <c r="D2035" s="467" t="s">
        <v>2015</v>
      </c>
      <c r="E2035" s="468">
        <v>39871</v>
      </c>
      <c r="F2035" s="468">
        <v>39874</v>
      </c>
      <c r="G2035" s="467" t="s">
        <v>2016</v>
      </c>
      <c r="H2035" s="467" t="s">
        <v>2017</v>
      </c>
      <c r="I2035" s="467" t="s">
        <v>1280</v>
      </c>
      <c r="J2035" s="467" t="s">
        <v>2018</v>
      </c>
      <c r="K2035" s="469" t="str">
        <f>HYPERLINK("https://okcountyrecords.com/detail/roger+mills/2009-000895","OKCountyRecords: 2009-000895")</f>
        <v>OKCountyRecords: 2009-000895</v>
      </c>
      <c r="L2035" s="467">
        <v>2</v>
      </c>
      <c r="M2035" s="467" t="s">
        <v>404</v>
      </c>
      <c r="N2035" s="470">
        <f>22.915741/791.47</f>
        <v>2.8953391789960453E-2</v>
      </c>
      <c r="O2035" s="471">
        <f t="shared" si="58"/>
        <v>160</v>
      </c>
      <c r="P2035" s="472">
        <f t="shared" si="59"/>
        <v>2.8953391789960453E-2</v>
      </c>
      <c r="Q2035" s="472">
        <f t="shared" si="60"/>
        <v>-2.8953391789960453E-2</v>
      </c>
      <c r="R2035" s="473">
        <f t="shared" si="61"/>
        <v>4.6325426863936725</v>
      </c>
      <c r="S2035" s="467"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90"/>
      <c r="U2035" s="490"/>
      <c r="V2035" s="450"/>
      <c r="W2035" s="450"/>
      <c r="X2035" s="450"/>
      <c r="Y2035" s="450"/>
      <c r="Z2035" s="450"/>
    </row>
    <row r="2036" spans="1:26" x14ac:dyDescent="0.25">
      <c r="A2036" s="467" t="s">
        <v>2019</v>
      </c>
      <c r="B2036" s="467"/>
      <c r="C2036" s="467" t="s">
        <v>1975</v>
      </c>
      <c r="D2036" s="467" t="s">
        <v>2020</v>
      </c>
      <c r="E2036" s="468">
        <v>40059</v>
      </c>
      <c r="F2036" s="468">
        <v>40094</v>
      </c>
      <c r="G2036" s="467" t="s">
        <v>2021</v>
      </c>
      <c r="H2036" s="467" t="s">
        <v>2022</v>
      </c>
      <c r="I2036" s="467" t="s">
        <v>2023</v>
      </c>
      <c r="J2036" s="467" t="s">
        <v>760</v>
      </c>
      <c r="K2036" s="469" t="str">
        <f>HYPERLINK("https://okcountyrecords.com/detail/roger+mills/2009-004292","OKCountyRecords: 2009-004292")</f>
        <v>OKCountyRecords: 2009-004292</v>
      </c>
      <c r="L2036" s="467" t="s">
        <v>502</v>
      </c>
      <c r="M2036" s="467" t="s">
        <v>465</v>
      </c>
      <c r="N2036" s="470"/>
      <c r="O2036" s="471">
        <f t="shared" si="58"/>
        <v>640</v>
      </c>
      <c r="P2036" s="472" t="str">
        <f t="shared" si="59"/>
        <v/>
      </c>
      <c r="Q2036" s="472" t="str">
        <f t="shared" si="60"/>
        <v/>
      </c>
      <c r="R2036" s="473" t="str">
        <f t="shared" si="61"/>
        <v/>
      </c>
      <c r="S2036" s="467"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89"/>
      <c r="U2036" s="490"/>
      <c r="V2036" s="450"/>
      <c r="W2036" s="450"/>
      <c r="X2036" s="450"/>
      <c r="Y2036" s="450"/>
      <c r="Z2036" s="450"/>
    </row>
    <row r="2037" spans="1:26" x14ac:dyDescent="0.25">
      <c r="A2037" s="467" t="s">
        <v>2024</v>
      </c>
      <c r="B2037" s="467"/>
      <c r="C2037" s="467" t="s">
        <v>1160</v>
      </c>
      <c r="D2037" s="467" t="s">
        <v>2025</v>
      </c>
      <c r="E2037" s="468">
        <v>40067</v>
      </c>
      <c r="F2037" s="468">
        <v>40238</v>
      </c>
      <c r="G2037" s="467" t="s">
        <v>2026</v>
      </c>
      <c r="H2037" s="467" t="s">
        <v>2027</v>
      </c>
      <c r="I2037" s="467" t="s">
        <v>1280</v>
      </c>
      <c r="J2037" s="467" t="s">
        <v>63</v>
      </c>
      <c r="K2037" s="469" t="str">
        <f>HYPERLINK("https://okcountyrecords.com/detail/roger+mills/2010-002337","OKCountyRecords: 2010-002337")</f>
        <v>OKCountyRecords: 2010-002337</v>
      </c>
      <c r="L2037" s="467">
        <v>2</v>
      </c>
      <c r="M2037" s="467" t="s">
        <v>404</v>
      </c>
      <c r="N2037" s="470">
        <v>1</v>
      </c>
      <c r="O2037" s="471">
        <f t="shared" si="58"/>
        <v>160</v>
      </c>
      <c r="P2037" s="472">
        <f t="shared" si="59"/>
        <v>1</v>
      </c>
      <c r="Q2037" s="472">
        <f t="shared" si="60"/>
        <v>-1</v>
      </c>
      <c r="R2037" s="473">
        <f t="shared" si="61"/>
        <v>160</v>
      </c>
      <c r="S2037" s="467"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89"/>
      <c r="U2037" s="490"/>
      <c r="V2037" s="450"/>
      <c r="W2037" s="450"/>
      <c r="X2037" s="450"/>
      <c r="Y2037" s="450"/>
      <c r="Z2037" s="450"/>
    </row>
    <row r="2038" spans="1:26" x14ac:dyDescent="0.25">
      <c r="A2038" s="467" t="s">
        <v>2028</v>
      </c>
      <c r="B2038" s="467"/>
      <c r="C2038" s="467" t="s">
        <v>2029</v>
      </c>
      <c r="D2038" s="467" t="s">
        <v>2030</v>
      </c>
      <c r="E2038" s="468">
        <v>40133</v>
      </c>
      <c r="F2038" s="468">
        <v>40158</v>
      </c>
      <c r="G2038" s="467" t="s">
        <v>114</v>
      </c>
      <c r="H2038" s="467" t="s">
        <v>2031</v>
      </c>
      <c r="I2038" s="467" t="s">
        <v>569</v>
      </c>
      <c r="J2038" s="467" t="s">
        <v>1440</v>
      </c>
      <c r="K2038" s="469" t="str">
        <f>HYPERLINK("https://okcountyrecords.com/detail/roger+mills/2009-006282","OKCountyRecords: 2009-006282")</f>
        <v>OKCountyRecords: 2009-006282</v>
      </c>
      <c r="L2038" s="467" t="s">
        <v>502</v>
      </c>
      <c r="M2038" s="467" t="s">
        <v>1489</v>
      </c>
      <c r="N2038" s="470"/>
      <c r="O2038" s="471">
        <f t="shared" si="58"/>
        <v>640</v>
      </c>
      <c r="P2038" s="472" t="str">
        <f t="shared" si="59"/>
        <v/>
      </c>
      <c r="Q2038" s="472" t="str">
        <f t="shared" si="60"/>
        <v/>
      </c>
      <c r="R2038" s="473" t="str">
        <f t="shared" si="61"/>
        <v/>
      </c>
      <c r="S2038" s="467"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89"/>
      <c r="U2038" s="490"/>
      <c r="V2038" s="450"/>
      <c r="W2038" s="450"/>
      <c r="X2038" s="450"/>
      <c r="Y2038" s="450"/>
      <c r="Z2038" s="450"/>
    </row>
    <row r="2039" spans="1:26" x14ac:dyDescent="0.25">
      <c r="A2039" s="467" t="s">
        <v>2032</v>
      </c>
      <c r="B2039" s="467"/>
      <c r="C2039" s="467" t="s">
        <v>2033</v>
      </c>
      <c r="D2039" s="467" t="s">
        <v>2034</v>
      </c>
      <c r="E2039" s="468">
        <v>40298</v>
      </c>
      <c r="F2039" s="468">
        <v>40315</v>
      </c>
      <c r="G2039" s="467" t="s">
        <v>2035</v>
      </c>
      <c r="H2039" s="467" t="s">
        <v>102</v>
      </c>
      <c r="I2039" s="467" t="s">
        <v>530</v>
      </c>
      <c r="J2039" s="467" t="s">
        <v>760</v>
      </c>
      <c r="K2039" s="469" t="str">
        <f>HYPERLINK("https://okcountyrecords.com/detail/roger+mills/2010-005367","OKCountyRecords: 2010-005367")</f>
        <v>OKCountyRecords: 2010-005367</v>
      </c>
      <c r="L2039" s="467" t="s">
        <v>502</v>
      </c>
      <c r="M2039" s="467" t="s">
        <v>465</v>
      </c>
      <c r="N2039" s="470"/>
      <c r="O2039" s="471">
        <f t="shared" si="58"/>
        <v>640</v>
      </c>
      <c r="P2039" s="472" t="str">
        <f t="shared" si="59"/>
        <v/>
      </c>
      <c r="Q2039" s="472" t="str">
        <f t="shared" si="60"/>
        <v/>
      </c>
      <c r="R2039" s="473" t="str">
        <f t="shared" si="61"/>
        <v/>
      </c>
      <c r="S2039" s="467" t="s">
        <v>503</v>
      </c>
      <c r="T2039" s="489" t="s">
        <v>467</v>
      </c>
      <c r="U2039" s="490" t="s">
        <v>504</v>
      </c>
      <c r="V2039" s="450"/>
      <c r="W2039" s="450"/>
      <c r="X2039" s="450"/>
      <c r="Y2039" s="450"/>
      <c r="Z2039" s="450"/>
    </row>
    <row r="2040" spans="1:26" x14ac:dyDescent="0.25">
      <c r="A2040" s="467" t="s">
        <v>2036</v>
      </c>
      <c r="B2040" s="467"/>
      <c r="C2040" s="467" t="s">
        <v>2037</v>
      </c>
      <c r="D2040" s="467" t="s">
        <v>2038</v>
      </c>
      <c r="E2040" s="468">
        <v>40318</v>
      </c>
      <c r="F2040" s="468">
        <v>40357</v>
      </c>
      <c r="G2040" s="467" t="s">
        <v>2039</v>
      </c>
      <c r="H2040" s="467" t="s">
        <v>1997</v>
      </c>
      <c r="I2040" s="467" t="s">
        <v>1280</v>
      </c>
      <c r="J2040" s="467" t="s">
        <v>2040</v>
      </c>
      <c r="K2040" s="469" t="str">
        <f>HYPERLINK("https://okcountyrecords.com/detail/roger+mills/2010-006561","OKCountyRecords: 2010-006561")</f>
        <v>OKCountyRecords: 2010-006561</v>
      </c>
      <c r="L2040" s="467">
        <v>2</v>
      </c>
      <c r="M2040" s="467" t="s">
        <v>404</v>
      </c>
      <c r="N2040" s="470">
        <v>1</v>
      </c>
      <c r="O2040" s="471">
        <f t="shared" si="58"/>
        <v>160</v>
      </c>
      <c r="P2040" s="472">
        <f t="shared" si="59"/>
        <v>1</v>
      </c>
      <c r="Q2040" s="472">
        <f t="shared" si="60"/>
        <v>-1</v>
      </c>
      <c r="R2040" s="473">
        <f t="shared" si="61"/>
        <v>160</v>
      </c>
      <c r="S2040" s="467"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89"/>
      <c r="U2040" s="490"/>
      <c r="V2040" s="450"/>
      <c r="W2040" s="450"/>
      <c r="X2040" s="450"/>
      <c r="Y2040" s="450"/>
      <c r="Z2040" s="450"/>
    </row>
    <row r="2041" spans="1:26" x14ac:dyDescent="0.25">
      <c r="A2041" s="467" t="s">
        <v>2041</v>
      </c>
      <c r="B2041" s="467"/>
      <c r="C2041" s="467" t="s">
        <v>619</v>
      </c>
      <c r="D2041" s="467" t="s">
        <v>2042</v>
      </c>
      <c r="E2041" s="468">
        <v>40333</v>
      </c>
      <c r="F2041" s="468">
        <v>40336</v>
      </c>
      <c r="G2041" s="467" t="s">
        <v>2043</v>
      </c>
      <c r="H2041" s="467" t="s">
        <v>2044</v>
      </c>
      <c r="I2041" s="467" t="s">
        <v>1280</v>
      </c>
      <c r="J2041" s="467" t="s">
        <v>63</v>
      </c>
      <c r="K2041" s="469" t="str">
        <f>HYPERLINK("https://okcountyrecords.com/detail/roger+mills/2010-005993","OKCountyRecords: 2010-005993")</f>
        <v>OKCountyRecords: 2010-005993</v>
      </c>
      <c r="L2041" s="467">
        <v>2</v>
      </c>
      <c r="M2041" s="467" t="s">
        <v>404</v>
      </c>
      <c r="N2041" s="470">
        <v>1</v>
      </c>
      <c r="O2041" s="471">
        <f t="shared" si="58"/>
        <v>160</v>
      </c>
      <c r="P2041" s="472">
        <f t="shared" si="59"/>
        <v>1</v>
      </c>
      <c r="Q2041" s="472">
        <f t="shared" si="60"/>
        <v>-1</v>
      </c>
      <c r="R2041" s="473">
        <f t="shared" si="61"/>
        <v>160</v>
      </c>
      <c r="S2041" s="467" t="str">
        <f t="shared" si="65"/>
        <v>Mineral; basis Conv Amt(dec). Gross=tract-map basis.</v>
      </c>
      <c r="T2041" s="489"/>
      <c r="U2041" s="490"/>
      <c r="V2041" s="450"/>
      <c r="W2041" s="450"/>
      <c r="X2041" s="450"/>
      <c r="Y2041" s="450"/>
      <c r="Z2041" s="450"/>
    </row>
    <row r="2042" spans="1:26" x14ac:dyDescent="0.25">
      <c r="A2042" s="467" t="s">
        <v>2045</v>
      </c>
      <c r="B2042" s="467"/>
      <c r="C2042" s="467" t="s">
        <v>1456</v>
      </c>
      <c r="D2042" s="467" t="s">
        <v>2046</v>
      </c>
      <c r="E2042" s="468">
        <v>40338</v>
      </c>
      <c r="F2042" s="468">
        <v>40345</v>
      </c>
      <c r="G2042" s="467" t="s">
        <v>2047</v>
      </c>
      <c r="H2042" s="467" t="s">
        <v>2048</v>
      </c>
      <c r="I2042" s="467" t="s">
        <v>883</v>
      </c>
      <c r="J2042" s="467" t="s">
        <v>2049</v>
      </c>
      <c r="K2042" s="469" t="str">
        <f>HYPERLINK("https://okcountyrecords.com/detail/roger+mills/2010-006266","OKCountyRecords: 2010-006266")</f>
        <v>OKCountyRecords: 2010-006266</v>
      </c>
      <c r="L2042" s="467">
        <v>4</v>
      </c>
      <c r="M2042" s="467" t="s">
        <v>1489</v>
      </c>
      <c r="N2042" s="470"/>
      <c r="O2042" s="471">
        <f t="shared" si="58"/>
        <v>80</v>
      </c>
      <c r="P2042" s="472" t="str">
        <f t="shared" si="59"/>
        <v/>
      </c>
      <c r="Q2042" s="472" t="str">
        <f t="shared" si="60"/>
        <v/>
      </c>
      <c r="R2042" s="473" t="str">
        <f t="shared" si="61"/>
        <v/>
      </c>
      <c r="S2042" s="467" t="str">
        <f t="shared" si="65"/>
        <v>Leasehold (non-mineral; excluded from mineral NMA). Gross=tract-map basis.</v>
      </c>
      <c r="T2042" s="489"/>
      <c r="U2042" s="490"/>
      <c r="V2042" s="450"/>
      <c r="W2042" s="450"/>
      <c r="X2042" s="450"/>
      <c r="Y2042" s="450"/>
      <c r="Z2042" s="450"/>
    </row>
    <row r="2043" spans="1:26" x14ac:dyDescent="0.25">
      <c r="A2043" s="467" t="s">
        <v>2051</v>
      </c>
      <c r="B2043" s="467"/>
      <c r="C2043" s="467" t="s">
        <v>1456</v>
      </c>
      <c r="D2043" s="467" t="s">
        <v>2052</v>
      </c>
      <c r="E2043" s="468">
        <v>40338</v>
      </c>
      <c r="F2043" s="468">
        <v>40345</v>
      </c>
      <c r="G2043" s="467" t="s">
        <v>2053</v>
      </c>
      <c r="H2043" s="467" t="s">
        <v>2054</v>
      </c>
      <c r="I2043" s="467" t="s">
        <v>883</v>
      </c>
      <c r="J2043" s="467" t="s">
        <v>2049</v>
      </c>
      <c r="K2043" s="469" t="str">
        <f>HYPERLINK("https://okcountyrecords.com/detail/roger+mills/2010-006265","OKCountyRecords: 2010-006265")</f>
        <v>OKCountyRecords: 2010-006265</v>
      </c>
      <c r="L2043" s="467">
        <v>4</v>
      </c>
      <c r="M2043" s="467" t="s">
        <v>1489</v>
      </c>
      <c r="N2043" s="470"/>
      <c r="O2043" s="471">
        <f t="shared" si="58"/>
        <v>80</v>
      </c>
      <c r="P2043" s="472" t="str">
        <f t="shared" si="59"/>
        <v/>
      </c>
      <c r="Q2043" s="472" t="str">
        <f t="shared" si="60"/>
        <v/>
      </c>
      <c r="R2043" s="473" t="str">
        <f t="shared" si="61"/>
        <v/>
      </c>
      <c r="S2043" s="467" t="str">
        <f t="shared" si="65"/>
        <v>Leasehold (non-mineral; excluded from mineral NMA). Gross=tract-map basis.</v>
      </c>
      <c r="T2043" s="489"/>
      <c r="U2043" s="490"/>
      <c r="V2043" s="450"/>
      <c r="W2043" s="450"/>
      <c r="X2043" s="450"/>
      <c r="Y2043" s="450"/>
      <c r="Z2043" s="450"/>
    </row>
    <row r="2044" spans="1:26" x14ac:dyDescent="0.25">
      <c r="A2044" s="467" t="s">
        <v>2056</v>
      </c>
      <c r="B2044" s="467"/>
      <c r="C2044" s="467" t="s">
        <v>619</v>
      </c>
      <c r="D2044" s="467" t="s">
        <v>2057</v>
      </c>
      <c r="E2044" s="468">
        <v>40357</v>
      </c>
      <c r="F2044" s="468">
        <v>40374</v>
      </c>
      <c r="G2044" s="467" t="s">
        <v>2058</v>
      </c>
      <c r="H2044" s="467" t="s">
        <v>1729</v>
      </c>
      <c r="I2044" s="467" t="s">
        <v>215</v>
      </c>
      <c r="J2044" s="467" t="s">
        <v>63</v>
      </c>
      <c r="K2044" s="469" t="str">
        <f>HYPERLINK("https://okcountyrecords.com/detail/roger+mills/2010-007125","OKCountyRecords: 2010-007125")</f>
        <v>OKCountyRecords: 2010-007125</v>
      </c>
      <c r="L2044" s="467">
        <v>2</v>
      </c>
      <c r="M2044" s="467" t="s">
        <v>404</v>
      </c>
      <c r="N2044" s="470">
        <v>1</v>
      </c>
      <c r="O2044" s="471">
        <f t="shared" si="58"/>
        <v>160</v>
      </c>
      <c r="P2044" s="472">
        <f t="shared" si="59"/>
        <v>1</v>
      </c>
      <c r="Q2044" s="472">
        <f t="shared" si="60"/>
        <v>-1</v>
      </c>
      <c r="R2044" s="473">
        <f t="shared" si="61"/>
        <v>160</v>
      </c>
      <c r="S2044" s="467" t="str">
        <f t="shared" si="65"/>
        <v>Mineral; basis Conv Amt(dec). Gross=tract-map basis.</v>
      </c>
      <c r="T2044" s="489"/>
      <c r="U2044" s="490"/>
      <c r="V2044" s="450"/>
      <c r="W2044" s="450"/>
      <c r="X2044" s="450"/>
      <c r="Y2044" s="450"/>
      <c r="Z2044" s="450"/>
    </row>
    <row r="2045" spans="1:26" x14ac:dyDescent="0.25">
      <c r="A2045" s="467" t="s">
        <v>2059</v>
      </c>
      <c r="B2045" s="467"/>
      <c r="C2045" s="467" t="s">
        <v>2060</v>
      </c>
      <c r="D2045" s="467" t="s">
        <v>2061</v>
      </c>
      <c r="E2045" s="468">
        <v>40360</v>
      </c>
      <c r="F2045" s="468">
        <v>40483</v>
      </c>
      <c r="G2045" s="467" t="s">
        <v>1957</v>
      </c>
      <c r="H2045" s="467" t="s">
        <v>2062</v>
      </c>
      <c r="I2045" s="467" t="s">
        <v>2063</v>
      </c>
      <c r="J2045" s="467" t="s">
        <v>760</v>
      </c>
      <c r="K2045" s="469" t="str">
        <f>HYPERLINK("https://okcountyrecords.com/detail/roger+mills/2010-010052","OKCountyRecords: 2010-010052")</f>
        <v>OKCountyRecords: 2010-010052</v>
      </c>
      <c r="L2045" s="467" t="s">
        <v>1960</v>
      </c>
      <c r="M2045" s="467" t="s">
        <v>465</v>
      </c>
      <c r="N2045" s="476"/>
      <c r="O2045" s="471">
        <f t="shared" si="58"/>
        <v>160</v>
      </c>
      <c r="P2045" s="472" t="str">
        <f t="shared" si="59"/>
        <v/>
      </c>
      <c r="Q2045" s="472" t="str">
        <f t="shared" si="60"/>
        <v/>
      </c>
      <c r="R2045" s="473" t="str">
        <f t="shared" si="61"/>
        <v/>
      </c>
      <c r="S2045" s="467" t="str">
        <f t="shared" si="65"/>
        <v>Other (non-mineral; excluded from mineral NMA). Gross=tract-map basis.</v>
      </c>
      <c r="T2045" s="489"/>
      <c r="U2045" s="490"/>
      <c r="V2045" s="450"/>
      <c r="W2045" s="450"/>
      <c r="X2045" s="450"/>
      <c r="Y2045" s="450"/>
      <c r="Z2045" s="450"/>
    </row>
    <row r="2046" spans="1:26" x14ac:dyDescent="0.25">
      <c r="A2046" s="467" t="s">
        <v>2064</v>
      </c>
      <c r="B2046" s="467"/>
      <c r="C2046" s="467" t="s">
        <v>619</v>
      </c>
      <c r="D2046" s="467" t="s">
        <v>2065</v>
      </c>
      <c r="E2046" s="468">
        <v>40416</v>
      </c>
      <c r="F2046" s="468">
        <v>40438</v>
      </c>
      <c r="G2046" s="467" t="s">
        <v>2066</v>
      </c>
      <c r="H2046" s="467" t="s">
        <v>2067</v>
      </c>
      <c r="I2046" s="467" t="s">
        <v>1280</v>
      </c>
      <c r="J2046" s="467" t="s">
        <v>63</v>
      </c>
      <c r="K2046" s="469" t="str">
        <f>HYPERLINK("https://okcountyrecords.com/detail/roger+mills/2010-008922","OKCountyRecords: 2010-008922")</f>
        <v>OKCountyRecords: 2010-008922</v>
      </c>
      <c r="L2046" s="467">
        <v>2</v>
      </c>
      <c r="M2046" s="467" t="s">
        <v>404</v>
      </c>
      <c r="N2046" s="470">
        <v>1</v>
      </c>
      <c r="O2046" s="471">
        <f t="shared" si="58"/>
        <v>160</v>
      </c>
      <c r="P2046" s="472">
        <f t="shared" si="59"/>
        <v>1</v>
      </c>
      <c r="Q2046" s="472">
        <f t="shared" si="60"/>
        <v>-1</v>
      </c>
      <c r="R2046" s="473">
        <f t="shared" si="61"/>
        <v>160</v>
      </c>
      <c r="S2046" s="467" t="str">
        <f t="shared" si="65"/>
        <v>Mineral; basis Conv Amt(dec). Gross=tract-map basis.</v>
      </c>
      <c r="T2046" s="490"/>
      <c r="U2046" s="490"/>
      <c r="V2046" s="450"/>
      <c r="W2046" s="450"/>
      <c r="X2046" s="450"/>
      <c r="Y2046" s="450"/>
      <c r="Z2046" s="450"/>
    </row>
    <row r="2047" spans="1:26" x14ac:dyDescent="0.25">
      <c r="A2047" s="467" t="s">
        <v>2068</v>
      </c>
      <c r="B2047" s="467"/>
      <c r="C2047" s="467" t="s">
        <v>619</v>
      </c>
      <c r="D2047" s="467" t="s">
        <v>2069</v>
      </c>
      <c r="E2047" s="468">
        <v>40437</v>
      </c>
      <c r="F2047" s="468">
        <v>40441</v>
      </c>
      <c r="G2047" s="467" t="s">
        <v>2070</v>
      </c>
      <c r="H2047" s="467" t="s">
        <v>2071</v>
      </c>
      <c r="I2047" s="467" t="s">
        <v>883</v>
      </c>
      <c r="J2047" s="467" t="s">
        <v>63</v>
      </c>
      <c r="K2047" s="469" t="str">
        <f>HYPERLINK("https://okcountyrecords.com/detail/roger+mills/2010-008934","OKCountyRecords: 2010-008934")</f>
        <v>OKCountyRecords: 2010-008934</v>
      </c>
      <c r="L2047" s="467">
        <v>4</v>
      </c>
      <c r="M2047" s="467" t="s">
        <v>404</v>
      </c>
      <c r="N2047" s="470">
        <v>1</v>
      </c>
      <c r="O2047" s="471">
        <f t="shared" si="58"/>
        <v>80</v>
      </c>
      <c r="P2047" s="472">
        <f t="shared" si="59"/>
        <v>1</v>
      </c>
      <c r="Q2047" s="472">
        <f t="shared" si="60"/>
        <v>-1</v>
      </c>
      <c r="R2047" s="473">
        <f t="shared" si="61"/>
        <v>80</v>
      </c>
      <c r="S2047" s="467" t="str">
        <f t="shared" si="65"/>
        <v>Mineral; basis Conv Amt(dec). Gross=tract-map basis.</v>
      </c>
      <c r="T2047" s="490"/>
      <c r="U2047" s="490"/>
      <c r="V2047" s="450"/>
      <c r="W2047" s="450"/>
      <c r="X2047" s="450"/>
      <c r="Y2047" s="450"/>
      <c r="Z2047" s="450"/>
    </row>
    <row r="2048" spans="1:26" x14ac:dyDescent="0.25">
      <c r="A2048" s="467" t="s">
        <v>2072</v>
      </c>
      <c r="B2048" s="467"/>
      <c r="C2048" s="467" t="s">
        <v>2073</v>
      </c>
      <c r="D2048" s="467" t="s">
        <v>2074</v>
      </c>
      <c r="E2048" s="468">
        <v>40513</v>
      </c>
      <c r="F2048" s="468">
        <v>40549</v>
      </c>
      <c r="G2048" s="467" t="s">
        <v>2075</v>
      </c>
      <c r="H2048" s="467" t="s">
        <v>2076</v>
      </c>
      <c r="I2048" s="467" t="s">
        <v>569</v>
      </c>
      <c r="J2048" s="467" t="s">
        <v>63</v>
      </c>
      <c r="K2048" s="469" t="str">
        <f>HYPERLINK("https://okcountyrecords.com/detail/roger+mills/2011-000110","OKCountyRecords: 2011-000110")</f>
        <v>OKCountyRecords: 2011-000110</v>
      </c>
      <c r="L2048" s="467" t="s">
        <v>502</v>
      </c>
      <c r="M2048" s="467" t="s">
        <v>404</v>
      </c>
      <c r="N2048" s="470">
        <v>1</v>
      </c>
      <c r="O2048" s="471">
        <f t="shared" si="58"/>
        <v>640</v>
      </c>
      <c r="P2048" s="472">
        <f t="shared" si="59"/>
        <v>1</v>
      </c>
      <c r="Q2048" s="472">
        <f t="shared" si="60"/>
        <v>-1</v>
      </c>
      <c r="R2048" s="473">
        <f t="shared" si="61"/>
        <v>640</v>
      </c>
      <c r="S2048" s="467" t="str">
        <f t="shared" si="65"/>
        <v>Mineral; basis Conv Amt(dec). All-section coverage. Gross=tract-map basis.</v>
      </c>
      <c r="T2048" s="490"/>
      <c r="U2048" s="490"/>
      <c r="V2048" s="450"/>
      <c r="W2048" s="450"/>
      <c r="X2048" s="450"/>
      <c r="Y2048" s="450"/>
      <c r="Z2048" s="450"/>
    </row>
    <row r="2049" spans="1:26" x14ac:dyDescent="0.25">
      <c r="A2049" s="467" t="s">
        <v>2077</v>
      </c>
      <c r="B2049" s="467"/>
      <c r="C2049" s="467" t="s">
        <v>2078</v>
      </c>
      <c r="D2049" s="467" t="s">
        <v>2079</v>
      </c>
      <c r="E2049" s="468">
        <v>40577</v>
      </c>
      <c r="F2049" s="468">
        <v>40592</v>
      </c>
      <c r="G2049" s="467" t="s">
        <v>2080</v>
      </c>
      <c r="H2049" s="467" t="s">
        <v>2081</v>
      </c>
      <c r="I2049" s="467" t="s">
        <v>1468</v>
      </c>
      <c r="J2049" s="467" t="s">
        <v>63</v>
      </c>
      <c r="K2049" s="469" t="str">
        <f>HYPERLINK("https://okcountyrecords.com/detail/roger+mills/2011-001008","OKCountyRecords: 2011-001008")</f>
        <v>OKCountyRecords: 2011-001008</v>
      </c>
      <c r="L2049" s="467" t="s">
        <v>1470</v>
      </c>
      <c r="M2049" s="467" t="s">
        <v>404</v>
      </c>
      <c r="N2049" s="476">
        <v>1</v>
      </c>
      <c r="O2049" s="471">
        <f t="shared" si="58"/>
        <v>240</v>
      </c>
      <c r="P2049" s="472">
        <f t="shared" si="59"/>
        <v>1</v>
      </c>
      <c r="Q2049" s="472">
        <f t="shared" si="60"/>
        <v>-1</v>
      </c>
      <c r="R2049" s="473">
        <f t="shared" si="61"/>
        <v>240</v>
      </c>
      <c r="S2049" s="467" t="str">
        <f t="shared" si="65"/>
        <v>Mineral; basis Conv Amt(dec). Gross=tract-map basis.</v>
      </c>
      <c r="T2049" s="490"/>
      <c r="U2049" s="490"/>
      <c r="V2049" s="450"/>
      <c r="W2049" s="450"/>
      <c r="X2049" s="450"/>
      <c r="Y2049" s="450"/>
      <c r="Z2049" s="450"/>
    </row>
    <row r="2050" spans="1:26" x14ac:dyDescent="0.25">
      <c r="A2050" s="467" t="s">
        <v>2082</v>
      </c>
      <c r="B2050" s="467"/>
      <c r="C2050" s="467" t="s">
        <v>2078</v>
      </c>
      <c r="D2050" s="467" t="s">
        <v>2083</v>
      </c>
      <c r="E2050" s="468">
        <v>40577</v>
      </c>
      <c r="F2050" s="468">
        <v>40592</v>
      </c>
      <c r="G2050" s="467" t="s">
        <v>2084</v>
      </c>
      <c r="H2050" s="467" t="s">
        <v>2081</v>
      </c>
      <c r="I2050" s="467" t="s">
        <v>1468</v>
      </c>
      <c r="J2050" s="467" t="s">
        <v>63</v>
      </c>
      <c r="K2050" s="469" t="str">
        <f>HYPERLINK("https://okcountyrecords.com/detail/roger+mills/2011-001007","OKCountyRecords: 2011-001007")</f>
        <v>OKCountyRecords: 2011-001007</v>
      </c>
      <c r="L2050" s="467" t="s">
        <v>1470</v>
      </c>
      <c r="M2050" s="467" t="s">
        <v>404</v>
      </c>
      <c r="N2050" s="476">
        <v>1</v>
      </c>
      <c r="O2050" s="471">
        <f t="shared" si="58"/>
        <v>240</v>
      </c>
      <c r="P2050" s="472">
        <f t="shared" si="59"/>
        <v>1</v>
      </c>
      <c r="Q2050" s="472">
        <f t="shared" si="60"/>
        <v>-1</v>
      </c>
      <c r="R2050" s="473">
        <f t="shared" si="61"/>
        <v>240</v>
      </c>
      <c r="S2050" s="467" t="str">
        <f t="shared" si="65"/>
        <v>Mineral; basis Conv Amt(dec). Gross=tract-map basis.</v>
      </c>
      <c r="T2050" s="490"/>
      <c r="U2050" s="490"/>
      <c r="V2050" s="450"/>
      <c r="W2050" s="450"/>
      <c r="X2050" s="450"/>
      <c r="Y2050" s="450"/>
      <c r="Z2050" s="450"/>
    </row>
    <row r="2051" spans="1:26" x14ac:dyDescent="0.25">
      <c r="A2051" s="467" t="s">
        <v>2085</v>
      </c>
      <c r="B2051" s="467"/>
      <c r="C2051" s="467" t="s">
        <v>2078</v>
      </c>
      <c r="D2051" s="467" t="s">
        <v>2086</v>
      </c>
      <c r="E2051" s="468">
        <v>40583</v>
      </c>
      <c r="F2051" s="468">
        <v>40592</v>
      </c>
      <c r="G2051" s="467" t="s">
        <v>2087</v>
      </c>
      <c r="H2051" s="467" t="s">
        <v>2088</v>
      </c>
      <c r="I2051" s="467" t="s">
        <v>1468</v>
      </c>
      <c r="J2051" s="467" t="s">
        <v>63</v>
      </c>
      <c r="K2051" s="469" t="str">
        <f>HYPERLINK("https://okcountyrecords.com/detail/roger+mills/2011-001009","OKCountyRecords: 2011-001009")</f>
        <v>OKCountyRecords: 2011-001009</v>
      </c>
      <c r="L2051" s="467" t="s">
        <v>1470</v>
      </c>
      <c r="M2051" s="467" t="s">
        <v>404</v>
      </c>
      <c r="N2051" s="476">
        <v>1</v>
      </c>
      <c r="O2051" s="471">
        <f t="shared" si="58"/>
        <v>240</v>
      </c>
      <c r="P2051" s="472">
        <f t="shared" si="59"/>
        <v>1</v>
      </c>
      <c r="Q2051" s="472">
        <f t="shared" si="60"/>
        <v>-1</v>
      </c>
      <c r="R2051" s="473">
        <f t="shared" si="61"/>
        <v>240</v>
      </c>
      <c r="S2051" s="467" t="str">
        <f t="shared" si="65"/>
        <v>Mineral; basis Conv Amt(dec). Gross=tract-map basis.</v>
      </c>
      <c r="T2051" s="490"/>
      <c r="U2051" s="490"/>
      <c r="V2051" s="450"/>
      <c r="W2051" s="450"/>
      <c r="X2051" s="450"/>
      <c r="Y2051" s="450"/>
      <c r="Z2051" s="450"/>
    </row>
    <row r="2052" spans="1:26" x14ac:dyDescent="0.25">
      <c r="A2052" s="467" t="s">
        <v>2089</v>
      </c>
      <c r="B2052" s="467"/>
      <c r="C2052" s="467" t="s">
        <v>619</v>
      </c>
      <c r="D2052" s="467" t="s">
        <v>2090</v>
      </c>
      <c r="E2052" s="468">
        <v>40661</v>
      </c>
      <c r="F2052" s="468">
        <v>40665</v>
      </c>
      <c r="G2052" s="467" t="s">
        <v>2091</v>
      </c>
      <c r="H2052" s="467" t="s">
        <v>2092</v>
      </c>
      <c r="I2052" s="467" t="s">
        <v>1280</v>
      </c>
      <c r="J2052" s="467" t="s">
        <v>63</v>
      </c>
      <c r="K2052" s="469" t="str">
        <f>HYPERLINK("https://okcountyrecords.com/detail/roger+mills/2011-003023","OKCountyRecords: 2011-003023")</f>
        <v>OKCountyRecords: 2011-003023</v>
      </c>
      <c r="L2052" s="467">
        <v>2</v>
      </c>
      <c r="M2052" s="467" t="s">
        <v>404</v>
      </c>
      <c r="N2052" s="470">
        <v>1</v>
      </c>
      <c r="O2052" s="471">
        <f t="shared" si="58"/>
        <v>160</v>
      </c>
      <c r="P2052" s="472">
        <f t="shared" si="59"/>
        <v>1</v>
      </c>
      <c r="Q2052" s="472">
        <f t="shared" si="60"/>
        <v>-1</v>
      </c>
      <c r="R2052" s="473">
        <f t="shared" si="61"/>
        <v>160</v>
      </c>
      <c r="S2052" s="467" t="str">
        <f t="shared" si="65"/>
        <v>Mineral; basis Conv Amt(dec). Gross=tract-map basis.</v>
      </c>
      <c r="T2052" s="490"/>
      <c r="U2052" s="490"/>
      <c r="V2052" s="450"/>
      <c r="W2052" s="450"/>
      <c r="X2052" s="450"/>
      <c r="Y2052" s="450"/>
      <c r="Z2052" s="450"/>
    </row>
    <row r="2053" spans="1:26" x14ac:dyDescent="0.25">
      <c r="A2053" s="467" t="s">
        <v>2093</v>
      </c>
      <c r="B2053" s="467"/>
      <c r="C2053" s="467" t="s">
        <v>619</v>
      </c>
      <c r="D2053" s="467" t="s">
        <v>2094</v>
      </c>
      <c r="E2053" s="468">
        <v>40778</v>
      </c>
      <c r="F2053" s="468">
        <v>40781</v>
      </c>
      <c r="G2053" s="467" t="s">
        <v>2095</v>
      </c>
      <c r="H2053" s="467" t="s">
        <v>2096</v>
      </c>
      <c r="I2053" s="467" t="s">
        <v>2097</v>
      </c>
      <c r="J2053" s="467" t="s">
        <v>2098</v>
      </c>
      <c r="K2053" s="469" t="str">
        <f>HYPERLINK("https://okcountyrecords.com/detail/roger+mills/2011-005695","OKCountyRecords: 2011-005695")</f>
        <v>OKCountyRecords: 2011-005695</v>
      </c>
      <c r="L2053" s="467" t="s">
        <v>502</v>
      </c>
      <c r="M2053" s="467" t="s">
        <v>404</v>
      </c>
      <c r="N2053" s="470">
        <f>1</f>
        <v>1</v>
      </c>
      <c r="O2053" s="471">
        <f t="shared" si="58"/>
        <v>640</v>
      </c>
      <c r="P2053" s="472">
        <f t="shared" si="59"/>
        <v>1</v>
      </c>
      <c r="Q2053" s="472">
        <f t="shared" si="60"/>
        <v>-1</v>
      </c>
      <c r="R2053" s="473">
        <f t="shared" si="61"/>
        <v>640</v>
      </c>
      <c r="S2053" s="467"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90" t="s">
        <v>641</v>
      </c>
      <c r="U2053" s="490" t="s">
        <v>885</v>
      </c>
      <c r="V2053" s="450"/>
      <c r="W2053" s="450"/>
      <c r="X2053" s="450"/>
      <c r="Y2053" s="450"/>
      <c r="Z2053" s="450"/>
    </row>
    <row r="2054" spans="1:26" x14ac:dyDescent="0.25">
      <c r="A2054" s="467" t="s">
        <v>2099</v>
      </c>
      <c r="B2054" s="467"/>
      <c r="C2054" s="467" t="s">
        <v>2073</v>
      </c>
      <c r="D2054" s="467" t="s">
        <v>2100</v>
      </c>
      <c r="E2054" s="468">
        <v>40788</v>
      </c>
      <c r="F2054" s="468">
        <v>40793</v>
      </c>
      <c r="G2054" s="467" t="s">
        <v>2076</v>
      </c>
      <c r="H2054" s="467" t="s">
        <v>2075</v>
      </c>
      <c r="I2054" s="467" t="s">
        <v>569</v>
      </c>
      <c r="J2054" s="467" t="s">
        <v>2101</v>
      </c>
      <c r="K2054" s="469" t="str">
        <f>HYPERLINK("https://okcountyrecords.com/detail/roger+mills/2011-005926","OKCountyRecords: 2011-005926")</f>
        <v>OKCountyRecords: 2011-005926</v>
      </c>
      <c r="L2054" s="467" t="s">
        <v>502</v>
      </c>
      <c r="M2054" s="467" t="s">
        <v>404</v>
      </c>
      <c r="N2054" s="470">
        <v>1</v>
      </c>
      <c r="O2054" s="471">
        <f t="shared" si="58"/>
        <v>640</v>
      </c>
      <c r="P2054" s="472">
        <f t="shared" si="59"/>
        <v>1</v>
      </c>
      <c r="Q2054" s="472">
        <f t="shared" si="60"/>
        <v>-1</v>
      </c>
      <c r="R2054" s="473">
        <f t="shared" si="61"/>
        <v>640</v>
      </c>
      <c r="S2054" s="467"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90" t="s">
        <v>641</v>
      </c>
      <c r="U2054" s="490" t="s">
        <v>885</v>
      </c>
      <c r="V2054" s="450"/>
      <c r="W2054" s="450"/>
      <c r="X2054" s="450"/>
      <c r="Y2054" s="450"/>
      <c r="Z2054" s="450"/>
    </row>
    <row r="2055" spans="1:26" x14ac:dyDescent="0.25">
      <c r="A2055" s="467" t="s">
        <v>2102</v>
      </c>
      <c r="B2055" s="467"/>
      <c r="C2055" s="467" t="s">
        <v>2103</v>
      </c>
      <c r="D2055" s="467" t="s">
        <v>2104</v>
      </c>
      <c r="E2055" s="468">
        <v>40839</v>
      </c>
      <c r="F2055" s="468">
        <v>40869</v>
      </c>
      <c r="G2055" s="467" t="s">
        <v>2105</v>
      </c>
      <c r="H2055" s="467" t="s">
        <v>2106</v>
      </c>
      <c r="I2055" s="467" t="s">
        <v>1280</v>
      </c>
      <c r="J2055" s="467" t="s">
        <v>63</v>
      </c>
      <c r="K2055" s="469" t="str">
        <f>HYPERLINK("https://okcountyrecords.com/detail/roger+mills/2011-007727","OKCountyRecords: 2011-007727")</f>
        <v>OKCountyRecords: 2011-007727</v>
      </c>
      <c r="L2055" s="467">
        <v>2</v>
      </c>
      <c r="M2055" s="467" t="s">
        <v>404</v>
      </c>
      <c r="N2055" s="470"/>
      <c r="O2055" s="471">
        <f t="shared" si="58"/>
        <v>160</v>
      </c>
      <c r="P2055" s="472" t="str">
        <f t="shared" si="59"/>
        <v/>
      </c>
      <c r="Q2055" s="472" t="str">
        <f t="shared" si="60"/>
        <v/>
      </c>
      <c r="R2055" s="473" t="str">
        <f t="shared" si="61"/>
        <v/>
      </c>
      <c r="S2055" s="467"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90"/>
      <c r="U2055" s="490"/>
      <c r="V2055" s="450"/>
      <c r="W2055" s="450"/>
      <c r="X2055" s="450"/>
      <c r="Y2055" s="450"/>
      <c r="Z2055" s="450"/>
    </row>
    <row r="2056" spans="1:26" x14ac:dyDescent="0.25">
      <c r="A2056" s="467" t="s">
        <v>2107</v>
      </c>
      <c r="B2056" s="467"/>
      <c r="C2056" s="467" t="s">
        <v>408</v>
      </c>
      <c r="D2056" s="467" t="s">
        <v>2108</v>
      </c>
      <c r="E2056" s="468">
        <v>40839</v>
      </c>
      <c r="F2056" s="468">
        <v>40869</v>
      </c>
      <c r="G2056" s="467" t="s">
        <v>2109</v>
      </c>
      <c r="H2056" s="467" t="s">
        <v>2110</v>
      </c>
      <c r="I2056" s="467" t="s">
        <v>2111</v>
      </c>
      <c r="J2056" s="467" t="s">
        <v>63</v>
      </c>
      <c r="K2056" s="469" t="str">
        <f>HYPERLINK("https://okcountyrecords.com/detail/roger+mills/2011-007728","OKCountyRecords: 2011-007728")</f>
        <v>OKCountyRecords: 2011-007728</v>
      </c>
      <c r="L2056" s="467">
        <v>2</v>
      </c>
      <c r="M2056" s="467" t="s">
        <v>404</v>
      </c>
      <c r="N2056" s="470">
        <v>1</v>
      </c>
      <c r="O2056" s="471">
        <f t="shared" si="58"/>
        <v>160</v>
      </c>
      <c r="P2056" s="472">
        <f t="shared" si="59"/>
        <v>1</v>
      </c>
      <c r="Q2056" s="472">
        <f t="shared" si="60"/>
        <v>-1</v>
      </c>
      <c r="R2056" s="473">
        <f t="shared" si="61"/>
        <v>160</v>
      </c>
      <c r="S2056" s="467" t="str">
        <f t="shared" si="66"/>
        <v>Mineral; basis Conv Amt(dec). Gross=tract-map basis.</v>
      </c>
      <c r="T2056" s="490"/>
      <c r="U2056" s="490"/>
      <c r="V2056" s="450"/>
      <c r="W2056" s="450"/>
      <c r="X2056" s="450"/>
      <c r="Y2056" s="450"/>
      <c r="Z2056" s="450"/>
    </row>
    <row r="2057" spans="1:26" x14ac:dyDescent="0.25">
      <c r="A2057" s="467" t="s">
        <v>2112</v>
      </c>
      <c r="B2057" s="467"/>
      <c r="C2057" s="467" t="s">
        <v>619</v>
      </c>
      <c r="D2057" s="467" t="s">
        <v>2113</v>
      </c>
      <c r="E2057" s="468">
        <v>40839</v>
      </c>
      <c r="F2057" s="468">
        <v>40869</v>
      </c>
      <c r="G2057" s="467" t="s">
        <v>2109</v>
      </c>
      <c r="H2057" s="467" t="s">
        <v>2114</v>
      </c>
      <c r="I2057" s="467" t="s">
        <v>1280</v>
      </c>
      <c r="J2057" s="467" t="s">
        <v>63</v>
      </c>
      <c r="K2057" s="469" t="str">
        <f>HYPERLINK("https://okcountyrecords.com/detail/roger+mills/2011-007729","OKCountyRecords: 2011-007729")</f>
        <v>OKCountyRecords: 2011-007729</v>
      </c>
      <c r="L2057" s="467">
        <v>2</v>
      </c>
      <c r="M2057" s="467" t="s">
        <v>404</v>
      </c>
      <c r="N2057" s="470">
        <v>1</v>
      </c>
      <c r="O2057" s="471">
        <f t="shared" si="58"/>
        <v>160</v>
      </c>
      <c r="P2057" s="472">
        <f t="shared" si="59"/>
        <v>1</v>
      </c>
      <c r="Q2057" s="472">
        <f t="shared" si="60"/>
        <v>-1</v>
      </c>
      <c r="R2057" s="473">
        <f t="shared" si="61"/>
        <v>160</v>
      </c>
      <c r="S2057" s="467" t="str">
        <f t="shared" si="66"/>
        <v>Mineral; basis Conv Amt(dec). Gross=tract-map basis.</v>
      </c>
      <c r="T2057" s="490"/>
      <c r="U2057" s="490"/>
      <c r="V2057" s="450"/>
      <c r="W2057" s="450"/>
      <c r="X2057" s="450"/>
      <c r="Y2057" s="450"/>
      <c r="Z2057" s="450"/>
    </row>
    <row r="2058" spans="1:26" x14ac:dyDescent="0.25">
      <c r="A2058" s="467" t="s">
        <v>2115</v>
      </c>
      <c r="B2058" s="467"/>
      <c r="C2058" s="467" t="s">
        <v>619</v>
      </c>
      <c r="D2058" s="467" t="s">
        <v>2116</v>
      </c>
      <c r="E2058" s="468">
        <v>40855</v>
      </c>
      <c r="F2058" s="468">
        <v>40876</v>
      </c>
      <c r="G2058" s="467" t="s">
        <v>2117</v>
      </c>
      <c r="H2058" s="467" t="s">
        <v>2118</v>
      </c>
      <c r="I2058" s="467" t="s">
        <v>2119</v>
      </c>
      <c r="J2058" s="467" t="s">
        <v>2120</v>
      </c>
      <c r="K2058" s="469" t="str">
        <f>HYPERLINK("https://okcountyrecords.com/detail/roger+mills/2011-007826","OKCountyRecords: 2011-007826")</f>
        <v>OKCountyRecords: 2011-007826</v>
      </c>
      <c r="L2058" s="467" t="s">
        <v>1356</v>
      </c>
      <c r="M2058" s="467" t="s">
        <v>404</v>
      </c>
      <c r="N2058" s="470">
        <f>IF(O2058&gt;0,2/O2058,"")</f>
        <v>0.01</v>
      </c>
      <c r="O2058" s="471">
        <f t="shared" ref="O2058:O2114" si="67">IF($L2058="","",IF(ISNUMBER(SEARCH("all",$L2058)),640,(ISNUMBER(SEARCH("1",$L2058)))*80+(ISNUMBER(SEARCH("2",$L2058)))*160+(ISNUMBER(SEARCH("3",$L2058)))*40+(ISNUMBER(SEARCH("4",$L2058)))*80+(ISNUMBER(SEARCH("5",$L2058)))*120+(ISNUMBER(SEARCH("6",$L2058)))*80+(ISNUMBER(SEARCH("7",$L2058)))*40+(ISNUMBER(SEARCH("8",$L2058)))*40))</f>
        <v>200</v>
      </c>
      <c r="P2058" s="472">
        <f t="shared" ref="P2058:P2121" si="68">IF($M2058&lt;&gt;"Mineral","",IF(ISNUMBER($N2058),$N2058,IF(OR(ISNUMBER(SEARCH("surface",$J2058)),ISNUMBER(SEARCH("reserv",$J2058)),ISNUMBER(SEARCH("less and except",$J2058))),0,"")))</f>
        <v>0.01</v>
      </c>
      <c r="Q2058" s="472">
        <f t="shared" ref="Q2058:Q2121" si="69">IF($P2058="","",-$P2058)</f>
        <v>-0.01</v>
      </c>
      <c r="R2058" s="473">
        <f t="shared" ref="R2058:R2121" si="70">IF($P2058="","",$O2058*$P2058)</f>
        <v>2</v>
      </c>
      <c r="S2058" s="467" t="str">
        <f t="shared" si="66"/>
        <v>Mineral; basis Conv Amt(dec). Gross=tract-map basis.</v>
      </c>
      <c r="T2058" s="490"/>
      <c r="U2058" s="490" t="s">
        <v>2121</v>
      </c>
      <c r="V2058" s="450"/>
      <c r="W2058" s="450"/>
      <c r="X2058" s="450"/>
      <c r="Y2058" s="450"/>
      <c r="Z2058" s="450"/>
    </row>
    <row r="2059" spans="1:26" x14ac:dyDescent="0.25">
      <c r="A2059" s="467" t="s">
        <v>2122</v>
      </c>
      <c r="B2059" s="467"/>
      <c r="C2059" s="467" t="s">
        <v>2123</v>
      </c>
      <c r="D2059" s="467" t="s">
        <v>2124</v>
      </c>
      <c r="E2059" s="468">
        <v>40876</v>
      </c>
      <c r="F2059" s="468">
        <v>40886</v>
      </c>
      <c r="G2059" s="467" t="s">
        <v>357</v>
      </c>
      <c r="H2059" s="467" t="s">
        <v>164</v>
      </c>
      <c r="I2059" s="467" t="s">
        <v>2125</v>
      </c>
      <c r="J2059" s="467" t="s">
        <v>2126</v>
      </c>
      <c r="K2059" s="469" t="str">
        <f>HYPERLINK("https://okcountyrecords.com/detail/roger+mills/2011-008134","OKCountyRecords: 2011-008134")</f>
        <v>OKCountyRecords: 2011-008134</v>
      </c>
      <c r="L2059" s="467" t="s">
        <v>2127</v>
      </c>
      <c r="M2059" s="467" t="s">
        <v>404</v>
      </c>
      <c r="N2059" s="470">
        <f>1/791.47</f>
        <v>1.2634717677233501E-3</v>
      </c>
      <c r="O2059" s="471">
        <f t="shared" si="67"/>
        <v>200</v>
      </c>
      <c r="P2059" s="472">
        <f t="shared" si="68"/>
        <v>1.2634717677233501E-3</v>
      </c>
      <c r="Q2059" s="472">
        <f t="shared" si="69"/>
        <v>-1.2634717677233501E-3</v>
      </c>
      <c r="R2059" s="473">
        <f t="shared" si="70"/>
        <v>0.25269435354467001</v>
      </c>
      <c r="S2059" s="467" t="str">
        <f t="shared" si="66"/>
        <v>Mineral; basis Conv Amt(dec). Gross=tract-map basis.</v>
      </c>
      <c r="T2059" s="490"/>
      <c r="U2059" s="490"/>
      <c r="V2059" s="450"/>
      <c r="W2059" s="450"/>
      <c r="X2059" s="450"/>
      <c r="Y2059" s="450"/>
      <c r="Z2059" s="450"/>
    </row>
    <row r="2060" spans="1:26" x14ac:dyDescent="0.25">
      <c r="A2060" s="467" t="s">
        <v>2128</v>
      </c>
      <c r="B2060" s="467"/>
      <c r="C2060" s="467" t="s">
        <v>2123</v>
      </c>
      <c r="D2060" s="467" t="s">
        <v>2129</v>
      </c>
      <c r="E2060" s="468">
        <v>40876</v>
      </c>
      <c r="F2060" s="468">
        <v>41592</v>
      </c>
      <c r="G2060" s="467" t="s">
        <v>357</v>
      </c>
      <c r="H2060" s="467" t="s">
        <v>164</v>
      </c>
      <c r="I2060" s="467" t="s">
        <v>1280</v>
      </c>
      <c r="J2060" s="467" t="s">
        <v>2126</v>
      </c>
      <c r="K2060" s="469" t="str">
        <f>HYPERLINK("https://okcountyrecords.com/detail/roger+mills/2013-006083","OKCountyRecords: 2013-006083")</f>
        <v>OKCountyRecords: 2013-006083</v>
      </c>
      <c r="L2060" s="467">
        <v>2</v>
      </c>
      <c r="M2060" s="467" t="s">
        <v>404</v>
      </c>
      <c r="N2060" s="470">
        <f>1/791.47</f>
        <v>1.2634717677233501E-3</v>
      </c>
      <c r="O2060" s="471">
        <f t="shared" si="67"/>
        <v>160</v>
      </c>
      <c r="P2060" s="472">
        <f t="shared" si="68"/>
        <v>1.2634717677233501E-3</v>
      </c>
      <c r="Q2060" s="472">
        <f t="shared" si="69"/>
        <v>-1.2634717677233501E-3</v>
      </c>
      <c r="R2060" s="473">
        <f t="shared" si="70"/>
        <v>0.20215548283573603</v>
      </c>
      <c r="S2060" s="467" t="str">
        <f t="shared" si="66"/>
        <v>Mineral; basis Conv Amt(dec). Gross=tract-map basis.</v>
      </c>
      <c r="T2060" s="490"/>
      <c r="U2060" s="490"/>
      <c r="V2060" s="450"/>
      <c r="W2060" s="450"/>
      <c r="X2060" s="450"/>
      <c r="Y2060" s="450"/>
      <c r="Z2060" s="450"/>
    </row>
    <row r="2061" spans="1:26" x14ac:dyDescent="0.25">
      <c r="A2061" s="467" t="s">
        <v>2130</v>
      </c>
      <c r="B2061" s="467"/>
      <c r="C2061" s="467" t="s">
        <v>619</v>
      </c>
      <c r="D2061" s="467" t="s">
        <v>2131</v>
      </c>
      <c r="E2061" s="468">
        <v>40892</v>
      </c>
      <c r="F2061" s="468">
        <v>40896</v>
      </c>
      <c r="G2061" s="467" t="s">
        <v>2132</v>
      </c>
      <c r="H2061" s="467" t="s">
        <v>2096</v>
      </c>
      <c r="I2061" s="467" t="s">
        <v>2097</v>
      </c>
      <c r="J2061" s="467" t="s">
        <v>63</v>
      </c>
      <c r="K2061" s="469" t="str">
        <f>HYPERLINK("https://okcountyrecords.com/detail/roger+mills/2011-008366","OKCountyRecords: 2011-008366")</f>
        <v>OKCountyRecords: 2011-008366</v>
      </c>
      <c r="L2061" s="467" t="s">
        <v>502</v>
      </c>
      <c r="M2061" s="467" t="s">
        <v>404</v>
      </c>
      <c r="N2061" s="470">
        <v>1</v>
      </c>
      <c r="O2061" s="471">
        <f t="shared" si="67"/>
        <v>640</v>
      </c>
      <c r="P2061" s="472">
        <f t="shared" si="68"/>
        <v>1</v>
      </c>
      <c r="Q2061" s="472">
        <f t="shared" si="69"/>
        <v>-1</v>
      </c>
      <c r="R2061" s="473">
        <f t="shared" si="70"/>
        <v>640</v>
      </c>
      <c r="S2061" s="467" t="str">
        <f t="shared" si="66"/>
        <v>Mineral; basis Conv Amt(dec). All-section coverage. Gross=tract-map basis.</v>
      </c>
      <c r="T2061" s="490"/>
      <c r="U2061" s="490"/>
      <c r="V2061" s="450"/>
      <c r="W2061" s="450"/>
      <c r="X2061" s="450"/>
      <c r="Y2061" s="450"/>
      <c r="Z2061" s="450"/>
    </row>
    <row r="2062" spans="1:26" x14ac:dyDescent="0.25">
      <c r="A2062" s="467" t="s">
        <v>2133</v>
      </c>
      <c r="B2062" s="467"/>
      <c r="C2062" s="467" t="s">
        <v>2134</v>
      </c>
      <c r="D2062" s="467" t="s">
        <v>2135</v>
      </c>
      <c r="E2062" s="468">
        <v>40905</v>
      </c>
      <c r="F2062" s="468">
        <v>40949</v>
      </c>
      <c r="G2062" s="467" t="s">
        <v>2136</v>
      </c>
      <c r="H2062" s="467" t="s">
        <v>102</v>
      </c>
      <c r="I2062" s="467" t="s">
        <v>2097</v>
      </c>
      <c r="J2062" s="467" t="s">
        <v>8564</v>
      </c>
      <c r="K2062" s="469" t="str">
        <f>HYPERLINK("https://okcountyrecords.com/detail/roger+mills/2012-000970","OKCountyRecords: 2012-000970")</f>
        <v>OKCountyRecords: 2012-000970</v>
      </c>
      <c r="L2062" s="467" t="s">
        <v>502</v>
      </c>
      <c r="M2062" s="467" t="s">
        <v>465</v>
      </c>
      <c r="N2062" s="470"/>
      <c r="O2062" s="471">
        <f t="shared" si="67"/>
        <v>640</v>
      </c>
      <c r="P2062" s="472" t="str">
        <f t="shared" si="68"/>
        <v/>
      </c>
      <c r="Q2062" s="472" t="str">
        <f t="shared" si="69"/>
        <v/>
      </c>
      <c r="R2062" s="473" t="str">
        <f t="shared" si="70"/>
        <v/>
      </c>
      <c r="S2062" s="467" t="s">
        <v>503</v>
      </c>
      <c r="T2062" s="490" t="s">
        <v>467</v>
      </c>
      <c r="U2062" s="490" t="s">
        <v>504</v>
      </c>
      <c r="V2062" s="450"/>
      <c r="W2062" s="450"/>
      <c r="X2062" s="450"/>
      <c r="Y2062" s="450"/>
      <c r="Z2062" s="450"/>
    </row>
    <row r="2063" spans="1:26" x14ac:dyDescent="0.25">
      <c r="A2063" s="467" t="s">
        <v>2137</v>
      </c>
      <c r="B2063" s="467"/>
      <c r="C2063" s="467" t="s">
        <v>2138</v>
      </c>
      <c r="D2063" s="467" t="s">
        <v>2139</v>
      </c>
      <c r="E2063" s="468">
        <v>40961</v>
      </c>
      <c r="F2063" s="468">
        <v>41106</v>
      </c>
      <c r="G2063" s="467" t="s">
        <v>2140</v>
      </c>
      <c r="H2063" s="467" t="s">
        <v>2141</v>
      </c>
      <c r="I2063" s="467" t="s">
        <v>579</v>
      </c>
      <c r="J2063" s="467" t="s">
        <v>2142</v>
      </c>
      <c r="K2063" s="469" t="str">
        <f>HYPERLINK("https://okcountyrecords.com/detail/roger+mills/2012-005041","OKCountyRecords: 2012-005041")</f>
        <v>OKCountyRecords: 2012-005041</v>
      </c>
      <c r="L2063" s="467">
        <v>5</v>
      </c>
      <c r="M2063" s="467" t="s">
        <v>465</v>
      </c>
      <c r="N2063" s="470"/>
      <c r="O2063" s="471">
        <f t="shared" si="67"/>
        <v>120</v>
      </c>
      <c r="P2063" s="472" t="str">
        <f t="shared" si="68"/>
        <v/>
      </c>
      <c r="Q2063" s="472" t="str">
        <f t="shared" si="69"/>
        <v/>
      </c>
      <c r="R2063" s="473" t="str">
        <f t="shared" si="70"/>
        <v/>
      </c>
      <c r="S2063" s="467"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90"/>
      <c r="U2063" s="490"/>
      <c r="V2063" s="450"/>
      <c r="W2063" s="450"/>
      <c r="X2063" s="450"/>
      <c r="Y2063" s="450"/>
      <c r="Z2063" s="450"/>
    </row>
    <row r="2064" spans="1:26" x14ac:dyDescent="0.25">
      <c r="A2064" s="467" t="s">
        <v>2143</v>
      </c>
      <c r="B2064" s="467"/>
      <c r="C2064" s="467" t="s">
        <v>2144</v>
      </c>
      <c r="D2064" s="467" t="s">
        <v>2145</v>
      </c>
      <c r="E2064" s="468">
        <v>40973</v>
      </c>
      <c r="F2064" s="468">
        <v>40983</v>
      </c>
      <c r="G2064" s="467" t="s">
        <v>2146</v>
      </c>
      <c r="H2064" s="467" t="s">
        <v>2147</v>
      </c>
      <c r="I2064" s="467" t="s">
        <v>2148</v>
      </c>
      <c r="J2064" s="467" t="s">
        <v>2149</v>
      </c>
      <c r="K2064" s="469" t="str">
        <f>HYPERLINK("https://okcountyrecords.com/detail/roger+mills/2012-001856","OKCountyRecords: 2012-001856")</f>
        <v>OKCountyRecords: 2012-001856</v>
      </c>
      <c r="L2064" s="467" t="s">
        <v>613</v>
      </c>
      <c r="M2064" s="467" t="s">
        <v>1489</v>
      </c>
      <c r="N2064" s="470"/>
      <c r="O2064" s="471">
        <f t="shared" si="67"/>
        <v>440</v>
      </c>
      <c r="P2064" s="472" t="str">
        <f t="shared" si="68"/>
        <v/>
      </c>
      <c r="Q2064" s="472" t="str">
        <f t="shared" si="69"/>
        <v/>
      </c>
      <c r="R2064" s="473" t="str">
        <f t="shared" si="70"/>
        <v/>
      </c>
      <c r="S2064" s="467"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89"/>
      <c r="U2064" s="490"/>
      <c r="V2064" s="450"/>
      <c r="W2064" s="450"/>
      <c r="X2064" s="450"/>
      <c r="Y2064" s="450"/>
      <c r="Z2064" s="450"/>
    </row>
    <row r="2065" spans="1:26" x14ac:dyDescent="0.25">
      <c r="A2065" s="467" t="s">
        <v>2150</v>
      </c>
      <c r="B2065" s="467"/>
      <c r="C2065" s="467" t="s">
        <v>2151</v>
      </c>
      <c r="D2065" s="467" t="s">
        <v>2152</v>
      </c>
      <c r="E2065" s="468">
        <v>40988</v>
      </c>
      <c r="F2065" s="468">
        <v>40990</v>
      </c>
      <c r="G2065" s="467" t="s">
        <v>2153</v>
      </c>
      <c r="H2065" s="467" t="s">
        <v>2154</v>
      </c>
      <c r="I2065" s="467" t="s">
        <v>579</v>
      </c>
      <c r="J2065" s="467" t="s">
        <v>63</v>
      </c>
      <c r="K2065" s="469" t="str">
        <f>HYPERLINK("https://okcountyrecords.com/detail/roger+mills/2012-002191","OKCountyRecords: 2012-002191")</f>
        <v>OKCountyRecords: 2012-002191</v>
      </c>
      <c r="L2065" s="467">
        <v>5</v>
      </c>
      <c r="M2065" s="467" t="s">
        <v>404</v>
      </c>
      <c r="N2065" s="470">
        <v>1</v>
      </c>
      <c r="O2065" s="471">
        <f t="shared" si="67"/>
        <v>120</v>
      </c>
      <c r="P2065" s="472">
        <f t="shared" si="68"/>
        <v>1</v>
      </c>
      <c r="Q2065" s="472">
        <f t="shared" si="69"/>
        <v>-1</v>
      </c>
      <c r="R2065" s="473">
        <f t="shared" si="70"/>
        <v>120</v>
      </c>
      <c r="S2065" s="467"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90"/>
      <c r="U2065" s="490"/>
      <c r="V2065" s="450"/>
      <c r="W2065" s="450"/>
      <c r="X2065" s="450"/>
      <c r="Y2065" s="450"/>
      <c r="Z2065" s="450"/>
    </row>
    <row r="2066" spans="1:26" x14ac:dyDescent="0.25">
      <c r="A2066" s="467" t="s">
        <v>2155</v>
      </c>
      <c r="B2066" s="467"/>
      <c r="C2066" s="467" t="s">
        <v>2156</v>
      </c>
      <c r="D2066" s="467" t="s">
        <v>2157</v>
      </c>
      <c r="E2066" s="468">
        <v>41000</v>
      </c>
      <c r="F2066" s="468">
        <v>41145</v>
      </c>
      <c r="G2066" s="467" t="s">
        <v>2147</v>
      </c>
      <c r="H2066" s="467" t="s">
        <v>8565</v>
      </c>
      <c r="I2066" s="467" t="s">
        <v>569</v>
      </c>
      <c r="J2066" s="467" t="s">
        <v>2159</v>
      </c>
      <c r="K2066" s="469" t="str">
        <f>HYPERLINK("https://okcountyrecords.com/detail/roger+mills/2012-005854","OKCountyRecords: 2012-005854")</f>
        <v>OKCountyRecords: 2012-005854</v>
      </c>
      <c r="L2066" s="467" t="s">
        <v>502</v>
      </c>
      <c r="M2066" s="467" t="s">
        <v>1489</v>
      </c>
      <c r="N2066" s="470"/>
      <c r="O2066" s="471">
        <f t="shared" si="67"/>
        <v>640</v>
      </c>
      <c r="P2066" s="472" t="str">
        <f t="shared" si="68"/>
        <v/>
      </c>
      <c r="Q2066" s="472" t="str">
        <f t="shared" si="69"/>
        <v/>
      </c>
      <c r="R2066" s="473" t="str">
        <f t="shared" si="70"/>
        <v/>
      </c>
      <c r="S2066" s="467"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89"/>
      <c r="U2066" s="490"/>
      <c r="V2066" s="450"/>
      <c r="W2066" s="450"/>
      <c r="X2066" s="450"/>
      <c r="Y2066" s="450"/>
      <c r="Z2066" s="450"/>
    </row>
    <row r="2067" spans="1:26" x14ac:dyDescent="0.25">
      <c r="A2067" s="467" t="s">
        <v>2160</v>
      </c>
      <c r="B2067" s="467"/>
      <c r="C2067" s="467" t="s">
        <v>1456</v>
      </c>
      <c r="D2067" s="467" t="s">
        <v>2161</v>
      </c>
      <c r="E2067" s="468">
        <v>41000</v>
      </c>
      <c r="F2067" s="468">
        <v>41002</v>
      </c>
      <c r="G2067" s="467" t="s">
        <v>2147</v>
      </c>
      <c r="H2067" s="467" t="s">
        <v>8565</v>
      </c>
      <c r="I2067" s="467" t="s">
        <v>569</v>
      </c>
      <c r="J2067" s="467" t="s">
        <v>2159</v>
      </c>
      <c r="K2067" s="469" t="str">
        <f>HYPERLINK("https://okcountyrecords.com/detail/roger+mills/2012-002539","OKCountyRecords: 2012-002539")</f>
        <v>OKCountyRecords: 2012-002539</v>
      </c>
      <c r="L2067" s="467" t="s">
        <v>502</v>
      </c>
      <c r="M2067" s="467" t="s">
        <v>1489</v>
      </c>
      <c r="N2067" s="470"/>
      <c r="O2067" s="471">
        <f t="shared" si="67"/>
        <v>640</v>
      </c>
      <c r="P2067" s="472" t="str">
        <f t="shared" si="68"/>
        <v/>
      </c>
      <c r="Q2067" s="472" t="str">
        <f t="shared" si="69"/>
        <v/>
      </c>
      <c r="R2067" s="473" t="str">
        <f t="shared" si="70"/>
        <v/>
      </c>
      <c r="S2067" s="467"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89"/>
      <c r="U2067" s="490"/>
      <c r="V2067" s="450"/>
      <c r="W2067" s="450"/>
      <c r="X2067" s="450"/>
      <c r="Y2067" s="450"/>
      <c r="Z2067" s="450"/>
    </row>
    <row r="2068" spans="1:26" x14ac:dyDescent="0.25">
      <c r="A2068" s="467" t="s">
        <v>2162</v>
      </c>
      <c r="B2068" s="467"/>
      <c r="C2068" s="467" t="s">
        <v>619</v>
      </c>
      <c r="D2068" s="467" t="s">
        <v>2163</v>
      </c>
      <c r="E2068" s="468">
        <v>41011</v>
      </c>
      <c r="F2068" s="468">
        <v>41015</v>
      </c>
      <c r="G2068" s="467" t="s">
        <v>2164</v>
      </c>
      <c r="H2068" s="467" t="s">
        <v>2165</v>
      </c>
      <c r="I2068" s="467" t="s">
        <v>1280</v>
      </c>
      <c r="J2068" s="467" t="s">
        <v>2166</v>
      </c>
      <c r="K2068" s="469" t="str">
        <f>HYPERLINK("https://okcountyrecords.com/detail/roger+mills/2012-002930","OKCountyRecords: 2012-002930")</f>
        <v>OKCountyRecords: 2012-002930</v>
      </c>
      <c r="L2068" s="467">
        <v>2</v>
      </c>
      <c r="M2068" s="467" t="s">
        <v>404</v>
      </c>
      <c r="N2068" s="470">
        <f>IF(O2068&gt;0,3/O2068,"")</f>
        <v>1.8749999999999999E-2</v>
      </c>
      <c r="O2068" s="471">
        <f t="shared" si="67"/>
        <v>160</v>
      </c>
      <c r="P2068" s="472">
        <f t="shared" si="68"/>
        <v>1.8749999999999999E-2</v>
      </c>
      <c r="Q2068" s="472">
        <f t="shared" si="69"/>
        <v>-1.8749999999999999E-2</v>
      </c>
      <c r="R2068" s="473">
        <f t="shared" si="70"/>
        <v>3</v>
      </c>
      <c r="S2068" s="467"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90" t="s">
        <v>641</v>
      </c>
      <c r="U2068" s="490" t="s">
        <v>2167</v>
      </c>
      <c r="V2068" s="450"/>
      <c r="W2068" s="450"/>
      <c r="X2068" s="450"/>
      <c r="Y2068" s="450"/>
      <c r="Z2068" s="450"/>
    </row>
    <row r="2069" spans="1:26" x14ac:dyDescent="0.25">
      <c r="A2069" s="467" t="s">
        <v>2168</v>
      </c>
      <c r="B2069" s="467"/>
      <c r="C2069" s="467" t="s">
        <v>619</v>
      </c>
      <c r="D2069" s="467" t="s">
        <v>2169</v>
      </c>
      <c r="E2069" s="468">
        <v>41059</v>
      </c>
      <c r="F2069" s="468">
        <v>41061</v>
      </c>
      <c r="G2069" s="467" t="s">
        <v>2170</v>
      </c>
      <c r="H2069" s="467" t="s">
        <v>2171</v>
      </c>
      <c r="I2069" s="467" t="s">
        <v>2125</v>
      </c>
      <c r="J2069" s="467" t="s">
        <v>2172</v>
      </c>
      <c r="K2069" s="469" t="str">
        <f>HYPERLINK("https://okcountyrecords.com/detail/roger+mills/2012-004060","OKCountyRecords: 2012-004060")</f>
        <v>OKCountyRecords: 2012-004060</v>
      </c>
      <c r="L2069" s="467" t="s">
        <v>2127</v>
      </c>
      <c r="M2069" s="467" t="s">
        <v>404</v>
      </c>
      <c r="N2069" s="470">
        <v>1</v>
      </c>
      <c r="O2069" s="471">
        <f t="shared" si="67"/>
        <v>200</v>
      </c>
      <c r="P2069" s="472">
        <f t="shared" si="68"/>
        <v>1</v>
      </c>
      <c r="Q2069" s="472">
        <f t="shared" si="69"/>
        <v>-1</v>
      </c>
      <c r="R2069" s="473">
        <f t="shared" si="70"/>
        <v>200</v>
      </c>
      <c r="S2069" s="467"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90"/>
      <c r="U2069" s="490"/>
      <c r="V2069" s="450"/>
      <c r="W2069" s="450"/>
      <c r="X2069" s="450"/>
      <c r="Y2069" s="450"/>
      <c r="Z2069" s="450"/>
    </row>
    <row r="2070" spans="1:26" x14ac:dyDescent="0.25">
      <c r="A2070" s="467" t="s">
        <v>2173</v>
      </c>
      <c r="B2070" s="467"/>
      <c r="C2070" s="467" t="s">
        <v>1907</v>
      </c>
      <c r="D2070" s="467" t="s">
        <v>2174</v>
      </c>
      <c r="E2070" s="468">
        <v>41074</v>
      </c>
      <c r="F2070" s="468">
        <v>41173</v>
      </c>
      <c r="G2070" s="467" t="s">
        <v>2175</v>
      </c>
      <c r="H2070" s="467" t="s">
        <v>2176</v>
      </c>
      <c r="I2070" s="467" t="s">
        <v>2177</v>
      </c>
      <c r="J2070" s="467" t="s">
        <v>1912</v>
      </c>
      <c r="K2070" s="469" t="str">
        <f>HYPERLINK("https://okcountyrecords.com/detail/roger+mills/2012-006477","OKCountyRecords: 2012-006477")</f>
        <v>OKCountyRecords: 2012-006477</v>
      </c>
      <c r="L2070" s="467">
        <v>5</v>
      </c>
      <c r="M2070" s="467" t="s">
        <v>1489</v>
      </c>
      <c r="N2070" s="470"/>
      <c r="O2070" s="471">
        <f t="shared" si="67"/>
        <v>120</v>
      </c>
      <c r="P2070" s="472" t="str">
        <f t="shared" si="68"/>
        <v/>
      </c>
      <c r="Q2070" s="472" t="str">
        <f t="shared" si="69"/>
        <v/>
      </c>
      <c r="R2070" s="473" t="str">
        <f t="shared" si="70"/>
        <v/>
      </c>
      <c r="S2070" s="467" t="str">
        <f t="shared" si="71"/>
        <v>Leasehold (non-mineral; excluded from mineral NMA). Gross=tract-map basis.</v>
      </c>
      <c r="T2070" s="489"/>
      <c r="U2070" s="490"/>
      <c r="V2070" s="450"/>
      <c r="W2070" s="450"/>
      <c r="X2070" s="450"/>
      <c r="Y2070" s="450"/>
      <c r="Z2070" s="450"/>
    </row>
    <row r="2071" spans="1:26" x14ac:dyDescent="0.25">
      <c r="A2071" s="467" t="s">
        <v>2179</v>
      </c>
      <c r="B2071" s="467"/>
      <c r="C2071" s="467" t="s">
        <v>1975</v>
      </c>
      <c r="D2071" s="467" t="s">
        <v>2180</v>
      </c>
      <c r="E2071" s="468">
        <v>41092</v>
      </c>
      <c r="F2071" s="468">
        <v>41095</v>
      </c>
      <c r="G2071" s="467" t="s">
        <v>2181</v>
      </c>
      <c r="H2071" s="467" t="s">
        <v>2182</v>
      </c>
      <c r="I2071" s="467" t="s">
        <v>569</v>
      </c>
      <c r="J2071" s="467" t="s">
        <v>760</v>
      </c>
      <c r="K2071" s="469" t="str">
        <f>HYPERLINK("https://okcountyrecords.com/detail/roger+mills/2012-004836","OKCountyRecords: 2012-004836")</f>
        <v>OKCountyRecords: 2012-004836</v>
      </c>
      <c r="L2071" s="467" t="s">
        <v>502</v>
      </c>
      <c r="M2071" s="467" t="s">
        <v>465</v>
      </c>
      <c r="N2071" s="470"/>
      <c r="O2071" s="471">
        <f t="shared" si="67"/>
        <v>640</v>
      </c>
      <c r="P2071" s="472" t="str">
        <f t="shared" si="68"/>
        <v/>
      </c>
      <c r="Q2071" s="472" t="str">
        <f t="shared" si="69"/>
        <v/>
      </c>
      <c r="R2071" s="473" t="str">
        <f t="shared" si="70"/>
        <v/>
      </c>
      <c r="S2071" s="467" t="str">
        <f t="shared" si="71"/>
        <v>Other (non-mineral; excluded from mineral NMA). All-section coverage. Gross=tract-map basis.</v>
      </c>
      <c r="T2071" s="490"/>
      <c r="U2071" s="490"/>
      <c r="V2071" s="450"/>
      <c r="W2071" s="450"/>
      <c r="X2071" s="450"/>
      <c r="Y2071" s="450"/>
      <c r="Z2071" s="450"/>
    </row>
    <row r="2072" spans="1:26" x14ac:dyDescent="0.25">
      <c r="A2072" s="467" t="s">
        <v>2183</v>
      </c>
      <c r="B2072" s="467"/>
      <c r="C2072" s="467" t="s">
        <v>1907</v>
      </c>
      <c r="D2072" s="467" t="s">
        <v>2184</v>
      </c>
      <c r="E2072" s="468">
        <v>41215</v>
      </c>
      <c r="F2072" s="468">
        <v>41227</v>
      </c>
      <c r="G2072" s="467" t="s">
        <v>1549</v>
      </c>
      <c r="H2072" s="467" t="s">
        <v>2185</v>
      </c>
      <c r="I2072" s="467" t="s">
        <v>2186</v>
      </c>
      <c r="J2072" s="467" t="s">
        <v>1912</v>
      </c>
      <c r="K2072" s="469" t="str">
        <f>HYPERLINK("https://okcountyrecords.com/detail/roger+mills/2012-007511","OKCountyRecords: 2012-007511")</f>
        <v>OKCountyRecords: 2012-007511</v>
      </c>
      <c r="L2072" s="467">
        <v>5</v>
      </c>
      <c r="M2072" s="467" t="s">
        <v>1489</v>
      </c>
      <c r="N2072" s="470"/>
      <c r="O2072" s="471">
        <f t="shared" si="67"/>
        <v>120</v>
      </c>
      <c r="P2072" s="472" t="str">
        <f t="shared" si="68"/>
        <v/>
      </c>
      <c r="Q2072" s="472" t="str">
        <f t="shared" si="69"/>
        <v/>
      </c>
      <c r="R2072" s="473" t="str">
        <f t="shared" si="70"/>
        <v/>
      </c>
      <c r="S2072" s="467" t="str">
        <f t="shared" si="71"/>
        <v>Leasehold (non-mineral; excluded from mineral NMA). Gross=tract-map basis.</v>
      </c>
      <c r="T2072" s="489"/>
      <c r="U2072" s="490"/>
      <c r="V2072" s="450"/>
      <c r="W2072" s="450"/>
      <c r="X2072" s="450"/>
      <c r="Y2072" s="450"/>
      <c r="Z2072" s="450"/>
    </row>
    <row r="2073" spans="1:26" x14ac:dyDescent="0.25">
      <c r="A2073" s="467" t="s">
        <v>2188</v>
      </c>
      <c r="B2073" s="467">
        <v>42</v>
      </c>
      <c r="C2073" s="467" t="s">
        <v>2189</v>
      </c>
      <c r="D2073" s="478" t="s">
        <v>2190</v>
      </c>
      <c r="E2073" s="468">
        <v>41255</v>
      </c>
      <c r="F2073" s="468">
        <v>41318</v>
      </c>
      <c r="G2073" s="467" t="s">
        <v>2191</v>
      </c>
      <c r="H2073" s="467" t="s">
        <v>2192</v>
      </c>
      <c r="I2073" s="467" t="s">
        <v>2193</v>
      </c>
      <c r="J2073" s="467" t="s">
        <v>2194</v>
      </c>
      <c r="K2073" s="469" t="str">
        <f>HYPERLINK("https://okcountyrecords.com/detail/roger+mills/2013-002047","OKCountyRecords: 2013-002047")</f>
        <v>OKCountyRecords: 2013-002047</v>
      </c>
      <c r="L2073" s="467" t="s">
        <v>502</v>
      </c>
      <c r="M2073" s="467" t="s">
        <v>1489</v>
      </c>
      <c r="N2073" s="470"/>
      <c r="O2073" s="471">
        <f t="shared" si="67"/>
        <v>640</v>
      </c>
      <c r="P2073" s="472" t="str">
        <f t="shared" si="68"/>
        <v/>
      </c>
      <c r="Q2073" s="472" t="str">
        <f t="shared" si="69"/>
        <v/>
      </c>
      <c r="R2073" s="473" t="str">
        <f t="shared" si="70"/>
        <v/>
      </c>
      <c r="S2073" s="467" t="str">
        <f t="shared" si="71"/>
        <v>Leasehold (non-mineral; excluded from mineral NMA). All-section coverage. Gross=tract-map basis.</v>
      </c>
      <c r="T2073" s="490"/>
      <c r="U2073" s="490"/>
      <c r="V2073" s="450"/>
      <c r="W2073" s="450"/>
      <c r="X2073" s="450"/>
      <c r="Y2073" s="450"/>
      <c r="Z2073" s="450"/>
    </row>
    <row r="2074" spans="1:26" x14ac:dyDescent="0.25">
      <c r="A2074" s="467" t="s">
        <v>2195</v>
      </c>
      <c r="B2074" s="467"/>
      <c r="C2074" s="467" t="s">
        <v>2196</v>
      </c>
      <c r="D2074" s="467" t="s">
        <v>2197</v>
      </c>
      <c r="E2074" s="468">
        <v>41290</v>
      </c>
      <c r="F2074" s="468">
        <v>41304</v>
      </c>
      <c r="G2074" s="467" t="s">
        <v>2198</v>
      </c>
      <c r="H2074" s="467" t="s">
        <v>186</v>
      </c>
      <c r="I2074" s="467" t="s">
        <v>2199</v>
      </c>
      <c r="J2074" s="467" t="s">
        <v>2200</v>
      </c>
      <c r="K2074" s="469" t="str">
        <f>HYPERLINK("https://okcountyrecords.com/detail/roger+mills/2013-000518","OKCountyRecords: 2013-000518")</f>
        <v>OKCountyRecords: 2013-000518</v>
      </c>
      <c r="L2074" s="467" t="s">
        <v>635</v>
      </c>
      <c r="M2074" s="467" t="s">
        <v>404</v>
      </c>
      <c r="N2074" s="476">
        <v>1</v>
      </c>
      <c r="O2074" s="471">
        <f t="shared" si="67"/>
        <v>480</v>
      </c>
      <c r="P2074" s="472">
        <f t="shared" si="68"/>
        <v>1</v>
      </c>
      <c r="Q2074" s="472">
        <f t="shared" si="69"/>
        <v>-1</v>
      </c>
      <c r="R2074" s="473">
        <f t="shared" si="70"/>
        <v>480</v>
      </c>
      <c r="S2074" s="467" t="str">
        <f t="shared" si="71"/>
        <v>Mineral; basis Conv Amt(dec). Gross=tract-map basis.</v>
      </c>
      <c r="T2074" s="490"/>
      <c r="U2074" s="490"/>
      <c r="V2074" s="450"/>
      <c r="W2074" s="450"/>
      <c r="X2074" s="450"/>
      <c r="Y2074" s="450"/>
      <c r="Z2074" s="450"/>
    </row>
    <row r="2075" spans="1:26" x14ac:dyDescent="0.25">
      <c r="A2075" s="467" t="s">
        <v>2201</v>
      </c>
      <c r="B2075" s="467"/>
      <c r="C2075" s="467" t="s">
        <v>1186</v>
      </c>
      <c r="D2075" s="467" t="s">
        <v>2202</v>
      </c>
      <c r="E2075" s="468">
        <v>41340</v>
      </c>
      <c r="F2075" s="468">
        <v>41346</v>
      </c>
      <c r="G2075" s="467" t="s">
        <v>1698</v>
      </c>
      <c r="H2075" s="467" t="s">
        <v>119</v>
      </c>
      <c r="I2075" s="467" t="s">
        <v>2203</v>
      </c>
      <c r="J2075" s="467" t="s">
        <v>2204</v>
      </c>
      <c r="K2075" s="469" t="str">
        <f>HYPERLINK("https://okcountyrecords.com/detail/roger+mills/2013-001272","OKCountyRecords: 2013-001272")</f>
        <v>OKCountyRecords: 2013-001272</v>
      </c>
      <c r="L2075" s="467" t="s">
        <v>502</v>
      </c>
      <c r="M2075" s="467" t="s">
        <v>404</v>
      </c>
      <c r="N2075" s="470">
        <f>5/640</f>
        <v>7.8125E-3</v>
      </c>
      <c r="O2075" s="471">
        <f t="shared" si="67"/>
        <v>640</v>
      </c>
      <c r="P2075" s="472">
        <f t="shared" si="68"/>
        <v>7.8125E-3</v>
      </c>
      <c r="Q2075" s="472">
        <f t="shared" si="69"/>
        <v>-7.8125E-3</v>
      </c>
      <c r="R2075" s="473">
        <f t="shared" si="70"/>
        <v>5</v>
      </c>
      <c r="S2075" s="467"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90" t="s">
        <v>641</v>
      </c>
      <c r="U2075" s="490" t="s">
        <v>2205</v>
      </c>
      <c r="V2075" s="450"/>
      <c r="W2075" s="450"/>
      <c r="X2075" s="450"/>
      <c r="Y2075" s="450"/>
      <c r="Z2075" s="450"/>
    </row>
    <row r="2076" spans="1:26" x14ac:dyDescent="0.25">
      <c r="A2076" s="467" t="s">
        <v>2206</v>
      </c>
      <c r="B2076" s="467"/>
      <c r="C2076" s="467" t="s">
        <v>1160</v>
      </c>
      <c r="D2076" s="467" t="s">
        <v>2207</v>
      </c>
      <c r="E2076" s="468">
        <v>41368</v>
      </c>
      <c r="F2076" s="468">
        <v>41372</v>
      </c>
      <c r="G2076" s="467" t="s">
        <v>119</v>
      </c>
      <c r="H2076" s="467" t="s">
        <v>2118</v>
      </c>
      <c r="I2076" s="467" t="s">
        <v>2208</v>
      </c>
      <c r="J2076" s="467" t="s">
        <v>8645</v>
      </c>
      <c r="K2076" s="469" t="str">
        <f>HYPERLINK("https://okcountyrecords.com/detail/roger+mills/2013-001724","OKCountyRecords: 2013-001724")</f>
        <v>OKCountyRecords: 2013-001724</v>
      </c>
      <c r="L2076" s="467" t="s">
        <v>1356</v>
      </c>
      <c r="M2076" s="467" t="s">
        <v>404</v>
      </c>
      <c r="N2076" s="470">
        <f>2/200</f>
        <v>0.01</v>
      </c>
      <c r="O2076" s="471">
        <f t="shared" si="67"/>
        <v>200</v>
      </c>
      <c r="P2076" s="472">
        <f t="shared" si="68"/>
        <v>0.01</v>
      </c>
      <c r="Q2076" s="472">
        <f t="shared" si="69"/>
        <v>-0.01</v>
      </c>
      <c r="R2076" s="473">
        <f t="shared" si="70"/>
        <v>2</v>
      </c>
      <c r="S2076" s="467"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90" t="s">
        <v>641</v>
      </c>
      <c r="U2076" s="490" t="s">
        <v>2209</v>
      </c>
      <c r="V2076" s="450"/>
      <c r="W2076" s="450"/>
      <c r="X2076" s="450"/>
      <c r="Y2076" s="450"/>
      <c r="Z2076" s="450"/>
    </row>
    <row r="2077" spans="1:26" x14ac:dyDescent="0.25">
      <c r="A2077" s="467" t="s">
        <v>2210</v>
      </c>
      <c r="B2077" s="467"/>
      <c r="C2077" s="467" t="s">
        <v>2189</v>
      </c>
      <c r="D2077" s="467" t="s">
        <v>2211</v>
      </c>
      <c r="E2077" s="468">
        <v>41404</v>
      </c>
      <c r="F2077" s="468">
        <v>41422</v>
      </c>
      <c r="G2077" s="467" t="s">
        <v>361</v>
      </c>
      <c r="H2077" s="467" t="s">
        <v>2212</v>
      </c>
      <c r="I2077" s="467" t="s">
        <v>569</v>
      </c>
      <c r="J2077" s="467" t="s">
        <v>2213</v>
      </c>
      <c r="K2077" s="469" t="str">
        <f>HYPERLINK("https://okcountyrecords.com/detail/roger+mills/2013-002727","OKCountyRecords: 2013-002727")</f>
        <v>OKCountyRecords: 2013-002727</v>
      </c>
      <c r="L2077" s="467" t="s">
        <v>502</v>
      </c>
      <c r="M2077" s="467" t="s">
        <v>1489</v>
      </c>
      <c r="N2077" s="470"/>
      <c r="O2077" s="471">
        <f t="shared" si="67"/>
        <v>640</v>
      </c>
      <c r="P2077" s="472" t="str">
        <f t="shared" si="68"/>
        <v/>
      </c>
      <c r="Q2077" s="472" t="str">
        <f t="shared" si="69"/>
        <v/>
      </c>
      <c r="R2077" s="473" t="str">
        <f t="shared" si="70"/>
        <v/>
      </c>
      <c r="S2077" s="467"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89"/>
      <c r="U2077" s="490"/>
      <c r="V2077" s="450"/>
      <c r="W2077" s="450"/>
      <c r="X2077" s="450"/>
      <c r="Y2077" s="450"/>
      <c r="Z2077" s="450"/>
    </row>
    <row r="2078" spans="1:26" x14ac:dyDescent="0.25">
      <c r="A2078" s="467" t="s">
        <v>2215</v>
      </c>
      <c r="B2078" s="467"/>
      <c r="C2078" s="467" t="s">
        <v>619</v>
      </c>
      <c r="D2078" s="467" t="s">
        <v>2216</v>
      </c>
      <c r="E2078" s="468">
        <v>41456</v>
      </c>
      <c r="F2078" s="468">
        <v>41495</v>
      </c>
      <c r="G2078" s="467" t="s">
        <v>119</v>
      </c>
      <c r="H2078" s="467" t="s">
        <v>2118</v>
      </c>
      <c r="I2078" s="467" t="s">
        <v>2217</v>
      </c>
      <c r="J2078" s="467" t="s">
        <v>2218</v>
      </c>
      <c r="K2078" s="469" t="str">
        <f>HYPERLINK("https://okcountyrecords.com/detail/roger+mills/2013-004163","OKCountyRecords: 2013-004163")</f>
        <v>OKCountyRecords: 2013-004163</v>
      </c>
      <c r="L2078" s="467" t="s">
        <v>502</v>
      </c>
      <c r="M2078" s="467" t="s">
        <v>404</v>
      </c>
      <c r="N2078" s="470">
        <f>3/O2078</f>
        <v>4.6874999999999998E-3</v>
      </c>
      <c r="O2078" s="471">
        <f t="shared" si="67"/>
        <v>640</v>
      </c>
      <c r="P2078" s="472">
        <f t="shared" si="68"/>
        <v>4.6874999999999998E-3</v>
      </c>
      <c r="Q2078" s="472">
        <f t="shared" si="69"/>
        <v>-4.6874999999999998E-3</v>
      </c>
      <c r="R2078" s="473">
        <f t="shared" si="70"/>
        <v>3</v>
      </c>
      <c r="S2078" s="467"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90"/>
      <c r="U2078" s="490" t="s">
        <v>2167</v>
      </c>
      <c r="V2078" s="450"/>
      <c r="W2078" s="450"/>
      <c r="X2078" s="450"/>
      <c r="Y2078" s="450"/>
      <c r="Z2078" s="450"/>
    </row>
    <row r="2079" spans="1:26" x14ac:dyDescent="0.25">
      <c r="A2079" s="467" t="s">
        <v>2219</v>
      </c>
      <c r="B2079" s="467"/>
      <c r="C2079" s="467" t="s">
        <v>1907</v>
      </c>
      <c r="D2079" s="467" t="s">
        <v>2220</v>
      </c>
      <c r="E2079" s="468">
        <v>41474</v>
      </c>
      <c r="F2079" s="468">
        <v>41488</v>
      </c>
      <c r="G2079" s="467" t="s">
        <v>1910</v>
      </c>
      <c r="H2079" s="467" t="s">
        <v>2221</v>
      </c>
      <c r="I2079" s="467" t="s">
        <v>569</v>
      </c>
      <c r="J2079" s="467" t="s">
        <v>1912</v>
      </c>
      <c r="K2079" s="469" t="str">
        <f>HYPERLINK("https://okcountyrecords.com/detail/roger+mills/2013-004038","OKCountyRecords: 2013-004038")</f>
        <v>OKCountyRecords: 2013-004038</v>
      </c>
      <c r="L2079" s="467" t="s">
        <v>502</v>
      </c>
      <c r="M2079" s="467" t="s">
        <v>1489</v>
      </c>
      <c r="N2079" s="470"/>
      <c r="O2079" s="471">
        <f t="shared" si="67"/>
        <v>640</v>
      </c>
      <c r="P2079" s="472" t="str">
        <f t="shared" si="68"/>
        <v/>
      </c>
      <c r="Q2079" s="472" t="str">
        <f t="shared" si="69"/>
        <v/>
      </c>
      <c r="R2079" s="473" t="str">
        <f t="shared" si="70"/>
        <v/>
      </c>
      <c r="S2079" s="467"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89"/>
      <c r="U2079" s="490"/>
      <c r="V2079" s="450"/>
      <c r="W2079" s="450"/>
      <c r="X2079" s="450"/>
      <c r="Y2079" s="450"/>
      <c r="Z2079" s="450"/>
    </row>
    <row r="2080" spans="1:26" x14ac:dyDescent="0.25">
      <c r="A2080" s="467" t="s">
        <v>2223</v>
      </c>
      <c r="B2080" s="467"/>
      <c r="C2080" s="467" t="s">
        <v>619</v>
      </c>
      <c r="D2080" s="467" t="s">
        <v>2224</v>
      </c>
      <c r="E2080" s="468">
        <v>41486</v>
      </c>
      <c r="F2080" s="468">
        <v>41625</v>
      </c>
      <c r="G2080" s="467" t="s">
        <v>2225</v>
      </c>
      <c r="H2080" s="467" t="s">
        <v>2226</v>
      </c>
      <c r="I2080" s="467" t="s">
        <v>2227</v>
      </c>
      <c r="J2080" s="467" t="s">
        <v>2228</v>
      </c>
      <c r="K2080" s="469" t="str">
        <f>HYPERLINK("https://okcountyrecords.com/detail/roger+mills/2013-006585","OKCountyRecords: 2013-006585")</f>
        <v>OKCountyRecords: 2013-006585</v>
      </c>
      <c r="L2080" s="467" t="s">
        <v>2229</v>
      </c>
      <c r="M2080" s="467" t="s">
        <v>404</v>
      </c>
      <c r="N2080" s="470">
        <f>2/400</f>
        <v>5.0000000000000001E-3</v>
      </c>
      <c r="O2080" s="471">
        <f t="shared" si="67"/>
        <v>400</v>
      </c>
      <c r="P2080" s="472">
        <f t="shared" si="68"/>
        <v>5.0000000000000001E-3</v>
      </c>
      <c r="Q2080" s="472">
        <f t="shared" si="69"/>
        <v>-5.0000000000000001E-3</v>
      </c>
      <c r="R2080" s="473">
        <f t="shared" si="70"/>
        <v>2</v>
      </c>
      <c r="S2080" s="467"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90" t="s">
        <v>641</v>
      </c>
      <c r="U2080" s="490" t="s">
        <v>2209</v>
      </c>
      <c r="V2080" s="450"/>
      <c r="W2080" s="450"/>
      <c r="X2080" s="450"/>
      <c r="Y2080" s="450"/>
      <c r="Z2080" s="450"/>
    </row>
    <row r="2081" spans="1:26" x14ac:dyDescent="0.25">
      <c r="A2081" s="467" t="s">
        <v>2230</v>
      </c>
      <c r="B2081" s="467"/>
      <c r="C2081" s="467" t="s">
        <v>1160</v>
      </c>
      <c r="D2081" s="467" t="s">
        <v>2231</v>
      </c>
      <c r="E2081" s="468">
        <v>41505</v>
      </c>
      <c r="F2081" s="468">
        <v>41596</v>
      </c>
      <c r="G2081" s="467" t="s">
        <v>299</v>
      </c>
      <c r="H2081" s="467" t="s">
        <v>2232</v>
      </c>
      <c r="I2081" s="467" t="s">
        <v>579</v>
      </c>
      <c r="J2081" s="467" t="s">
        <v>2233</v>
      </c>
      <c r="K2081" s="469" t="str">
        <f>HYPERLINK("https://okcountyrecords.com/detail/roger+mills/2013-006129","OKCountyRecords: 2013-006129")</f>
        <v>OKCountyRecords: 2013-006129</v>
      </c>
      <c r="L2081" s="467">
        <v>5</v>
      </c>
      <c r="M2081" s="467" t="s">
        <v>404</v>
      </c>
      <c r="N2081" s="470">
        <f>1/2</f>
        <v>0.5</v>
      </c>
      <c r="O2081" s="471">
        <f t="shared" si="67"/>
        <v>120</v>
      </c>
      <c r="P2081" s="472">
        <f t="shared" si="68"/>
        <v>0.5</v>
      </c>
      <c r="Q2081" s="472">
        <f t="shared" si="69"/>
        <v>-0.5</v>
      </c>
      <c r="R2081" s="473">
        <f t="shared" si="70"/>
        <v>60</v>
      </c>
      <c r="S2081" s="467"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90"/>
      <c r="U2081" s="490"/>
      <c r="V2081" s="450"/>
      <c r="W2081" s="450"/>
      <c r="X2081" s="450"/>
      <c r="Y2081" s="450"/>
      <c r="Z2081" s="450"/>
    </row>
    <row r="2082" spans="1:26" x14ac:dyDescent="0.25">
      <c r="A2082" s="467" t="s">
        <v>2234</v>
      </c>
      <c r="B2082" s="467"/>
      <c r="C2082" s="467" t="s">
        <v>2235</v>
      </c>
      <c r="D2082" s="467" t="s">
        <v>2236</v>
      </c>
      <c r="E2082" s="468">
        <v>41517</v>
      </c>
      <c r="F2082" s="468">
        <v>41621</v>
      </c>
      <c r="G2082" s="467" t="s">
        <v>2237</v>
      </c>
      <c r="H2082" s="467" t="s">
        <v>2238</v>
      </c>
      <c r="I2082" s="467" t="s">
        <v>238</v>
      </c>
      <c r="J2082" s="467" t="s">
        <v>2239</v>
      </c>
      <c r="K2082" s="469" t="str">
        <f>HYPERLINK("https://okcountyrecords.com/detail/roger+mills/2013-006501","OKCountyRecords: 2013-006501")</f>
        <v>OKCountyRecords: 2013-006501</v>
      </c>
      <c r="L2082" s="467" t="s">
        <v>502</v>
      </c>
      <c r="M2082" s="467" t="s">
        <v>404</v>
      </c>
      <c r="N2082" s="470">
        <f>1</f>
        <v>1</v>
      </c>
      <c r="O2082" s="471">
        <f t="shared" si="67"/>
        <v>640</v>
      </c>
      <c r="P2082" s="472">
        <f t="shared" si="68"/>
        <v>1</v>
      </c>
      <c r="Q2082" s="472">
        <f t="shared" si="69"/>
        <v>-1</v>
      </c>
      <c r="R2082" s="473">
        <f t="shared" si="70"/>
        <v>640</v>
      </c>
      <c r="S2082" s="467"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90" t="s">
        <v>641</v>
      </c>
      <c r="U2082" s="490" t="s">
        <v>2240</v>
      </c>
      <c r="V2082" s="450"/>
      <c r="W2082" s="450"/>
      <c r="X2082" s="450"/>
      <c r="Y2082" s="450"/>
      <c r="Z2082" s="450"/>
    </row>
    <row r="2083" spans="1:26" x14ac:dyDescent="0.25">
      <c r="A2083" s="467" t="s">
        <v>2241</v>
      </c>
      <c r="B2083" s="467"/>
      <c r="C2083" s="467" t="s">
        <v>2242</v>
      </c>
      <c r="D2083" s="467" t="s">
        <v>2243</v>
      </c>
      <c r="E2083" s="468">
        <v>41526</v>
      </c>
      <c r="F2083" s="468">
        <v>41625</v>
      </c>
      <c r="G2083" s="467" t="s">
        <v>2244</v>
      </c>
      <c r="H2083" s="467" t="s">
        <v>2245</v>
      </c>
      <c r="I2083" s="467" t="s">
        <v>2227</v>
      </c>
      <c r="J2083" s="467" t="s">
        <v>760</v>
      </c>
      <c r="K2083" s="469" t="str">
        <f>HYPERLINK("https://okcountyrecords.com/detail/roger+mills/2013-006584","OKCountyRecords: 2013-006584")</f>
        <v>OKCountyRecords: 2013-006584</v>
      </c>
      <c r="L2083" s="467" t="s">
        <v>2229</v>
      </c>
      <c r="M2083" s="467" t="s">
        <v>465</v>
      </c>
      <c r="N2083" s="470"/>
      <c r="O2083" s="471">
        <f t="shared" si="67"/>
        <v>400</v>
      </c>
      <c r="P2083" s="472" t="str">
        <f t="shared" si="68"/>
        <v/>
      </c>
      <c r="Q2083" s="472" t="str">
        <f t="shared" si="69"/>
        <v/>
      </c>
      <c r="R2083" s="473" t="str">
        <f t="shared" si="70"/>
        <v/>
      </c>
      <c r="S2083" s="467"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89"/>
      <c r="U2083" s="490"/>
      <c r="V2083" s="450"/>
      <c r="W2083" s="450"/>
      <c r="X2083" s="450"/>
      <c r="Y2083" s="450"/>
      <c r="Z2083" s="450"/>
    </row>
    <row r="2084" spans="1:26" x14ac:dyDescent="0.25">
      <c r="A2084" s="467" t="s">
        <v>2246</v>
      </c>
      <c r="B2084" s="467"/>
      <c r="C2084" s="467" t="s">
        <v>1456</v>
      </c>
      <c r="D2084" s="467" t="s">
        <v>2247</v>
      </c>
      <c r="E2084" s="468">
        <v>41543</v>
      </c>
      <c r="F2084" s="468">
        <v>41599</v>
      </c>
      <c r="G2084" s="467" t="s">
        <v>262</v>
      </c>
      <c r="H2084" s="467" t="s">
        <v>2248</v>
      </c>
      <c r="I2084" s="467" t="s">
        <v>569</v>
      </c>
      <c r="J2084" s="467" t="s">
        <v>63</v>
      </c>
      <c r="K2084" s="469" t="str">
        <f>HYPERLINK("https://okcountyrecords.com/detail/roger+mills/2013-006188","OKCountyRecords: 2013-006188")</f>
        <v>OKCountyRecords: 2013-006188</v>
      </c>
      <c r="L2084" s="467" t="s">
        <v>502</v>
      </c>
      <c r="M2084" s="467" t="s">
        <v>1489</v>
      </c>
      <c r="N2084" s="470"/>
      <c r="O2084" s="471">
        <f t="shared" si="67"/>
        <v>640</v>
      </c>
      <c r="P2084" s="472" t="str">
        <f t="shared" si="68"/>
        <v/>
      </c>
      <c r="Q2084" s="472" t="str">
        <f t="shared" si="69"/>
        <v/>
      </c>
      <c r="R2084" s="473" t="str">
        <f t="shared" si="70"/>
        <v/>
      </c>
      <c r="S2084" s="467"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89"/>
      <c r="U2084" s="490"/>
      <c r="V2084" s="450"/>
      <c r="W2084" s="450"/>
      <c r="X2084" s="450"/>
      <c r="Y2084" s="450"/>
      <c r="Z2084" s="450"/>
    </row>
    <row r="2085" spans="1:26" x14ac:dyDescent="0.25">
      <c r="A2085" s="467" t="s">
        <v>2250</v>
      </c>
      <c r="B2085" s="467"/>
      <c r="C2085" s="467" t="s">
        <v>619</v>
      </c>
      <c r="D2085" s="467" t="s">
        <v>2251</v>
      </c>
      <c r="E2085" s="468">
        <v>41575</v>
      </c>
      <c r="F2085" s="468">
        <v>41621</v>
      </c>
      <c r="G2085" s="467" t="s">
        <v>2252</v>
      </c>
      <c r="H2085" s="467" t="s">
        <v>2238</v>
      </c>
      <c r="I2085" s="467" t="s">
        <v>238</v>
      </c>
      <c r="J2085" s="467" t="s">
        <v>2239</v>
      </c>
      <c r="K2085" s="469" t="str">
        <f>HYPERLINK("https://okcountyrecords.com/detail/roger+mills/2013-006502","OKCountyRecords: 2013-006502")</f>
        <v>OKCountyRecords: 2013-006502</v>
      </c>
      <c r="L2085" s="467" t="s">
        <v>502</v>
      </c>
      <c r="M2085" s="467" t="s">
        <v>404</v>
      </c>
      <c r="N2085" s="470">
        <f>1</f>
        <v>1</v>
      </c>
      <c r="O2085" s="471">
        <f t="shared" si="67"/>
        <v>640</v>
      </c>
      <c r="P2085" s="472">
        <f t="shared" si="68"/>
        <v>1</v>
      </c>
      <c r="Q2085" s="472">
        <f t="shared" si="69"/>
        <v>-1</v>
      </c>
      <c r="R2085" s="473">
        <f t="shared" si="70"/>
        <v>640</v>
      </c>
      <c r="S2085" s="467"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89" t="s">
        <v>641</v>
      </c>
      <c r="U2085" s="490" t="s">
        <v>2240</v>
      </c>
      <c r="V2085" s="450"/>
      <c r="W2085" s="450"/>
      <c r="X2085" s="450"/>
      <c r="Y2085" s="450"/>
      <c r="Z2085" s="450"/>
    </row>
    <row r="2086" spans="1:26" x14ac:dyDescent="0.25">
      <c r="A2086" s="467" t="s">
        <v>2253</v>
      </c>
      <c r="B2086" s="467"/>
      <c r="C2086" s="467" t="s">
        <v>1368</v>
      </c>
      <c r="D2086" s="467" t="s">
        <v>2254</v>
      </c>
      <c r="E2086" s="468">
        <v>41624</v>
      </c>
      <c r="F2086" s="468">
        <v>41631</v>
      </c>
      <c r="G2086" s="467" t="s">
        <v>2255</v>
      </c>
      <c r="H2086" s="467" t="s">
        <v>2256</v>
      </c>
      <c r="I2086" s="467" t="s">
        <v>1280</v>
      </c>
      <c r="J2086" s="467" t="s">
        <v>63</v>
      </c>
      <c r="K2086" s="469" t="str">
        <f>HYPERLINK("https://okcountyrecords.com/detail/roger+mills/2013-006644","OKCountyRecords: 2013-006644")</f>
        <v>OKCountyRecords: 2013-006644</v>
      </c>
      <c r="L2086" s="467">
        <v>2</v>
      </c>
      <c r="M2086" s="467" t="s">
        <v>404</v>
      </c>
      <c r="N2086" s="470">
        <v>1</v>
      </c>
      <c r="O2086" s="471">
        <f t="shared" si="67"/>
        <v>160</v>
      </c>
      <c r="P2086" s="472">
        <f t="shared" si="68"/>
        <v>1</v>
      </c>
      <c r="Q2086" s="472">
        <f t="shared" si="69"/>
        <v>-1</v>
      </c>
      <c r="R2086" s="473">
        <f t="shared" si="70"/>
        <v>160</v>
      </c>
      <c r="S2086" s="467"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90" t="s">
        <v>641</v>
      </c>
      <c r="U2086" s="490" t="s">
        <v>1021</v>
      </c>
      <c r="V2086" s="450"/>
      <c r="W2086" s="450"/>
      <c r="X2086" s="450"/>
      <c r="Y2086" s="450"/>
      <c r="Z2086" s="450"/>
    </row>
    <row r="2087" spans="1:26" x14ac:dyDescent="0.25">
      <c r="A2087" s="467" t="s">
        <v>2257</v>
      </c>
      <c r="B2087" s="467"/>
      <c r="C2087" s="467" t="s">
        <v>1368</v>
      </c>
      <c r="D2087" s="467" t="s">
        <v>2258</v>
      </c>
      <c r="E2087" s="468">
        <v>41624</v>
      </c>
      <c r="F2087" s="468">
        <v>41631</v>
      </c>
      <c r="G2087" s="467" t="s">
        <v>2255</v>
      </c>
      <c r="H2087" s="467" t="s">
        <v>2259</v>
      </c>
      <c r="I2087" s="467" t="s">
        <v>1280</v>
      </c>
      <c r="J2087" s="467" t="s">
        <v>63</v>
      </c>
      <c r="K2087" s="469" t="str">
        <f>HYPERLINK("https://okcountyrecords.com/detail/roger+mills/2013-006645","OKCountyRecords: 2013-006645")</f>
        <v>OKCountyRecords: 2013-006645</v>
      </c>
      <c r="L2087" s="467">
        <v>2</v>
      </c>
      <c r="M2087" s="467" t="s">
        <v>404</v>
      </c>
      <c r="N2087" s="470">
        <v>1</v>
      </c>
      <c r="O2087" s="471">
        <f t="shared" si="67"/>
        <v>160</v>
      </c>
      <c r="P2087" s="472">
        <f t="shared" si="68"/>
        <v>1</v>
      </c>
      <c r="Q2087" s="472">
        <f t="shared" si="69"/>
        <v>-1</v>
      </c>
      <c r="R2087" s="473">
        <f t="shared" si="70"/>
        <v>160</v>
      </c>
      <c r="S2087" s="467"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90" t="s">
        <v>641</v>
      </c>
      <c r="U2087" s="490" t="s">
        <v>1021</v>
      </c>
      <c r="V2087" s="450"/>
      <c r="W2087" s="450"/>
      <c r="X2087" s="450"/>
      <c r="Y2087" s="450"/>
      <c r="Z2087" s="450"/>
    </row>
    <row r="2088" spans="1:26" x14ac:dyDescent="0.25">
      <c r="A2088" s="467" t="s">
        <v>2260</v>
      </c>
      <c r="B2088" s="467"/>
      <c r="C2088" s="467" t="s">
        <v>2261</v>
      </c>
      <c r="D2088" s="467" t="s">
        <v>2262</v>
      </c>
      <c r="E2088" s="468">
        <v>41730</v>
      </c>
      <c r="F2088" s="468">
        <v>41746</v>
      </c>
      <c r="G2088" s="467" t="s">
        <v>2263</v>
      </c>
      <c r="H2088" s="467" t="s">
        <v>102</v>
      </c>
      <c r="I2088" s="467" t="s">
        <v>569</v>
      </c>
      <c r="J2088" s="467" t="s">
        <v>2264</v>
      </c>
      <c r="K2088" s="469" t="str">
        <f>HYPERLINK("https://okcountyrecords.com/detail/roger+mills/2014-002337","OKCountyRecords: 2014-002337")</f>
        <v>OKCountyRecords: 2014-002337</v>
      </c>
      <c r="L2088" s="467" t="s">
        <v>502</v>
      </c>
      <c r="M2088" s="467" t="s">
        <v>465</v>
      </c>
      <c r="N2088" s="470"/>
      <c r="O2088" s="471">
        <f t="shared" si="67"/>
        <v>640</v>
      </c>
      <c r="P2088" s="472" t="str">
        <f t="shared" si="68"/>
        <v/>
      </c>
      <c r="Q2088" s="472" t="str">
        <f t="shared" si="69"/>
        <v/>
      </c>
      <c r="R2088" s="473" t="str">
        <f t="shared" si="70"/>
        <v/>
      </c>
      <c r="S2088" s="467" t="s">
        <v>503</v>
      </c>
      <c r="T2088" s="490" t="s">
        <v>467</v>
      </c>
      <c r="U2088" s="490" t="s">
        <v>504</v>
      </c>
      <c r="V2088" s="450"/>
      <c r="W2088" s="450"/>
      <c r="X2088" s="450"/>
      <c r="Y2088" s="450"/>
      <c r="Z2088" s="450"/>
    </row>
    <row r="2089" spans="1:26" x14ac:dyDescent="0.25">
      <c r="A2089" s="467" t="s">
        <v>2265</v>
      </c>
      <c r="B2089" s="467"/>
      <c r="C2089" s="467" t="s">
        <v>619</v>
      </c>
      <c r="D2089" s="467" t="s">
        <v>2266</v>
      </c>
      <c r="E2089" s="468">
        <v>41734</v>
      </c>
      <c r="F2089" s="468">
        <v>41766</v>
      </c>
      <c r="G2089" s="467" t="s">
        <v>2017</v>
      </c>
      <c r="H2089" s="467" t="s">
        <v>2267</v>
      </c>
      <c r="I2089" s="467" t="s">
        <v>1280</v>
      </c>
      <c r="J2089" s="467" t="s">
        <v>2268</v>
      </c>
      <c r="K2089" s="469" t="str">
        <f>HYPERLINK("https://okcountyrecords.com/detail/roger+mills/2014-002935","OKCountyRecords: 2014-002935")</f>
        <v>OKCountyRecords: 2014-002935</v>
      </c>
      <c r="L2089" s="467">
        <v>2</v>
      </c>
      <c r="M2089" s="467" t="s">
        <v>404</v>
      </c>
      <c r="N2089" s="470">
        <f>22.915741/791.47</f>
        <v>2.8953391789960453E-2</v>
      </c>
      <c r="O2089" s="471">
        <f t="shared" si="67"/>
        <v>160</v>
      </c>
      <c r="P2089" s="472">
        <f t="shared" si="68"/>
        <v>2.8953391789960453E-2</v>
      </c>
      <c r="Q2089" s="472">
        <f t="shared" si="69"/>
        <v>-2.8953391789960453E-2</v>
      </c>
      <c r="R2089" s="473">
        <f t="shared" si="70"/>
        <v>4.6325426863936725</v>
      </c>
      <c r="S2089" s="467"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90"/>
      <c r="U2089" s="490"/>
      <c r="V2089" s="450"/>
      <c r="W2089" s="450"/>
      <c r="X2089" s="450"/>
      <c r="Y2089" s="450"/>
      <c r="Z2089" s="450"/>
    </row>
    <row r="2090" spans="1:26" x14ac:dyDescent="0.25">
      <c r="A2090" s="467" t="s">
        <v>2269</v>
      </c>
      <c r="B2090" s="467"/>
      <c r="C2090" s="467" t="s">
        <v>619</v>
      </c>
      <c r="D2090" s="467" t="s">
        <v>2270</v>
      </c>
      <c r="E2090" s="468">
        <v>41746</v>
      </c>
      <c r="F2090" s="468">
        <v>41774</v>
      </c>
      <c r="G2090" s="467" t="s">
        <v>2271</v>
      </c>
      <c r="H2090" s="467" t="s">
        <v>2272</v>
      </c>
      <c r="I2090" s="467" t="s">
        <v>1256</v>
      </c>
      <c r="J2090" s="467" t="s">
        <v>2273</v>
      </c>
      <c r="K2090" s="469" t="str">
        <f>HYPERLINK("https://okcountyrecords.com/detail/roger+mills/2014-003089","OKCountyRecords: 2014-003089")</f>
        <v>OKCountyRecords: 2014-003089</v>
      </c>
      <c r="L2090" s="467" t="s">
        <v>625</v>
      </c>
      <c r="M2090" s="467" t="s">
        <v>404</v>
      </c>
      <c r="N2090" s="476">
        <f>110/260</f>
        <v>0.42307692307692307</v>
      </c>
      <c r="O2090" s="471">
        <f t="shared" si="67"/>
        <v>280</v>
      </c>
      <c r="P2090" s="472">
        <f t="shared" si="68"/>
        <v>0.42307692307692307</v>
      </c>
      <c r="Q2090" s="472">
        <f t="shared" si="69"/>
        <v>-0.42307692307692307</v>
      </c>
      <c r="R2090" s="473">
        <f t="shared" si="70"/>
        <v>118.46153846153847</v>
      </c>
      <c r="S2090" s="467" t="str">
        <f t="shared" si="72"/>
        <v>Mineral; basis Conv Amt(dec). Gross=tract-map basis.</v>
      </c>
      <c r="T2090" s="490"/>
      <c r="U2090" s="490"/>
      <c r="V2090" s="450"/>
      <c r="W2090" s="450"/>
      <c r="X2090" s="450"/>
      <c r="Y2090" s="450"/>
      <c r="Z2090" s="450"/>
    </row>
    <row r="2091" spans="1:26" x14ac:dyDescent="0.25">
      <c r="A2091" s="467" t="s">
        <v>2274</v>
      </c>
      <c r="B2091" s="467"/>
      <c r="C2091" s="467" t="s">
        <v>2275</v>
      </c>
      <c r="D2091" s="467" t="s">
        <v>2276</v>
      </c>
      <c r="E2091" s="468">
        <v>41782</v>
      </c>
      <c r="F2091" s="468">
        <v>41834</v>
      </c>
      <c r="G2091" s="467" t="s">
        <v>2277</v>
      </c>
      <c r="H2091" s="467" t="s">
        <v>2278</v>
      </c>
      <c r="I2091" s="467" t="s">
        <v>2279</v>
      </c>
      <c r="J2091" s="467" t="s">
        <v>63</v>
      </c>
      <c r="K2091" s="469" t="str">
        <f>HYPERLINK("https://okcountyrecords.com/detail/roger+mills/2014-004525","OKCountyRecords: 2014-004525")</f>
        <v>OKCountyRecords: 2014-004525</v>
      </c>
      <c r="L2091" s="467" t="s">
        <v>542</v>
      </c>
      <c r="M2091" s="467" t="s">
        <v>404</v>
      </c>
      <c r="N2091" s="470">
        <v>1</v>
      </c>
      <c r="O2091" s="471">
        <f t="shared" si="67"/>
        <v>0</v>
      </c>
      <c r="P2091" s="472">
        <f t="shared" si="68"/>
        <v>1</v>
      </c>
      <c r="Q2091" s="472">
        <f t="shared" si="69"/>
        <v>-1</v>
      </c>
      <c r="R2091" s="473">
        <f t="shared" si="70"/>
        <v>0</v>
      </c>
      <c r="S2091" s="467" t="str">
        <f t="shared" si="72"/>
        <v>Mineral; basis Conv Amt(dec). Gross acres unresolved. Gross=tract-map basis.</v>
      </c>
      <c r="T2091" s="490"/>
      <c r="U2091" s="490"/>
      <c r="V2091" s="450"/>
      <c r="W2091" s="450"/>
      <c r="X2091" s="450"/>
      <c r="Y2091" s="450"/>
      <c r="Z2091" s="450"/>
    </row>
    <row r="2092" spans="1:26" x14ac:dyDescent="0.25">
      <c r="A2092" s="467" t="s">
        <v>2280</v>
      </c>
      <c r="B2092" s="467"/>
      <c r="C2092" s="467" t="s">
        <v>1456</v>
      </c>
      <c r="D2092" s="467" t="s">
        <v>2281</v>
      </c>
      <c r="E2092" s="468">
        <v>41821</v>
      </c>
      <c r="F2092" s="468">
        <v>42250</v>
      </c>
      <c r="G2092" s="467" t="s">
        <v>2282</v>
      </c>
      <c r="H2092" s="467" t="s">
        <v>2283</v>
      </c>
      <c r="I2092" s="467" t="s">
        <v>569</v>
      </c>
      <c r="J2092" s="467" t="s">
        <v>63</v>
      </c>
      <c r="K2092" s="469" t="str">
        <f>HYPERLINK("https://okcountyrecords.com/detail/roger+mills/2015-002747","OKCountyRecords: 2015-002747")</f>
        <v>OKCountyRecords: 2015-002747</v>
      </c>
      <c r="L2092" s="467" t="s">
        <v>502</v>
      </c>
      <c r="M2092" s="467" t="s">
        <v>1489</v>
      </c>
      <c r="N2092" s="470"/>
      <c r="O2092" s="471">
        <f t="shared" si="67"/>
        <v>640</v>
      </c>
      <c r="P2092" s="472" t="str">
        <f t="shared" si="68"/>
        <v/>
      </c>
      <c r="Q2092" s="472" t="str">
        <f t="shared" si="69"/>
        <v/>
      </c>
      <c r="R2092" s="473" t="str">
        <f t="shared" si="70"/>
        <v/>
      </c>
      <c r="S2092" s="467" t="str">
        <f t="shared" si="72"/>
        <v>Leasehold (non-mineral; excluded from mineral NMA). All-section coverage. Gross=tract-map basis.</v>
      </c>
      <c r="T2092" s="489"/>
      <c r="U2092" s="490"/>
      <c r="V2092" s="450"/>
      <c r="W2092" s="450"/>
      <c r="X2092" s="450"/>
      <c r="Y2092" s="450"/>
      <c r="Z2092" s="450"/>
    </row>
    <row r="2093" spans="1:26" x14ac:dyDescent="0.25">
      <c r="A2093" s="467" t="s">
        <v>2284</v>
      </c>
      <c r="B2093" s="467"/>
      <c r="C2093" s="467" t="s">
        <v>1456</v>
      </c>
      <c r="D2093" s="467" t="s">
        <v>2285</v>
      </c>
      <c r="E2093" s="468">
        <v>41821</v>
      </c>
      <c r="F2093" s="468">
        <v>41907</v>
      </c>
      <c r="G2093" s="467" t="s">
        <v>2286</v>
      </c>
      <c r="H2093" s="467" t="s">
        <v>2287</v>
      </c>
      <c r="I2093" s="467" t="s">
        <v>569</v>
      </c>
      <c r="J2093" s="467" t="s">
        <v>63</v>
      </c>
      <c r="K2093" s="469" t="str">
        <f>HYPERLINK("https://okcountyrecords.com/detail/roger+mills/2014-005920","OKCountyRecords: 2014-005920")</f>
        <v>OKCountyRecords: 2014-005920</v>
      </c>
      <c r="L2093" s="467" t="s">
        <v>502</v>
      </c>
      <c r="M2093" s="467" t="s">
        <v>1489</v>
      </c>
      <c r="N2093" s="470"/>
      <c r="O2093" s="471">
        <f t="shared" si="67"/>
        <v>640</v>
      </c>
      <c r="P2093" s="472" t="str">
        <f t="shared" si="68"/>
        <v/>
      </c>
      <c r="Q2093" s="472" t="str">
        <f t="shared" si="69"/>
        <v/>
      </c>
      <c r="R2093" s="473" t="str">
        <f t="shared" si="70"/>
        <v/>
      </c>
      <c r="S2093" s="467" t="str">
        <f t="shared" si="72"/>
        <v>Leasehold (non-mineral; excluded from mineral NMA). All-section coverage. Gross=tract-map basis.</v>
      </c>
      <c r="T2093" s="489"/>
      <c r="U2093" s="490"/>
      <c r="V2093" s="450"/>
      <c r="W2093" s="450"/>
      <c r="X2093" s="450"/>
      <c r="Y2093" s="450"/>
      <c r="Z2093" s="450"/>
    </row>
    <row r="2094" spans="1:26" x14ac:dyDescent="0.25">
      <c r="A2094" s="467" t="s">
        <v>2289</v>
      </c>
      <c r="B2094" s="467"/>
      <c r="C2094" s="467" t="s">
        <v>2290</v>
      </c>
      <c r="D2094" s="467" t="s">
        <v>2291</v>
      </c>
      <c r="E2094" s="468">
        <v>41821</v>
      </c>
      <c r="F2094" s="468">
        <v>41821</v>
      </c>
      <c r="G2094" s="467" t="s">
        <v>2292</v>
      </c>
      <c r="H2094" s="467" t="s">
        <v>2293</v>
      </c>
      <c r="I2094" s="467" t="s">
        <v>1280</v>
      </c>
      <c r="J2094" s="467" t="s">
        <v>2294</v>
      </c>
      <c r="K2094" s="469" t="str">
        <f>HYPERLINK("https://okcountyrecords.com/detail/roger+mills/2014-004286","OKCountyRecords: 2014-004286")</f>
        <v>OKCountyRecords: 2014-004286</v>
      </c>
      <c r="L2094" s="467">
        <v>2</v>
      </c>
      <c r="M2094" s="467" t="s">
        <v>404</v>
      </c>
      <c r="N2094" s="470">
        <v>1</v>
      </c>
      <c r="O2094" s="471">
        <f t="shared" si="67"/>
        <v>160</v>
      </c>
      <c r="P2094" s="472">
        <f t="shared" si="68"/>
        <v>1</v>
      </c>
      <c r="Q2094" s="472">
        <f t="shared" si="69"/>
        <v>-1</v>
      </c>
      <c r="R2094" s="473">
        <f t="shared" si="70"/>
        <v>160</v>
      </c>
      <c r="S2094" s="467" t="str">
        <f t="shared" si="72"/>
        <v>Mineral; basis Conv Amt(dec). Gross=tract-map basis.</v>
      </c>
      <c r="T2094" s="490"/>
      <c r="U2094" s="490"/>
      <c r="V2094" s="450"/>
      <c r="W2094" s="450"/>
      <c r="X2094" s="450"/>
      <c r="Y2094" s="450"/>
      <c r="Z2094" s="450"/>
    </row>
    <row r="2095" spans="1:26" x14ac:dyDescent="0.25">
      <c r="A2095" s="467" t="s">
        <v>2295</v>
      </c>
      <c r="B2095" s="467"/>
      <c r="C2095" s="467" t="s">
        <v>619</v>
      </c>
      <c r="D2095" s="467" t="s">
        <v>2296</v>
      </c>
      <c r="E2095" s="468">
        <v>41851</v>
      </c>
      <c r="F2095" s="468">
        <v>41905</v>
      </c>
      <c r="G2095" s="467" t="s">
        <v>2297</v>
      </c>
      <c r="H2095" s="467" t="s">
        <v>2298</v>
      </c>
      <c r="I2095" s="467" t="s">
        <v>2299</v>
      </c>
      <c r="J2095" s="467" t="s">
        <v>63</v>
      </c>
      <c r="K2095" s="469" t="str">
        <f>HYPERLINK("https://okcountyrecords.com/detail/roger+mills/2014-005899","OKCountyRecords: 2014-005899")</f>
        <v>OKCountyRecords: 2014-005899</v>
      </c>
      <c r="L2095" s="467" t="s">
        <v>403</v>
      </c>
      <c r="M2095" s="467" t="s">
        <v>404</v>
      </c>
      <c r="N2095" s="470">
        <v>1</v>
      </c>
      <c r="O2095" s="471">
        <f t="shared" si="67"/>
        <v>200</v>
      </c>
      <c r="P2095" s="472">
        <f t="shared" si="68"/>
        <v>1</v>
      </c>
      <c r="Q2095" s="472">
        <f t="shared" si="69"/>
        <v>-1</v>
      </c>
      <c r="R2095" s="473">
        <f t="shared" si="70"/>
        <v>200</v>
      </c>
      <c r="S2095" s="467" t="str">
        <f t="shared" si="72"/>
        <v>Mineral; basis Conv Amt(dec). Gross=tract-map basis.</v>
      </c>
      <c r="T2095" s="490"/>
      <c r="U2095" s="490"/>
      <c r="V2095" s="450"/>
      <c r="W2095" s="450"/>
      <c r="X2095" s="450"/>
      <c r="Y2095" s="450"/>
      <c r="Z2095" s="450"/>
    </row>
    <row r="2096" spans="1:26" x14ac:dyDescent="0.25">
      <c r="A2096" s="467" t="s">
        <v>2300</v>
      </c>
      <c r="B2096" s="467"/>
      <c r="C2096" s="467" t="s">
        <v>619</v>
      </c>
      <c r="D2096" s="467" t="s">
        <v>2301</v>
      </c>
      <c r="E2096" s="468">
        <v>41926</v>
      </c>
      <c r="F2096" s="468">
        <v>41927</v>
      </c>
      <c r="G2096" s="467" t="s">
        <v>2302</v>
      </c>
      <c r="H2096" s="467" t="s">
        <v>2303</v>
      </c>
      <c r="I2096" s="467" t="s">
        <v>2304</v>
      </c>
      <c r="J2096" s="467" t="s">
        <v>8646</v>
      </c>
      <c r="K2096" s="469" t="str">
        <f>HYPERLINK("https://okcountyrecords.com/detail/roger+mills/2014-006293","OKCountyRecords: 2014-006293")</f>
        <v>OKCountyRecords: 2014-006293</v>
      </c>
      <c r="L2096" s="467" t="s">
        <v>1470</v>
      </c>
      <c r="M2096" s="467" t="s">
        <v>404</v>
      </c>
      <c r="N2096" s="476">
        <v>1</v>
      </c>
      <c r="O2096" s="471">
        <f t="shared" si="67"/>
        <v>240</v>
      </c>
      <c r="P2096" s="472">
        <f t="shared" si="68"/>
        <v>1</v>
      </c>
      <c r="Q2096" s="472">
        <f t="shared" si="69"/>
        <v>-1</v>
      </c>
      <c r="R2096" s="473">
        <f t="shared" si="70"/>
        <v>240</v>
      </c>
      <c r="S2096" s="467" t="str">
        <f t="shared" si="72"/>
        <v>Mineral; basis Conv Amt(dec). Gross=tract-map basis.</v>
      </c>
      <c r="T2096" s="490"/>
      <c r="U2096" s="490"/>
      <c r="V2096" s="450"/>
      <c r="W2096" s="450"/>
      <c r="X2096" s="450"/>
      <c r="Y2096" s="450"/>
      <c r="Z2096" s="450"/>
    </row>
    <row r="2097" spans="1:26" x14ac:dyDescent="0.25">
      <c r="A2097" s="467" t="s">
        <v>2305</v>
      </c>
      <c r="B2097" s="467"/>
      <c r="C2097" s="467" t="s">
        <v>2134</v>
      </c>
      <c r="D2097" s="467" t="s">
        <v>2306</v>
      </c>
      <c r="E2097" s="468">
        <v>41926</v>
      </c>
      <c r="F2097" s="468">
        <v>41932</v>
      </c>
      <c r="G2097" s="467" t="s">
        <v>2307</v>
      </c>
      <c r="H2097" s="467" t="s">
        <v>2308</v>
      </c>
      <c r="I2097" s="467" t="s">
        <v>569</v>
      </c>
      <c r="J2097" s="467" t="s">
        <v>760</v>
      </c>
      <c r="K2097" s="469" t="str">
        <f>HYPERLINK("https://okcountyrecords.com/detail/roger+mills/2014-006352","OKCountyRecords: 2014-006352")</f>
        <v>OKCountyRecords: 2014-006352</v>
      </c>
      <c r="L2097" s="467" t="s">
        <v>502</v>
      </c>
      <c r="M2097" s="467" t="s">
        <v>465</v>
      </c>
      <c r="N2097" s="470"/>
      <c r="O2097" s="471">
        <f t="shared" si="67"/>
        <v>640</v>
      </c>
      <c r="P2097" s="472" t="str">
        <f t="shared" si="68"/>
        <v/>
      </c>
      <c r="Q2097" s="472" t="str">
        <f t="shared" si="69"/>
        <v/>
      </c>
      <c r="R2097" s="473" t="str">
        <f t="shared" si="70"/>
        <v/>
      </c>
      <c r="S2097" s="467"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90" t="s">
        <v>641</v>
      </c>
      <c r="U2097" s="490" t="s">
        <v>1021</v>
      </c>
      <c r="V2097" s="450"/>
      <c r="W2097" s="450"/>
      <c r="X2097" s="450"/>
      <c r="Y2097" s="450"/>
      <c r="Z2097" s="450"/>
    </row>
    <row r="2098" spans="1:26" x14ac:dyDescent="0.25">
      <c r="A2098" s="467" t="s">
        <v>2309</v>
      </c>
      <c r="B2098" s="467"/>
      <c r="C2098" s="467" t="s">
        <v>1456</v>
      </c>
      <c r="D2098" s="467" t="s">
        <v>2310</v>
      </c>
      <c r="E2098" s="468">
        <v>41944</v>
      </c>
      <c r="F2098" s="468">
        <v>42250</v>
      </c>
      <c r="G2098" s="467" t="s">
        <v>2311</v>
      </c>
      <c r="H2098" s="467" t="s">
        <v>2283</v>
      </c>
      <c r="I2098" s="467" t="s">
        <v>569</v>
      </c>
      <c r="J2098" s="467" t="s">
        <v>63</v>
      </c>
      <c r="K2098" s="469" t="str">
        <f>HYPERLINK("https://okcountyrecords.com/detail/roger+mills/2015-002749","OKCountyRecords: 2015-002749")</f>
        <v>OKCountyRecords: 2015-002749</v>
      </c>
      <c r="L2098" s="467" t="s">
        <v>502</v>
      </c>
      <c r="M2098" s="467" t="s">
        <v>1489</v>
      </c>
      <c r="N2098" s="470"/>
      <c r="O2098" s="471">
        <f t="shared" si="67"/>
        <v>640</v>
      </c>
      <c r="P2098" s="472" t="str">
        <f t="shared" si="68"/>
        <v/>
      </c>
      <c r="Q2098" s="472" t="str">
        <f t="shared" si="69"/>
        <v/>
      </c>
      <c r="R2098" s="473" t="str">
        <f t="shared" si="70"/>
        <v/>
      </c>
      <c r="S2098" s="467"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89"/>
      <c r="U2098" s="490"/>
      <c r="V2098" s="450"/>
      <c r="W2098" s="450"/>
      <c r="X2098" s="450"/>
      <c r="Y2098" s="450"/>
      <c r="Z2098" s="450"/>
    </row>
    <row r="2099" spans="1:26" x14ac:dyDescent="0.25">
      <c r="A2099" s="467" t="s">
        <v>2312</v>
      </c>
      <c r="B2099" s="467"/>
      <c r="C2099" s="467" t="s">
        <v>1456</v>
      </c>
      <c r="D2099" s="467" t="s">
        <v>2313</v>
      </c>
      <c r="E2099" s="468">
        <v>41988</v>
      </c>
      <c r="F2099" s="468">
        <v>42011</v>
      </c>
      <c r="G2099" s="467" t="s">
        <v>2314</v>
      </c>
      <c r="H2099" s="467" t="s">
        <v>2315</v>
      </c>
      <c r="I2099" s="467" t="s">
        <v>569</v>
      </c>
      <c r="J2099" s="467" t="s">
        <v>63</v>
      </c>
      <c r="K2099" s="469" t="str">
        <f>HYPERLINK("https://okcountyrecords.com/detail/roger+mills/2015-000058","OKCountyRecords: 2015-000058")</f>
        <v>OKCountyRecords: 2015-000058</v>
      </c>
      <c r="L2099" s="467" t="s">
        <v>502</v>
      </c>
      <c r="M2099" s="467" t="s">
        <v>1489</v>
      </c>
      <c r="N2099" s="470"/>
      <c r="O2099" s="471">
        <f t="shared" si="67"/>
        <v>640</v>
      </c>
      <c r="P2099" s="472" t="str">
        <f t="shared" si="68"/>
        <v/>
      </c>
      <c r="Q2099" s="472" t="str">
        <f t="shared" si="69"/>
        <v/>
      </c>
      <c r="R2099" s="473" t="str">
        <f t="shared" si="70"/>
        <v/>
      </c>
      <c r="S2099" s="467"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89"/>
      <c r="U2099" s="490"/>
      <c r="V2099" s="450"/>
      <c r="W2099" s="450"/>
      <c r="X2099" s="450"/>
      <c r="Y2099" s="450"/>
      <c r="Z2099" s="450"/>
    </row>
    <row r="2100" spans="1:26" x14ac:dyDescent="0.25">
      <c r="A2100" s="467" t="s">
        <v>2317</v>
      </c>
      <c r="B2100" s="467"/>
      <c r="C2100" s="467" t="s">
        <v>619</v>
      </c>
      <c r="D2100" s="467" t="s">
        <v>2318</v>
      </c>
      <c r="E2100" s="468">
        <v>42061</v>
      </c>
      <c r="F2100" s="468">
        <v>42068</v>
      </c>
      <c r="G2100" s="467" t="s">
        <v>2319</v>
      </c>
      <c r="H2100" s="467" t="s">
        <v>2320</v>
      </c>
      <c r="I2100" s="467" t="s">
        <v>1280</v>
      </c>
      <c r="J2100" s="467" t="s">
        <v>63</v>
      </c>
      <c r="K2100" s="469" t="str">
        <f>HYPERLINK("https://okcountyrecords.com/detail/roger+mills/2015-000877","OKCountyRecords: 2015-000877")</f>
        <v>OKCountyRecords: 2015-000877</v>
      </c>
      <c r="L2100" s="467">
        <v>2</v>
      </c>
      <c r="M2100" s="467" t="s">
        <v>404</v>
      </c>
      <c r="N2100" s="470">
        <v>1</v>
      </c>
      <c r="O2100" s="471">
        <f t="shared" si="67"/>
        <v>160</v>
      </c>
      <c r="P2100" s="472">
        <f t="shared" si="68"/>
        <v>1</v>
      </c>
      <c r="Q2100" s="472">
        <f t="shared" si="69"/>
        <v>-1</v>
      </c>
      <c r="R2100" s="473">
        <f t="shared" si="70"/>
        <v>160</v>
      </c>
      <c r="S2100" s="467"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90"/>
      <c r="U2100" s="490"/>
      <c r="V2100" s="450"/>
      <c r="W2100" s="450"/>
      <c r="X2100" s="450"/>
      <c r="Y2100" s="450"/>
      <c r="Z2100" s="450"/>
    </row>
    <row r="2101" spans="1:26" x14ac:dyDescent="0.25">
      <c r="A2101" s="467" t="s">
        <v>2321</v>
      </c>
      <c r="B2101" s="467"/>
      <c r="C2101" s="467" t="s">
        <v>2029</v>
      </c>
      <c r="D2101" s="467" t="s">
        <v>2322</v>
      </c>
      <c r="E2101" s="468">
        <v>42111</v>
      </c>
      <c r="F2101" s="468">
        <v>42115</v>
      </c>
      <c r="G2101" s="467" t="s">
        <v>306</v>
      </c>
      <c r="H2101" s="467" t="s">
        <v>2323</v>
      </c>
      <c r="I2101" s="467" t="s">
        <v>215</v>
      </c>
      <c r="J2101" s="467" t="s">
        <v>2324</v>
      </c>
      <c r="K2101" s="469" t="str">
        <f>HYPERLINK("https://okcountyrecords.com/detail/roger+mills/2015-001388","OKCountyRecords: 2015-001388")</f>
        <v>OKCountyRecords: 2015-001388</v>
      </c>
      <c r="L2101" s="467">
        <v>2</v>
      </c>
      <c r="M2101" s="467" t="s">
        <v>404</v>
      </c>
      <c r="N2101" s="470"/>
      <c r="O2101" s="471">
        <f t="shared" si="67"/>
        <v>160</v>
      </c>
      <c r="P2101" s="472" t="str">
        <f t="shared" si="68"/>
        <v/>
      </c>
      <c r="Q2101" s="472" t="str">
        <f t="shared" si="69"/>
        <v/>
      </c>
      <c r="R2101" s="473" t="str">
        <f t="shared" si="70"/>
        <v/>
      </c>
      <c r="S2101" s="467" t="s">
        <v>1501</v>
      </c>
      <c r="T2101" s="489" t="s">
        <v>467</v>
      </c>
      <c r="U2101" s="490" t="s">
        <v>504</v>
      </c>
      <c r="V2101" s="450"/>
      <c r="W2101" s="450"/>
      <c r="X2101" s="450"/>
      <c r="Y2101" s="450"/>
      <c r="Z2101" s="450"/>
    </row>
    <row r="2102" spans="1:26" x14ac:dyDescent="0.25">
      <c r="A2102" s="467" t="s">
        <v>2326</v>
      </c>
      <c r="B2102" s="467"/>
      <c r="C2102" s="467" t="s">
        <v>1456</v>
      </c>
      <c r="D2102" s="467" t="s">
        <v>2327</v>
      </c>
      <c r="E2102" s="468">
        <v>42129</v>
      </c>
      <c r="F2102" s="468">
        <v>42139</v>
      </c>
      <c r="G2102" s="467" t="s">
        <v>2328</v>
      </c>
      <c r="H2102" s="467" t="s">
        <v>2329</v>
      </c>
      <c r="I2102" s="467" t="s">
        <v>569</v>
      </c>
      <c r="J2102" s="467" t="s">
        <v>2330</v>
      </c>
      <c r="K2102" s="469" t="str">
        <f>HYPERLINK("https://okcountyrecords.com/detail/roger+mills/2015-001661","OKCountyRecords: 2015-001661")</f>
        <v>OKCountyRecords: 2015-001661</v>
      </c>
      <c r="L2102" s="467" t="s">
        <v>502</v>
      </c>
      <c r="M2102" s="467" t="s">
        <v>404</v>
      </c>
      <c r="N2102" s="470"/>
      <c r="O2102" s="471">
        <f t="shared" si="67"/>
        <v>640</v>
      </c>
      <c r="P2102" s="472" t="str">
        <f t="shared" si="68"/>
        <v/>
      </c>
      <c r="Q2102" s="472" t="str">
        <f t="shared" si="69"/>
        <v/>
      </c>
      <c r="R2102" s="473" t="str">
        <f t="shared" si="70"/>
        <v/>
      </c>
      <c r="S2102" s="467"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89"/>
      <c r="U2102" s="490"/>
      <c r="V2102" s="450"/>
      <c r="W2102" s="450"/>
      <c r="X2102" s="450"/>
      <c r="Y2102" s="450"/>
      <c r="Z2102" s="450"/>
    </row>
    <row r="2103" spans="1:26" x14ac:dyDescent="0.25">
      <c r="A2103" s="467" t="s">
        <v>2332</v>
      </c>
      <c r="B2103" s="467"/>
      <c r="C2103" s="467" t="s">
        <v>2189</v>
      </c>
      <c r="D2103" s="467" t="s">
        <v>2333</v>
      </c>
      <c r="E2103" s="468">
        <v>42199</v>
      </c>
      <c r="F2103" s="468">
        <v>42207</v>
      </c>
      <c r="G2103" s="467" t="s">
        <v>2334</v>
      </c>
      <c r="H2103" s="467" t="s">
        <v>2335</v>
      </c>
      <c r="I2103" s="467" t="s">
        <v>569</v>
      </c>
      <c r="J2103" s="467" t="s">
        <v>2336</v>
      </c>
      <c r="K2103" s="469" t="str">
        <f>HYPERLINK("https://okcountyrecords.com/detail/roger+mills/2015-002368","OKCountyRecords: 2015-002368")</f>
        <v>OKCountyRecords: 2015-002368</v>
      </c>
      <c r="L2103" s="467" t="s">
        <v>502</v>
      </c>
      <c r="M2103" s="467" t="s">
        <v>1489</v>
      </c>
      <c r="N2103" s="470"/>
      <c r="O2103" s="471">
        <f t="shared" si="67"/>
        <v>640</v>
      </c>
      <c r="P2103" s="472" t="str">
        <f t="shared" si="68"/>
        <v/>
      </c>
      <c r="Q2103" s="472" t="str">
        <f t="shared" si="69"/>
        <v/>
      </c>
      <c r="R2103" s="473" t="str">
        <f t="shared" si="70"/>
        <v/>
      </c>
      <c r="S2103" s="467"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89"/>
      <c r="U2103" s="490"/>
      <c r="V2103" s="450"/>
      <c r="W2103" s="450"/>
      <c r="X2103" s="450"/>
      <c r="Y2103" s="450"/>
      <c r="Z2103" s="450"/>
    </row>
    <row r="2104" spans="1:26" x14ac:dyDescent="0.25">
      <c r="A2104" s="467" t="s">
        <v>2338</v>
      </c>
      <c r="B2104" s="467"/>
      <c r="C2104" s="467" t="s">
        <v>2189</v>
      </c>
      <c r="D2104" s="467" t="s">
        <v>2339</v>
      </c>
      <c r="E2104" s="468">
        <v>42199</v>
      </c>
      <c r="F2104" s="468">
        <v>42207</v>
      </c>
      <c r="G2104" s="467" t="s">
        <v>2340</v>
      </c>
      <c r="H2104" s="467" t="s">
        <v>2341</v>
      </c>
      <c r="I2104" s="467" t="s">
        <v>569</v>
      </c>
      <c r="J2104" s="467" t="s">
        <v>2336</v>
      </c>
      <c r="K2104" s="469" t="str">
        <f>HYPERLINK("https://okcountyrecords.com/detail/roger+mills/2015-002369","OKCountyRecords: 2015-002369")</f>
        <v>OKCountyRecords: 2015-002369</v>
      </c>
      <c r="L2104" s="467" t="s">
        <v>502</v>
      </c>
      <c r="M2104" s="467" t="s">
        <v>1489</v>
      </c>
      <c r="N2104" s="470"/>
      <c r="O2104" s="471">
        <f t="shared" si="67"/>
        <v>640</v>
      </c>
      <c r="P2104" s="472" t="str">
        <f t="shared" si="68"/>
        <v/>
      </c>
      <c r="Q2104" s="472" t="str">
        <f t="shared" si="69"/>
        <v/>
      </c>
      <c r="R2104" s="473" t="str">
        <f t="shared" si="70"/>
        <v/>
      </c>
      <c r="S2104" s="467"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89"/>
      <c r="U2104" s="490"/>
      <c r="V2104" s="450"/>
      <c r="W2104" s="450"/>
      <c r="X2104" s="450"/>
      <c r="Y2104" s="450"/>
      <c r="Z2104" s="450"/>
    </row>
    <row r="2105" spans="1:26" x14ac:dyDescent="0.25">
      <c r="A2105" s="467" t="s">
        <v>2343</v>
      </c>
      <c r="B2105" s="467"/>
      <c r="C2105" s="467" t="s">
        <v>2344</v>
      </c>
      <c r="D2105" s="467" t="s">
        <v>2345</v>
      </c>
      <c r="E2105" s="468">
        <v>42199</v>
      </c>
      <c r="F2105" s="468">
        <v>42285</v>
      </c>
      <c r="G2105" s="467" t="s">
        <v>2346</v>
      </c>
      <c r="H2105" s="467" t="s">
        <v>2347</v>
      </c>
      <c r="I2105" s="467" t="s">
        <v>569</v>
      </c>
      <c r="J2105" s="467" t="s">
        <v>2348</v>
      </c>
      <c r="K2105" s="469" t="str">
        <f>HYPERLINK("https://okcountyrecords.com/detail/roger+mills/2015-003023","OKCountyRecords: 2015-003023")</f>
        <v>OKCountyRecords: 2015-003023</v>
      </c>
      <c r="L2105" s="467" t="s">
        <v>502</v>
      </c>
      <c r="M2105" s="467" t="s">
        <v>404</v>
      </c>
      <c r="N2105" s="470" t="s">
        <v>2205</v>
      </c>
      <c r="O2105" s="471">
        <f t="shared" si="67"/>
        <v>640</v>
      </c>
      <c r="P2105" s="472" t="str">
        <f t="shared" si="68"/>
        <v/>
      </c>
      <c r="Q2105" s="472" t="str">
        <f t="shared" si="69"/>
        <v/>
      </c>
      <c r="R2105" s="473" t="str">
        <f t="shared" si="70"/>
        <v/>
      </c>
      <c r="S2105" s="467"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90" t="s">
        <v>641</v>
      </c>
      <c r="U2105" s="490" t="s">
        <v>2205</v>
      </c>
      <c r="V2105" s="450"/>
      <c r="W2105" s="450"/>
      <c r="X2105" s="450"/>
      <c r="Y2105" s="450"/>
      <c r="Z2105" s="450"/>
    </row>
    <row r="2106" spans="1:26" x14ac:dyDescent="0.25">
      <c r="A2106" s="467" t="s">
        <v>2349</v>
      </c>
      <c r="B2106" s="467"/>
      <c r="C2106" s="467" t="s">
        <v>2344</v>
      </c>
      <c r="D2106" s="467" t="s">
        <v>2350</v>
      </c>
      <c r="E2106" s="468">
        <v>42199</v>
      </c>
      <c r="F2106" s="468">
        <v>42285</v>
      </c>
      <c r="G2106" s="467" t="s">
        <v>2351</v>
      </c>
      <c r="H2106" s="467" t="s">
        <v>2352</v>
      </c>
      <c r="I2106" s="467" t="s">
        <v>569</v>
      </c>
      <c r="J2106" s="467" t="s">
        <v>2353</v>
      </c>
      <c r="K2106" s="469" t="str">
        <f>HYPERLINK("https://okcountyrecords.com/detail/roger+mills/2015-003022","OKCountyRecords: 2015-003022")</f>
        <v>OKCountyRecords: 2015-003022</v>
      </c>
      <c r="L2106" s="467" t="s">
        <v>502</v>
      </c>
      <c r="M2106" s="467" t="s">
        <v>404</v>
      </c>
      <c r="N2106" s="470" t="s">
        <v>2205</v>
      </c>
      <c r="O2106" s="471">
        <f t="shared" si="67"/>
        <v>640</v>
      </c>
      <c r="P2106" s="472" t="str">
        <f t="shared" si="68"/>
        <v/>
      </c>
      <c r="Q2106" s="472" t="str">
        <f t="shared" si="69"/>
        <v/>
      </c>
      <c r="R2106" s="473" t="str">
        <f t="shared" si="70"/>
        <v/>
      </c>
      <c r="S2106" s="467"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90" t="s">
        <v>641</v>
      </c>
      <c r="U2106" s="490" t="s">
        <v>2205</v>
      </c>
      <c r="V2106" s="450"/>
      <c r="W2106" s="450"/>
      <c r="X2106" s="450"/>
      <c r="Y2106" s="450"/>
      <c r="Z2106" s="450"/>
    </row>
    <row r="2107" spans="1:26" x14ac:dyDescent="0.25">
      <c r="A2107" s="467" t="s">
        <v>2354</v>
      </c>
      <c r="B2107" s="467"/>
      <c r="C2107" s="467" t="s">
        <v>619</v>
      </c>
      <c r="D2107" s="467" t="s">
        <v>2355</v>
      </c>
      <c r="E2107" s="468">
        <v>42242</v>
      </c>
      <c r="F2107" s="468">
        <v>42255</v>
      </c>
      <c r="G2107" s="467" t="s">
        <v>2356</v>
      </c>
      <c r="H2107" s="467" t="s">
        <v>2357</v>
      </c>
      <c r="I2107" s="467" t="s">
        <v>2358</v>
      </c>
      <c r="J2107" s="467" t="s">
        <v>2359</v>
      </c>
      <c r="K2107" s="469" t="str">
        <f>HYPERLINK("https://okcountyrecords.com/detail/roger+mills/2015-002791","OKCountyRecords: 2015-002791")</f>
        <v>OKCountyRecords: 2015-002791</v>
      </c>
      <c r="L2107" s="467" t="s">
        <v>2360</v>
      </c>
      <c r="M2107" s="467" t="s">
        <v>404</v>
      </c>
      <c r="N2107" s="470">
        <f>22.915741/791.47</f>
        <v>2.8953391789960453E-2</v>
      </c>
      <c r="O2107" s="471">
        <f t="shared" si="67"/>
        <v>240</v>
      </c>
      <c r="P2107" s="472">
        <f t="shared" si="68"/>
        <v>2.8953391789960453E-2</v>
      </c>
      <c r="Q2107" s="472">
        <f t="shared" si="69"/>
        <v>-2.8953391789960453E-2</v>
      </c>
      <c r="R2107" s="473">
        <f t="shared" si="70"/>
        <v>6.9488140295905083</v>
      </c>
      <c r="S2107" s="467"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90"/>
      <c r="U2107" s="490"/>
      <c r="V2107" s="450"/>
      <c r="W2107" s="450"/>
      <c r="X2107" s="450"/>
      <c r="Y2107" s="450"/>
      <c r="Z2107" s="450"/>
    </row>
    <row r="2108" spans="1:26" x14ac:dyDescent="0.25">
      <c r="A2108" s="467" t="s">
        <v>2361</v>
      </c>
      <c r="B2108" s="467"/>
      <c r="C2108" s="467" t="s">
        <v>1920</v>
      </c>
      <c r="D2108" s="467" t="s">
        <v>2362</v>
      </c>
      <c r="E2108" s="468">
        <v>42255</v>
      </c>
      <c r="F2108" s="468">
        <v>42513</v>
      </c>
      <c r="G2108" s="467" t="s">
        <v>2363</v>
      </c>
      <c r="H2108" s="467" t="s">
        <v>8566</v>
      </c>
      <c r="I2108" s="467" t="s">
        <v>2358</v>
      </c>
      <c r="J2108" s="467" t="s">
        <v>1355</v>
      </c>
      <c r="K2108" s="469" t="str">
        <f>HYPERLINK("https://okcountyrecords.com/detail/roger+mills/2016-001244","OKCountyRecords: 2016-001244")</f>
        <v>OKCountyRecords: 2016-001244</v>
      </c>
      <c r="L2108" s="467" t="s">
        <v>2360</v>
      </c>
      <c r="M2108" s="467" t="s">
        <v>1489</v>
      </c>
      <c r="N2108" s="470"/>
      <c r="O2108" s="471">
        <f t="shared" si="67"/>
        <v>240</v>
      </c>
      <c r="P2108" s="472" t="str">
        <f t="shared" si="68"/>
        <v/>
      </c>
      <c r="Q2108" s="472" t="str">
        <f t="shared" si="69"/>
        <v/>
      </c>
      <c r="R2108" s="473" t="str">
        <f t="shared" si="70"/>
        <v/>
      </c>
      <c r="S2108" s="467"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89"/>
      <c r="U2108" s="490"/>
      <c r="V2108" s="450"/>
      <c r="W2108" s="450"/>
      <c r="X2108" s="450"/>
      <c r="Y2108" s="450"/>
      <c r="Z2108" s="450"/>
    </row>
    <row r="2109" spans="1:26" x14ac:dyDescent="0.25">
      <c r="A2109" s="467" t="s">
        <v>2365</v>
      </c>
      <c r="B2109" s="467"/>
      <c r="C2109" s="467" t="s">
        <v>619</v>
      </c>
      <c r="D2109" s="467" t="s">
        <v>2366</v>
      </c>
      <c r="E2109" s="468">
        <v>42305</v>
      </c>
      <c r="F2109" s="468">
        <v>42313</v>
      </c>
      <c r="G2109" s="467" t="s">
        <v>2165</v>
      </c>
      <c r="H2109" s="467" t="s">
        <v>2367</v>
      </c>
      <c r="I2109" s="467" t="s">
        <v>1280</v>
      </c>
      <c r="J2109" s="467" t="s">
        <v>2368</v>
      </c>
      <c r="K2109" s="469" t="str">
        <f>HYPERLINK("https://okcountyrecords.com/detail/roger+mills/2015-003284","OKCountyRecords: 2015-003284")</f>
        <v>OKCountyRecords: 2015-003284</v>
      </c>
      <c r="L2109" s="467">
        <v>2</v>
      </c>
      <c r="M2109" s="467" t="s">
        <v>404</v>
      </c>
      <c r="N2109" s="470">
        <f>IF(O2109&gt;0,3/O2109,"")</f>
        <v>1.8749999999999999E-2</v>
      </c>
      <c r="O2109" s="471">
        <f t="shared" si="67"/>
        <v>160</v>
      </c>
      <c r="P2109" s="472">
        <f t="shared" si="68"/>
        <v>1.8749999999999999E-2</v>
      </c>
      <c r="Q2109" s="472">
        <f t="shared" si="69"/>
        <v>-1.8749999999999999E-2</v>
      </c>
      <c r="R2109" s="473">
        <f t="shared" si="70"/>
        <v>3</v>
      </c>
      <c r="S2109" s="467"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90"/>
      <c r="U2109" s="490" t="s">
        <v>2167</v>
      </c>
      <c r="V2109" s="450"/>
      <c r="W2109" s="450"/>
      <c r="X2109" s="450"/>
      <c r="Y2109" s="450"/>
      <c r="Z2109" s="450"/>
    </row>
    <row r="2110" spans="1:26" x14ac:dyDescent="0.25">
      <c r="A2110" s="467" t="s">
        <v>2369</v>
      </c>
      <c r="B2110" s="467">
        <v>45</v>
      </c>
      <c r="C2110" s="467" t="s">
        <v>1456</v>
      </c>
      <c r="D2110" s="478" t="s">
        <v>2370</v>
      </c>
      <c r="E2110" s="468">
        <v>42370</v>
      </c>
      <c r="F2110" s="468">
        <v>42593</v>
      </c>
      <c r="G2110" s="467" t="s">
        <v>361</v>
      </c>
      <c r="H2110" s="467" t="s">
        <v>2371</v>
      </c>
      <c r="I2110" s="467" t="s">
        <v>569</v>
      </c>
      <c r="J2110" s="467" t="s">
        <v>2489</v>
      </c>
      <c r="K2110" s="469" t="str">
        <f>HYPERLINK("https://okcountyrecords.com/detail/roger+mills/2016-001883","OKCountyRecords: 2016-001883")</f>
        <v>OKCountyRecords: 2016-001883</v>
      </c>
      <c r="L2110" s="467" t="s">
        <v>502</v>
      </c>
      <c r="M2110" s="467" t="s">
        <v>1489</v>
      </c>
      <c r="N2110" s="470"/>
      <c r="O2110" s="471">
        <f t="shared" si="67"/>
        <v>640</v>
      </c>
      <c r="P2110" s="472" t="str">
        <f t="shared" si="68"/>
        <v/>
      </c>
      <c r="Q2110" s="472" t="str">
        <f t="shared" si="69"/>
        <v/>
      </c>
      <c r="R2110" s="473" t="str">
        <f t="shared" si="70"/>
        <v/>
      </c>
      <c r="S2110" s="467"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90"/>
      <c r="U2110" s="490"/>
      <c r="V2110" s="450"/>
      <c r="W2110" s="450"/>
      <c r="X2110" s="450"/>
      <c r="Y2110" s="450"/>
      <c r="Z2110" s="450"/>
    </row>
    <row r="2111" spans="1:26" x14ac:dyDescent="0.25">
      <c r="A2111" s="467" t="s">
        <v>2372</v>
      </c>
      <c r="B2111" s="467">
        <v>43</v>
      </c>
      <c r="C2111" s="467" t="s">
        <v>1160</v>
      </c>
      <c r="D2111" s="478" t="s">
        <v>2373</v>
      </c>
      <c r="E2111" s="468">
        <v>42370</v>
      </c>
      <c r="F2111" s="468">
        <v>42593</v>
      </c>
      <c r="G2111" s="467" t="s">
        <v>2374</v>
      </c>
      <c r="H2111" s="467" t="s">
        <v>2375</v>
      </c>
      <c r="I2111" s="467" t="s">
        <v>776</v>
      </c>
      <c r="J2111" s="467" t="s">
        <v>2376</v>
      </c>
      <c r="K2111" s="469" t="str">
        <f>HYPERLINK("https://okcountyrecords.com/detail/roger+mills/2016-001882","OKCountyRecords: 2016-001882")</f>
        <v>OKCountyRecords: 2016-001882</v>
      </c>
      <c r="L2111" s="467" t="s">
        <v>778</v>
      </c>
      <c r="M2111" s="467" t="s">
        <v>404</v>
      </c>
      <c r="N2111" s="470">
        <f>1</f>
        <v>1</v>
      </c>
      <c r="O2111" s="471">
        <f t="shared" si="67"/>
        <v>200</v>
      </c>
      <c r="P2111" s="472">
        <f t="shared" si="68"/>
        <v>1</v>
      </c>
      <c r="Q2111" s="472">
        <f t="shared" si="69"/>
        <v>-1</v>
      </c>
      <c r="R2111" s="473">
        <f t="shared" si="70"/>
        <v>200</v>
      </c>
      <c r="S2111" s="467"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89" t="s">
        <v>641</v>
      </c>
      <c r="U2111" s="490" t="s">
        <v>2240</v>
      </c>
      <c r="V2111" s="450"/>
      <c r="W2111" s="450"/>
      <c r="X2111" s="450"/>
      <c r="Y2111" s="450"/>
      <c r="Z2111" s="450"/>
    </row>
    <row r="2112" spans="1:26" x14ac:dyDescent="0.25">
      <c r="A2112" s="467" t="s">
        <v>2377</v>
      </c>
      <c r="B2112" s="467">
        <v>46</v>
      </c>
      <c r="C2112" s="467" t="s">
        <v>1456</v>
      </c>
      <c r="D2112" s="478" t="s">
        <v>2378</v>
      </c>
      <c r="E2112" s="468">
        <v>42673</v>
      </c>
      <c r="F2112" s="468">
        <v>42719</v>
      </c>
      <c r="G2112" s="467" t="s">
        <v>2075</v>
      </c>
      <c r="H2112" s="467" t="s">
        <v>2076</v>
      </c>
      <c r="I2112" s="467" t="s">
        <v>569</v>
      </c>
      <c r="J2112" s="467" t="s">
        <v>2489</v>
      </c>
      <c r="K2112" s="469" t="str">
        <f>HYPERLINK("https://okcountyrecords.com/detail/roger+mills/2016-002793","63e8b9a8d056433a9994fe46ca85076b.pdf | OKCountyRecords: 2016-002793")</f>
        <v>63e8b9a8d056433a9994fe46ca85076b.pdf | OKCountyRecords: 2016-002793</v>
      </c>
      <c r="L2112" s="467" t="s">
        <v>502</v>
      </c>
      <c r="M2112" s="467" t="s">
        <v>1489</v>
      </c>
      <c r="N2112" s="470"/>
      <c r="O2112" s="471">
        <f t="shared" si="67"/>
        <v>640</v>
      </c>
      <c r="P2112" s="472" t="str">
        <f t="shared" si="68"/>
        <v/>
      </c>
      <c r="Q2112" s="472" t="str">
        <f t="shared" si="69"/>
        <v/>
      </c>
      <c r="R2112" s="473" t="str">
        <f t="shared" si="70"/>
        <v/>
      </c>
      <c r="S2112" s="467"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90"/>
      <c r="U2112" s="490"/>
      <c r="V2112" s="450"/>
      <c r="W2112" s="450"/>
      <c r="X2112" s="450"/>
      <c r="Y2112" s="450"/>
      <c r="Z2112" s="450"/>
    </row>
    <row r="2113" spans="1:26" x14ac:dyDescent="0.25">
      <c r="A2113" s="467" t="s">
        <v>8567</v>
      </c>
      <c r="B2113" s="467">
        <v>47</v>
      </c>
      <c r="C2113" s="467" t="s">
        <v>1456</v>
      </c>
      <c r="D2113" s="478" t="s">
        <v>4134</v>
      </c>
      <c r="E2113" s="468">
        <v>42677</v>
      </c>
      <c r="F2113" s="468">
        <v>42692</v>
      </c>
      <c r="G2113" s="467" t="s">
        <v>4518</v>
      </c>
      <c r="H2113" s="467" t="s">
        <v>1909</v>
      </c>
      <c r="I2113" s="467" t="s">
        <v>4519</v>
      </c>
      <c r="J2113" s="467" t="s">
        <v>2489</v>
      </c>
      <c r="K2113" s="469" t="str">
        <f>HYPERLINK("https://okcountyrecords.com/detail/roger+mills/2016-002668","OKCountyRecords: 2016-002668")</f>
        <v>OKCountyRecords: 2016-002668</v>
      </c>
      <c r="L2113" s="467" t="s">
        <v>502</v>
      </c>
      <c r="M2113" s="467" t="s">
        <v>1489</v>
      </c>
      <c r="N2113" s="470"/>
      <c r="O2113" s="471">
        <f t="shared" si="67"/>
        <v>640</v>
      </c>
      <c r="P2113" s="472" t="str">
        <f t="shared" si="68"/>
        <v/>
      </c>
      <c r="Q2113" s="472" t="str">
        <f t="shared" si="69"/>
        <v/>
      </c>
      <c r="R2113" s="473" t="str">
        <f t="shared" si="70"/>
        <v/>
      </c>
      <c r="S2113" s="467"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90" t="s">
        <v>8568</v>
      </c>
      <c r="U2113" s="490" t="s">
        <v>8569</v>
      </c>
      <c r="V2113" s="450"/>
      <c r="W2113" s="450"/>
      <c r="X2113" s="450"/>
      <c r="Y2113" s="450"/>
      <c r="Z2113" s="450"/>
    </row>
    <row r="2114" spans="1:26" x14ac:dyDescent="0.25">
      <c r="A2114" s="467" t="s">
        <v>2379</v>
      </c>
      <c r="B2114" s="467">
        <v>48</v>
      </c>
      <c r="C2114" s="467" t="s">
        <v>1456</v>
      </c>
      <c r="D2114" s="478" t="s">
        <v>2380</v>
      </c>
      <c r="E2114" s="468">
        <v>42682</v>
      </c>
      <c r="F2114" s="468">
        <v>42752</v>
      </c>
      <c r="G2114" s="467" t="s">
        <v>2381</v>
      </c>
      <c r="H2114" s="467" t="s">
        <v>2382</v>
      </c>
      <c r="I2114" s="467" t="s">
        <v>2383</v>
      </c>
      <c r="J2114" s="467" t="s">
        <v>2489</v>
      </c>
      <c r="K2114" s="469" t="str">
        <f>HYPERLINK("https://okcountyrecords.com/detail/roger+mills/2017-000083","OKCountyRecords: 2017-000083")</f>
        <v>OKCountyRecords: 2017-000083</v>
      </c>
      <c r="L2114" s="467" t="s">
        <v>502</v>
      </c>
      <c r="M2114" s="467" t="s">
        <v>1489</v>
      </c>
      <c r="N2114" s="470"/>
      <c r="O2114" s="471">
        <f t="shared" si="67"/>
        <v>640</v>
      </c>
      <c r="P2114" s="472" t="str">
        <f t="shared" si="68"/>
        <v/>
      </c>
      <c r="Q2114" s="472" t="str">
        <f t="shared" si="69"/>
        <v/>
      </c>
      <c r="R2114" s="473" t="str">
        <f t="shared" si="70"/>
        <v/>
      </c>
      <c r="S2114" s="467"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90"/>
      <c r="U2114" s="490"/>
      <c r="V2114" s="450"/>
      <c r="W2114" s="450"/>
      <c r="X2114" s="450"/>
      <c r="Y2114" s="450"/>
      <c r="Z2114" s="450"/>
    </row>
    <row r="2115" spans="1:26" x14ac:dyDescent="0.25">
      <c r="A2115" s="467" t="s">
        <v>2384</v>
      </c>
      <c r="B2115" s="467"/>
      <c r="C2115" s="467" t="s">
        <v>619</v>
      </c>
      <c r="D2115" s="467" t="s">
        <v>2385</v>
      </c>
      <c r="E2115" s="468">
        <v>42855</v>
      </c>
      <c r="F2115" s="468">
        <v>42858</v>
      </c>
      <c r="G2115" s="467" t="s">
        <v>374</v>
      </c>
      <c r="H2115" s="467" t="s">
        <v>175</v>
      </c>
      <c r="I2115" s="467" t="s">
        <v>2386</v>
      </c>
      <c r="J2115" s="467" t="s">
        <v>2387</v>
      </c>
      <c r="K2115" s="469" t="str">
        <f>HYPERLINK("https://okcountyrecords.com/detail/roger+mills/2017-000951/19673811","OKCountyRecords: 2017-000951")</f>
        <v>OKCountyRecords: 2017-000951</v>
      </c>
      <c r="L2115" s="467" t="s">
        <v>2388</v>
      </c>
      <c r="M2115" s="467" t="s">
        <v>404</v>
      </c>
      <c r="N2115" s="470">
        <f>2.2/O2115</f>
        <v>4.3137254901960791E-2</v>
      </c>
      <c r="O2115" s="471">
        <v>51</v>
      </c>
      <c r="P2115" s="472">
        <f t="shared" si="68"/>
        <v>4.3137254901960791E-2</v>
      </c>
      <c r="Q2115" s="472">
        <f t="shared" si="69"/>
        <v>-4.3137254901960791E-2</v>
      </c>
      <c r="R2115" s="473">
        <f t="shared" si="70"/>
        <v>2.2000000000000002</v>
      </c>
      <c r="S2115" s="467" t="s">
        <v>2389</v>
      </c>
      <c r="T2115" s="490" t="s">
        <v>467</v>
      </c>
      <c r="U2115" s="490" t="s">
        <v>2390</v>
      </c>
      <c r="V2115" s="450"/>
      <c r="W2115" s="450"/>
      <c r="X2115" s="450"/>
      <c r="Y2115" s="450"/>
      <c r="Z2115" s="450"/>
    </row>
    <row r="2116" spans="1:26" x14ac:dyDescent="0.25">
      <c r="A2116" s="467" t="s">
        <v>2391</v>
      </c>
      <c r="B2116" s="467"/>
      <c r="C2116" s="467" t="s">
        <v>1062</v>
      </c>
      <c r="D2116" s="467" t="s">
        <v>2392</v>
      </c>
      <c r="E2116" s="468">
        <v>42924</v>
      </c>
      <c r="F2116" s="468">
        <v>42930</v>
      </c>
      <c r="G2116" s="467" t="s">
        <v>2393</v>
      </c>
      <c r="H2116" s="467" t="s">
        <v>102</v>
      </c>
      <c r="I2116" s="467" t="s">
        <v>569</v>
      </c>
      <c r="J2116" s="467" t="s">
        <v>2394</v>
      </c>
      <c r="K2116" s="469" t="str">
        <f>HYPERLINK("https://okcountyrecords.com/detail/roger+mills/2017-001403","63e8b9a8d056433a9994fe46ca85076b.pdf | OKCountyRecords: 2017-001403")</f>
        <v>63e8b9a8d056433a9994fe46ca85076b.pdf | OKCountyRecords: 2017-001403</v>
      </c>
      <c r="L2116" s="467" t="s">
        <v>502</v>
      </c>
      <c r="M2116" s="467" t="s">
        <v>465</v>
      </c>
      <c r="N2116" s="470"/>
      <c r="O2116" s="471">
        <f t="shared" ref="O2116:O2179" si="73">IF($L2116="","",IF(ISNUMBER(SEARCH("all",$L2116)),640,(ISNUMBER(SEARCH("1",$L2116)))*80+(ISNUMBER(SEARCH("2",$L2116)))*160+(ISNUMBER(SEARCH("3",$L2116)))*40+(ISNUMBER(SEARCH("4",$L2116)))*80+(ISNUMBER(SEARCH("5",$L2116)))*120+(ISNUMBER(SEARCH("6",$L2116)))*80+(ISNUMBER(SEARCH("7",$L2116)))*40+(ISNUMBER(SEARCH("8",$L2116)))*40))</f>
        <v>640</v>
      </c>
      <c r="P2116" s="472" t="str">
        <f t="shared" si="68"/>
        <v/>
      </c>
      <c r="Q2116" s="472" t="str">
        <f t="shared" si="69"/>
        <v/>
      </c>
      <c r="R2116" s="473" t="str">
        <f t="shared" si="70"/>
        <v/>
      </c>
      <c r="S2116" s="467" t="s">
        <v>503</v>
      </c>
      <c r="T2116" s="490" t="s">
        <v>467</v>
      </c>
      <c r="U2116" s="490" t="s">
        <v>504</v>
      </c>
      <c r="V2116" s="450"/>
      <c r="W2116" s="450"/>
      <c r="X2116" s="450"/>
      <c r="Y2116" s="450"/>
      <c r="Z2116" s="450"/>
    </row>
    <row r="2117" spans="1:26" x14ac:dyDescent="0.25">
      <c r="A2117" s="467" t="s">
        <v>2395</v>
      </c>
      <c r="B2117" s="467"/>
      <c r="C2117" s="467" t="s">
        <v>619</v>
      </c>
      <c r="D2117" s="467" t="s">
        <v>2396</v>
      </c>
      <c r="E2117" s="468">
        <v>42985</v>
      </c>
      <c r="F2117" s="468">
        <v>42996</v>
      </c>
      <c r="G2117" s="467" t="s">
        <v>2397</v>
      </c>
      <c r="H2117" s="467" t="s">
        <v>2398</v>
      </c>
      <c r="I2117" s="467" t="s">
        <v>569</v>
      </c>
      <c r="J2117" s="467" t="s">
        <v>63</v>
      </c>
      <c r="K2117" s="469" t="str">
        <f>HYPERLINK("https://okcountyrecords.com/detail/roger+mills/2017-001880","OKCountyRecords: 2017-001880")</f>
        <v>OKCountyRecords: 2017-001880</v>
      </c>
      <c r="L2117" s="467" t="s">
        <v>502</v>
      </c>
      <c r="M2117" s="467" t="s">
        <v>404</v>
      </c>
      <c r="N2117" s="470">
        <v>1</v>
      </c>
      <c r="O2117" s="471">
        <f t="shared" si="73"/>
        <v>640</v>
      </c>
      <c r="P2117" s="472">
        <f t="shared" si="68"/>
        <v>1</v>
      </c>
      <c r="Q2117" s="472">
        <f t="shared" si="69"/>
        <v>-1</v>
      </c>
      <c r="R2117" s="473">
        <f t="shared" si="70"/>
        <v>640</v>
      </c>
      <c r="S2117" s="467"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90"/>
      <c r="U2117" s="490"/>
      <c r="V2117" s="450"/>
      <c r="W2117" s="450"/>
      <c r="X2117" s="450"/>
      <c r="Y2117" s="450"/>
      <c r="Z2117" s="450"/>
    </row>
    <row r="2118" spans="1:26" x14ac:dyDescent="0.25">
      <c r="A2118" s="467" t="s">
        <v>8187</v>
      </c>
      <c r="B2118" s="467">
        <v>50</v>
      </c>
      <c r="C2118" s="467" t="s">
        <v>8570</v>
      </c>
      <c r="D2118" s="478" t="s">
        <v>4140</v>
      </c>
      <c r="E2118" s="468">
        <v>43070</v>
      </c>
      <c r="F2118" s="468">
        <v>43088</v>
      </c>
      <c r="G2118" s="467" t="s">
        <v>2371</v>
      </c>
      <c r="H2118" s="467" t="s">
        <v>8571</v>
      </c>
      <c r="I2118" s="467" t="s">
        <v>569</v>
      </c>
      <c r="J2118" s="467" t="s">
        <v>4531</v>
      </c>
      <c r="K2118" s="469" t="str">
        <f>HYPERLINK("https://okcountyrecords.com/detail/roger+mills/2017-002694","63e8b9a8d056433a9994fe46ca85076b.pdf | OKCountyRecords: 2017-002694")</f>
        <v>63e8b9a8d056433a9994fe46ca85076b.pdf | OKCountyRecords: 2017-002694</v>
      </c>
      <c r="L2118" s="467" t="s">
        <v>502</v>
      </c>
      <c r="M2118" s="467" t="s">
        <v>1489</v>
      </c>
      <c r="N2118" s="470"/>
      <c r="O2118" s="471">
        <f t="shared" si="73"/>
        <v>640</v>
      </c>
      <c r="P2118" s="472" t="str">
        <f t="shared" si="68"/>
        <v/>
      </c>
      <c r="Q2118" s="472" t="str">
        <f t="shared" si="69"/>
        <v/>
      </c>
      <c r="R2118" s="473" t="str">
        <f t="shared" si="70"/>
        <v/>
      </c>
      <c r="S2118" s="467"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90"/>
      <c r="U2118" s="490"/>
      <c r="V2118" s="450"/>
      <c r="W2118" s="450"/>
      <c r="X2118" s="450"/>
      <c r="Y2118" s="450"/>
      <c r="Z2118" s="450"/>
    </row>
    <row r="2119" spans="1:26" x14ac:dyDescent="0.25">
      <c r="A2119" s="467" t="s">
        <v>2399</v>
      </c>
      <c r="B2119" s="467">
        <v>47</v>
      </c>
      <c r="C2119" s="467" t="s">
        <v>1456</v>
      </c>
      <c r="D2119" s="467" t="s">
        <v>2400</v>
      </c>
      <c r="E2119" s="468">
        <v>43083</v>
      </c>
      <c r="F2119" s="468">
        <v>43119</v>
      </c>
      <c r="G2119" s="467" t="s">
        <v>2401</v>
      </c>
      <c r="H2119" s="467" t="s">
        <v>2287</v>
      </c>
      <c r="I2119" s="467" t="s">
        <v>2097</v>
      </c>
      <c r="J2119" s="467" t="s">
        <v>2402</v>
      </c>
      <c r="K2119" s="469" t="str">
        <f>HYPERLINK("https://okcountyrecords.com/detail/roger+mills/2018-000119/20639253","OKCountyRecords: 2018-000119")</f>
        <v>OKCountyRecords: 2018-000119</v>
      </c>
      <c r="L2119" s="467" t="s">
        <v>502</v>
      </c>
      <c r="M2119" s="467" t="s">
        <v>1489</v>
      </c>
      <c r="N2119" s="470"/>
      <c r="O2119" s="471">
        <f t="shared" si="73"/>
        <v>640</v>
      </c>
      <c r="P2119" s="472" t="str">
        <f t="shared" si="68"/>
        <v/>
      </c>
      <c r="Q2119" s="472" t="str">
        <f t="shared" si="69"/>
        <v/>
      </c>
      <c r="R2119" s="473" t="str">
        <f t="shared" si="70"/>
        <v/>
      </c>
      <c r="S2119" s="467"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89"/>
      <c r="U2119" s="490"/>
      <c r="V2119" s="450"/>
      <c r="W2119" s="450"/>
      <c r="X2119" s="450"/>
      <c r="Y2119" s="450"/>
      <c r="Z2119" s="450"/>
    </row>
    <row r="2120" spans="1:26" x14ac:dyDescent="0.25">
      <c r="A2120" s="467" t="s">
        <v>2403</v>
      </c>
      <c r="B2120" s="467"/>
      <c r="C2120" s="467" t="s">
        <v>2404</v>
      </c>
      <c r="D2120" s="467" t="s">
        <v>2405</v>
      </c>
      <c r="E2120" s="468">
        <v>43249</v>
      </c>
      <c r="F2120" s="468">
        <v>43272</v>
      </c>
      <c r="G2120" s="467" t="s">
        <v>2406</v>
      </c>
      <c r="H2120" s="467" t="s">
        <v>102</v>
      </c>
      <c r="I2120" s="467" t="s">
        <v>569</v>
      </c>
      <c r="J2120" s="467" t="s">
        <v>2407</v>
      </c>
      <c r="K2120" s="469" t="str">
        <f>HYPERLINK("https://okcountyrecords.com/detail/roger+mills/2018-001569","OKCountyRecords: 2018-001569")</f>
        <v>OKCountyRecords: 2018-001569</v>
      </c>
      <c r="L2120" s="467" t="s">
        <v>502</v>
      </c>
      <c r="M2120" s="467" t="s">
        <v>465</v>
      </c>
      <c r="N2120" s="470"/>
      <c r="O2120" s="471">
        <f t="shared" si="73"/>
        <v>640</v>
      </c>
      <c r="P2120" s="472" t="str">
        <f t="shared" si="68"/>
        <v/>
      </c>
      <c r="Q2120" s="472" t="str">
        <f t="shared" si="69"/>
        <v/>
      </c>
      <c r="R2120" s="473" t="str">
        <f t="shared" si="70"/>
        <v/>
      </c>
      <c r="S2120" s="467" t="s">
        <v>503</v>
      </c>
      <c r="T2120" s="490" t="s">
        <v>467</v>
      </c>
      <c r="U2120" s="490" t="s">
        <v>504</v>
      </c>
      <c r="V2120" s="450"/>
      <c r="W2120" s="450"/>
      <c r="X2120" s="450"/>
      <c r="Y2120" s="450"/>
      <c r="Z2120" s="450"/>
    </row>
    <row r="2121" spans="1:26" x14ac:dyDescent="0.25">
      <c r="A2121" s="467" t="s">
        <v>2408</v>
      </c>
      <c r="B2121" s="467"/>
      <c r="C2121" s="467" t="s">
        <v>2409</v>
      </c>
      <c r="D2121" s="467" t="s">
        <v>2410</v>
      </c>
      <c r="E2121" s="468">
        <v>43281</v>
      </c>
      <c r="F2121" s="468">
        <v>43392</v>
      </c>
      <c r="G2121" s="467" t="s">
        <v>8647</v>
      </c>
      <c r="H2121" s="467" t="s">
        <v>2411</v>
      </c>
      <c r="I2121" s="467" t="s">
        <v>569</v>
      </c>
      <c r="J2121" s="467" t="s">
        <v>2412</v>
      </c>
      <c r="K2121" s="469" t="str">
        <f>HYPERLINK("https://okcountyrecords.com/detail/roger+mills/2018-002786","OKCountyRecords: 2018-002786")</f>
        <v>OKCountyRecords: 2018-002786</v>
      </c>
      <c r="L2121" s="467" t="s">
        <v>502</v>
      </c>
      <c r="M2121" s="467" t="s">
        <v>404</v>
      </c>
      <c r="N2121" s="470">
        <v>1</v>
      </c>
      <c r="O2121" s="471">
        <f t="shared" si="73"/>
        <v>640</v>
      </c>
      <c r="P2121" s="472">
        <f t="shared" si="68"/>
        <v>1</v>
      </c>
      <c r="Q2121" s="472">
        <f t="shared" si="69"/>
        <v>-1</v>
      </c>
      <c r="R2121" s="473">
        <f t="shared" si="70"/>
        <v>640</v>
      </c>
      <c r="S2121" s="467"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90"/>
      <c r="U2121" s="490"/>
      <c r="V2121" s="450"/>
      <c r="W2121" s="450"/>
      <c r="X2121" s="450"/>
      <c r="Y2121" s="450"/>
      <c r="Z2121" s="450"/>
    </row>
    <row r="2122" spans="1:26" x14ac:dyDescent="0.25">
      <c r="A2122" s="467" t="s">
        <v>2413</v>
      </c>
      <c r="B2122" s="467">
        <v>52</v>
      </c>
      <c r="C2122" s="467" t="s">
        <v>2414</v>
      </c>
      <c r="D2122" s="478" t="s">
        <v>2415</v>
      </c>
      <c r="E2122" s="468">
        <v>43314</v>
      </c>
      <c r="F2122" s="468">
        <v>43327</v>
      </c>
      <c r="G2122" s="467" t="s">
        <v>2416</v>
      </c>
      <c r="H2122" s="467" t="s">
        <v>102</v>
      </c>
      <c r="I2122" s="467" t="s">
        <v>569</v>
      </c>
      <c r="J2122" s="467" t="s">
        <v>2194</v>
      </c>
      <c r="K2122" s="469" t="str">
        <f>HYPERLINK("https://okcountyrecords.com/detail/roger+mills/2018-002049","63e8b9a8d056433a9994fe46ca85076b.pdf | OKCountyRecords: 2018-002049")</f>
        <v>63e8b9a8d056433a9994fe46ca85076b.pdf | OKCountyRecords: 2018-002049</v>
      </c>
      <c r="L2122" s="467" t="s">
        <v>502</v>
      </c>
      <c r="M2122" s="467" t="s">
        <v>465</v>
      </c>
      <c r="N2122" s="470"/>
      <c r="O2122" s="471">
        <f t="shared" si="73"/>
        <v>640</v>
      </c>
      <c r="P2122" s="472" t="str">
        <f t="shared" ref="P2122:P2185" si="74">IF($M2122&lt;&gt;"Mineral","",IF(ISNUMBER($N2122),$N2122,IF(OR(ISNUMBER(SEARCH("surface",$J2122)),ISNUMBER(SEARCH("reserv",$J2122)),ISNUMBER(SEARCH("less and except",$J2122))),0,"")))</f>
        <v/>
      </c>
      <c r="Q2122" s="472" t="str">
        <f t="shared" ref="Q2122:Q2185" si="75">IF($P2122="","",-$P2122)</f>
        <v/>
      </c>
      <c r="R2122" s="473" t="str">
        <f t="shared" ref="R2122:R2185" si="76">IF($P2122="","",$O2122*$P2122)</f>
        <v/>
      </c>
      <c r="S2122" s="467" t="s">
        <v>1490</v>
      </c>
      <c r="T2122" s="490" t="s">
        <v>467</v>
      </c>
      <c r="U2122" s="490" t="s">
        <v>504</v>
      </c>
      <c r="V2122" s="450"/>
      <c r="W2122" s="450"/>
      <c r="X2122" s="450"/>
      <c r="Y2122" s="450"/>
      <c r="Z2122" s="450"/>
    </row>
    <row r="2123" spans="1:26" x14ac:dyDescent="0.25">
      <c r="A2123" s="467" t="s">
        <v>2417</v>
      </c>
      <c r="B2123" s="467"/>
      <c r="C2123" s="467" t="s">
        <v>1160</v>
      </c>
      <c r="D2123" s="467" t="s">
        <v>2418</v>
      </c>
      <c r="E2123" s="468">
        <v>43363</v>
      </c>
      <c r="F2123" s="468">
        <v>43382</v>
      </c>
      <c r="G2123" s="467" t="s">
        <v>2419</v>
      </c>
      <c r="H2123" s="467" t="s">
        <v>2420</v>
      </c>
      <c r="I2123" s="467" t="s">
        <v>1256</v>
      </c>
      <c r="J2123" s="467" t="s">
        <v>2421</v>
      </c>
      <c r="K2123" s="469" t="str">
        <f>HYPERLINK("https://okcountyrecords.com/detail/roger+mills/2018-002650/21458328","OKCountyRecords: 2018-002650")</f>
        <v>OKCountyRecords: 2018-002650</v>
      </c>
      <c r="L2123" s="467" t="s">
        <v>625</v>
      </c>
      <c r="M2123" s="467" t="s">
        <v>404</v>
      </c>
      <c r="N2123" s="476">
        <v>1</v>
      </c>
      <c r="O2123" s="471">
        <f t="shared" si="73"/>
        <v>280</v>
      </c>
      <c r="P2123" s="472">
        <f t="shared" si="74"/>
        <v>1</v>
      </c>
      <c r="Q2123" s="472">
        <f t="shared" si="75"/>
        <v>-1</v>
      </c>
      <c r="R2123" s="473">
        <f t="shared" si="76"/>
        <v>280</v>
      </c>
      <c r="S2123" s="467"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90" t="s">
        <v>2422</v>
      </c>
      <c r="U2123" s="490" t="s">
        <v>2423</v>
      </c>
      <c r="V2123" s="450"/>
      <c r="W2123" s="450"/>
      <c r="X2123" s="450"/>
      <c r="Y2123" s="450"/>
      <c r="Z2123" s="450"/>
    </row>
    <row r="2124" spans="1:26" x14ac:dyDescent="0.25">
      <c r="A2124" s="467" t="s">
        <v>2424</v>
      </c>
      <c r="B2124" s="467"/>
      <c r="C2124" s="467" t="s">
        <v>619</v>
      </c>
      <c r="D2124" s="467" t="s">
        <v>2425</v>
      </c>
      <c r="E2124" s="468">
        <v>43423</v>
      </c>
      <c r="F2124" s="468">
        <v>43693</v>
      </c>
      <c r="G2124" s="467" t="s">
        <v>863</v>
      </c>
      <c r="H2124" s="467" t="s">
        <v>838</v>
      </c>
      <c r="I2124" s="467" t="s">
        <v>1280</v>
      </c>
      <c r="J2124" s="467" t="s">
        <v>63</v>
      </c>
      <c r="K2124" s="469" t="str">
        <f>HYPERLINK("https://okcountyrecords.com/detail/roger+mills/2019-001747","OKCountyRecords: 2019-001747")</f>
        <v>OKCountyRecords: 2019-001747</v>
      </c>
      <c r="L2124" s="467">
        <v>2</v>
      </c>
      <c r="M2124" s="467" t="s">
        <v>404</v>
      </c>
      <c r="N2124" s="470">
        <v>1</v>
      </c>
      <c r="O2124" s="471">
        <f t="shared" si="73"/>
        <v>160</v>
      </c>
      <c r="P2124" s="472">
        <f t="shared" si="74"/>
        <v>1</v>
      </c>
      <c r="Q2124" s="472">
        <f t="shared" si="75"/>
        <v>-1</v>
      </c>
      <c r="R2124" s="473">
        <f t="shared" si="76"/>
        <v>160</v>
      </c>
      <c r="S2124" s="467" t="str">
        <f t="shared" si="77"/>
        <v>Mineral; basis Conv Amt(dec). Gross=tract-map basis.</v>
      </c>
      <c r="T2124" s="490"/>
      <c r="U2124" s="490"/>
      <c r="V2124" s="450"/>
      <c r="W2124" s="450"/>
      <c r="X2124" s="450"/>
      <c r="Y2124" s="450"/>
      <c r="Z2124" s="450"/>
    </row>
    <row r="2125" spans="1:26" x14ac:dyDescent="0.25">
      <c r="A2125" s="467" t="s">
        <v>2426</v>
      </c>
      <c r="B2125" s="467"/>
      <c r="C2125" s="467" t="s">
        <v>2427</v>
      </c>
      <c r="D2125" s="467" t="s">
        <v>2428</v>
      </c>
      <c r="E2125" s="468">
        <v>43500</v>
      </c>
      <c r="F2125" s="468">
        <v>46160</v>
      </c>
      <c r="G2125" s="467" t="s">
        <v>2429</v>
      </c>
      <c r="H2125" s="467" t="s">
        <v>2430</v>
      </c>
      <c r="I2125" s="467" t="s">
        <v>2431</v>
      </c>
      <c r="J2125" s="467" t="s">
        <v>8648</v>
      </c>
      <c r="K2125" s="469" t="str">
        <f>HYPERLINK("https://okcountyrecords.com/detail/roger+mills/2026-002877/35377759","OKCountyRecords: 2026-002877")</f>
        <v>OKCountyRecords: 2026-002877</v>
      </c>
      <c r="L2125" s="467" t="s">
        <v>613</v>
      </c>
      <c r="M2125" s="467" t="s">
        <v>404</v>
      </c>
      <c r="N2125" s="470">
        <v>1</v>
      </c>
      <c r="O2125" s="471">
        <f t="shared" si="73"/>
        <v>440</v>
      </c>
      <c r="P2125" s="472">
        <f t="shared" si="74"/>
        <v>1</v>
      </c>
      <c r="Q2125" s="472">
        <f t="shared" si="75"/>
        <v>-1</v>
      </c>
      <c r="R2125" s="473">
        <f t="shared" si="76"/>
        <v>440</v>
      </c>
      <c r="S2125" s="467" t="str">
        <f t="shared" si="77"/>
        <v>Mineral; basis Conv Amt(dec). Gross=tract-map basis.</v>
      </c>
      <c r="T2125" s="490"/>
      <c r="U2125" s="490"/>
      <c r="V2125" s="450"/>
      <c r="W2125" s="450"/>
      <c r="X2125" s="450"/>
      <c r="Y2125" s="450"/>
      <c r="Z2125" s="450"/>
    </row>
    <row r="2126" spans="1:26" x14ac:dyDescent="0.25">
      <c r="A2126" s="467" t="s">
        <v>2432</v>
      </c>
      <c r="B2126" s="467">
        <v>54</v>
      </c>
      <c r="C2126" s="467" t="s">
        <v>1456</v>
      </c>
      <c r="D2126" s="478" t="s">
        <v>2433</v>
      </c>
      <c r="E2126" s="468">
        <v>43564</v>
      </c>
      <c r="F2126" s="468">
        <v>43698</v>
      </c>
      <c r="G2126" s="467" t="s">
        <v>2434</v>
      </c>
      <c r="H2126" s="467" t="s">
        <v>2435</v>
      </c>
      <c r="I2126" s="467" t="s">
        <v>332</v>
      </c>
      <c r="J2126" s="467" t="s">
        <v>2436</v>
      </c>
      <c r="K2126" s="469" t="str">
        <f>HYPERLINK("https://okcountyrecords.com/detail/roger+mills/2019-001779","63e8b9a8d056433a9994fe46ca85076b.pdf | OKCountyRecords: 2019-001779")</f>
        <v>63e8b9a8d056433a9994fe46ca85076b.pdf | OKCountyRecords: 2019-001779</v>
      </c>
      <c r="L2126" s="467">
        <v>4</v>
      </c>
      <c r="M2126" s="467" t="s">
        <v>404</v>
      </c>
      <c r="N2126" s="470"/>
      <c r="O2126" s="471">
        <f t="shared" si="73"/>
        <v>80</v>
      </c>
      <c r="P2126" s="472" t="str">
        <f t="shared" si="74"/>
        <v/>
      </c>
      <c r="Q2126" s="472" t="str">
        <f t="shared" si="75"/>
        <v/>
      </c>
      <c r="R2126" s="473" t="str">
        <f t="shared" si="76"/>
        <v/>
      </c>
      <c r="S2126" s="467" t="str">
        <f t="shared" si="77"/>
        <v>Mineral; NO AMOUNT-verify instrument. Gross=tract-map basis.</v>
      </c>
      <c r="T2126" s="489"/>
      <c r="U2126" s="490"/>
      <c r="V2126" s="450"/>
      <c r="W2126" s="450"/>
      <c r="X2126" s="450"/>
      <c r="Y2126" s="450"/>
      <c r="Z2126" s="450"/>
    </row>
    <row r="2127" spans="1:26" x14ac:dyDescent="0.25">
      <c r="A2127" s="467" t="s">
        <v>2437</v>
      </c>
      <c r="B2127" s="467"/>
      <c r="C2127" s="467" t="s">
        <v>2438</v>
      </c>
      <c r="D2127" s="467" t="s">
        <v>2439</v>
      </c>
      <c r="E2127" s="468">
        <v>43739</v>
      </c>
      <c r="F2127" s="468">
        <v>43711</v>
      </c>
      <c r="G2127" s="467" t="s">
        <v>2440</v>
      </c>
      <c r="H2127" s="467" t="s">
        <v>174</v>
      </c>
      <c r="I2127" s="467" t="s">
        <v>332</v>
      </c>
      <c r="J2127" s="467" t="s">
        <v>63</v>
      </c>
      <c r="K2127" s="469" t="str">
        <f>HYPERLINK("https://okcountyrecords.com/detail/roger+mills/2019-001855/22296278","OKCountyRecords: 2019-001855")</f>
        <v>OKCountyRecords: 2019-001855</v>
      </c>
      <c r="L2127" s="467">
        <v>4</v>
      </c>
      <c r="M2127" s="467" t="s">
        <v>404</v>
      </c>
      <c r="N2127" s="470">
        <v>1</v>
      </c>
      <c r="O2127" s="471">
        <f t="shared" si="73"/>
        <v>80</v>
      </c>
      <c r="P2127" s="472">
        <f t="shared" si="74"/>
        <v>1</v>
      </c>
      <c r="Q2127" s="472">
        <f t="shared" si="75"/>
        <v>-1</v>
      </c>
      <c r="R2127" s="473">
        <f t="shared" si="76"/>
        <v>80</v>
      </c>
      <c r="S2127" s="467" t="str">
        <f t="shared" si="77"/>
        <v>Mineral; basis Conv Amt(dec). Gross=tract-map basis.</v>
      </c>
      <c r="T2127" s="490"/>
      <c r="U2127" s="490"/>
      <c r="V2127" s="450"/>
      <c r="W2127" s="450"/>
      <c r="X2127" s="450"/>
      <c r="Y2127" s="450"/>
      <c r="Z2127" s="450"/>
    </row>
    <row r="2128" spans="1:26" x14ac:dyDescent="0.25">
      <c r="A2128" s="467" t="s">
        <v>2441</v>
      </c>
      <c r="B2128" s="467">
        <v>56</v>
      </c>
      <c r="C2128" s="467" t="s">
        <v>1456</v>
      </c>
      <c r="D2128" s="478" t="s">
        <v>2442</v>
      </c>
      <c r="E2128" s="468">
        <v>43831</v>
      </c>
      <c r="F2128" s="468">
        <v>44060</v>
      </c>
      <c r="G2128" s="467" t="s">
        <v>8572</v>
      </c>
      <c r="H2128" s="467" t="s">
        <v>2443</v>
      </c>
      <c r="I2128" s="467" t="s">
        <v>569</v>
      </c>
      <c r="J2128" s="467" t="s">
        <v>2489</v>
      </c>
      <c r="K2128" s="469" t="str">
        <f>HYPERLINK("https://okcountyrecords.com/detail/roger+mills/2020-001283","63e8b9a8d056433a9994fe46ca85076b.pdf | OKCountyRecords: 2020-001283")</f>
        <v>63e8b9a8d056433a9994fe46ca85076b.pdf | OKCountyRecords: 2020-001283</v>
      </c>
      <c r="L2128" s="467" t="s">
        <v>502</v>
      </c>
      <c r="M2128" s="467" t="s">
        <v>1489</v>
      </c>
      <c r="N2128" s="470"/>
      <c r="O2128" s="471">
        <f t="shared" si="73"/>
        <v>640</v>
      </c>
      <c r="P2128" s="472" t="str">
        <f t="shared" si="74"/>
        <v/>
      </c>
      <c r="Q2128" s="472" t="str">
        <f t="shared" si="75"/>
        <v/>
      </c>
      <c r="R2128" s="473" t="str">
        <f t="shared" si="76"/>
        <v/>
      </c>
      <c r="S2128" s="467" t="str">
        <f t="shared" si="77"/>
        <v>Leasehold (non-mineral; excluded from mineral NMA). All-section coverage. Gross=tract-map basis.</v>
      </c>
      <c r="T2128" s="490"/>
      <c r="U2128" s="490"/>
      <c r="V2128" s="450"/>
      <c r="W2128" s="450"/>
      <c r="X2128" s="450"/>
      <c r="Y2128" s="450"/>
      <c r="Z2128" s="450"/>
    </row>
    <row r="2129" spans="1:26" x14ac:dyDescent="0.25">
      <c r="A2129" s="467" t="s">
        <v>2444</v>
      </c>
      <c r="B2129" s="467"/>
      <c r="C2129" s="467" t="s">
        <v>2445</v>
      </c>
      <c r="D2129" s="467" t="s">
        <v>2446</v>
      </c>
      <c r="E2129" s="468">
        <v>44044</v>
      </c>
      <c r="F2129" s="468">
        <v>44449</v>
      </c>
      <c r="G2129" s="467" t="s">
        <v>2447</v>
      </c>
      <c r="H2129" s="467" t="s">
        <v>2448</v>
      </c>
      <c r="I2129" s="467" t="s">
        <v>569</v>
      </c>
      <c r="J2129" s="467" t="s">
        <v>2449</v>
      </c>
      <c r="K2129" s="469" t="str">
        <f>HYPERLINK("https://okcountyrecords.com/detail/roger+mills/2021-001486","OKCountyRecords: 2021-001486")</f>
        <v>OKCountyRecords: 2021-001486</v>
      </c>
      <c r="L2129" s="467" t="s">
        <v>502</v>
      </c>
      <c r="M2129" s="467" t="s">
        <v>404</v>
      </c>
      <c r="N2129" s="470" t="s">
        <v>2205</v>
      </c>
      <c r="O2129" s="471">
        <f t="shared" si="73"/>
        <v>640</v>
      </c>
      <c r="P2129" s="472" t="str">
        <f t="shared" si="74"/>
        <v/>
      </c>
      <c r="Q2129" s="472" t="str">
        <f t="shared" si="75"/>
        <v/>
      </c>
      <c r="R2129" s="473" t="str">
        <f t="shared" si="76"/>
        <v/>
      </c>
      <c r="S2129" s="467"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90" t="s">
        <v>641</v>
      </c>
      <c r="U2129" s="490" t="s">
        <v>2205</v>
      </c>
      <c r="V2129" s="450"/>
      <c r="W2129" s="450"/>
      <c r="X2129" s="450"/>
      <c r="Y2129" s="450"/>
      <c r="Z2129" s="450"/>
    </row>
    <row r="2130" spans="1:26" x14ac:dyDescent="0.25">
      <c r="A2130" s="467" t="s">
        <v>2450</v>
      </c>
      <c r="B2130" s="467"/>
      <c r="C2130" s="467" t="s">
        <v>461</v>
      </c>
      <c r="D2130" s="467" t="s">
        <v>2451</v>
      </c>
      <c r="E2130" s="468">
        <v>44050</v>
      </c>
      <c r="F2130" s="468">
        <v>44060</v>
      </c>
      <c r="G2130" s="467" t="s">
        <v>8573</v>
      </c>
      <c r="H2130" s="467" t="s">
        <v>102</v>
      </c>
      <c r="I2130" s="467" t="s">
        <v>569</v>
      </c>
      <c r="J2130" s="467" t="s">
        <v>2453</v>
      </c>
      <c r="K2130" s="469" t="str">
        <f>HYPERLINK("https://okcountyrecords.com/detail/roger+mills/2020-001279","OKCountyRecords: 2020-001279")</f>
        <v>OKCountyRecords: 2020-001279</v>
      </c>
      <c r="L2130" s="467" t="s">
        <v>502</v>
      </c>
      <c r="M2130" s="467" t="s">
        <v>465</v>
      </c>
      <c r="N2130" s="470">
        <v>0</v>
      </c>
      <c r="O2130" s="471">
        <f t="shared" si="73"/>
        <v>640</v>
      </c>
      <c r="P2130" s="472" t="str">
        <f t="shared" si="74"/>
        <v/>
      </c>
      <c r="Q2130" s="472" t="str">
        <f t="shared" si="75"/>
        <v/>
      </c>
      <c r="R2130" s="473" t="str">
        <f t="shared" si="76"/>
        <v/>
      </c>
      <c r="S2130" s="467" t="s">
        <v>503</v>
      </c>
      <c r="T2130" s="490" t="s">
        <v>467</v>
      </c>
      <c r="U2130" s="490" t="s">
        <v>504</v>
      </c>
      <c r="V2130" s="450"/>
      <c r="W2130" s="450"/>
      <c r="X2130" s="450"/>
      <c r="Y2130" s="450"/>
      <c r="Z2130" s="450"/>
    </row>
    <row r="2131" spans="1:26" x14ac:dyDescent="0.25">
      <c r="A2131" s="467" t="s">
        <v>2454</v>
      </c>
      <c r="B2131" s="467"/>
      <c r="C2131" s="467" t="s">
        <v>1160</v>
      </c>
      <c r="D2131" s="467" t="s">
        <v>2455</v>
      </c>
      <c r="E2131" s="468">
        <v>44071</v>
      </c>
      <c r="F2131" s="468">
        <v>44076</v>
      </c>
      <c r="G2131" s="467" t="s">
        <v>2456</v>
      </c>
      <c r="H2131" s="467" t="s">
        <v>2457</v>
      </c>
      <c r="I2131" s="467" t="s">
        <v>2458</v>
      </c>
      <c r="J2131" s="467" t="s">
        <v>63</v>
      </c>
      <c r="K2131" s="469" t="str">
        <f>HYPERLINK("https://okcountyrecords.com/detail/roger+mills/2020-001374","OKCountyRecords: 2020-001374")</f>
        <v>OKCountyRecords: 2020-001374</v>
      </c>
      <c r="L2131" s="467" t="s">
        <v>613</v>
      </c>
      <c r="M2131" s="467" t="s">
        <v>404</v>
      </c>
      <c r="N2131" s="470">
        <v>1</v>
      </c>
      <c r="O2131" s="471">
        <f t="shared" si="73"/>
        <v>440</v>
      </c>
      <c r="P2131" s="472">
        <f t="shared" si="74"/>
        <v>1</v>
      </c>
      <c r="Q2131" s="472">
        <f t="shared" si="75"/>
        <v>-1</v>
      </c>
      <c r="R2131" s="473">
        <f t="shared" si="76"/>
        <v>440</v>
      </c>
      <c r="S2131" s="467"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90"/>
      <c r="U2131" s="490"/>
      <c r="V2131" s="450"/>
      <c r="W2131" s="450"/>
      <c r="X2131" s="450"/>
      <c r="Y2131" s="450"/>
      <c r="Z2131" s="450"/>
    </row>
    <row r="2132" spans="1:26" x14ac:dyDescent="0.25">
      <c r="A2132" s="467" t="s">
        <v>2459</v>
      </c>
      <c r="B2132" s="467">
        <v>57</v>
      </c>
      <c r="C2132" s="467" t="s">
        <v>1456</v>
      </c>
      <c r="D2132" s="478" t="s">
        <v>2460</v>
      </c>
      <c r="E2132" s="468">
        <v>44105</v>
      </c>
      <c r="F2132" s="468">
        <v>44118</v>
      </c>
      <c r="G2132" s="467" t="s">
        <v>8574</v>
      </c>
      <c r="H2132" s="467" t="s">
        <v>2448</v>
      </c>
      <c r="I2132" s="467" t="s">
        <v>8575</v>
      </c>
      <c r="J2132" s="467" t="s">
        <v>2489</v>
      </c>
      <c r="K2132" s="469" t="str">
        <f>HYPERLINK("https://okcountyrecords.com/detail/roger+mills/2020-001577","63e8b9a8d056433a9994fe46ca85076b.pdf | OKCountyRecords: 2020-001577")</f>
        <v>63e8b9a8d056433a9994fe46ca85076b.pdf | OKCountyRecords: 2020-001577</v>
      </c>
      <c r="L2132" s="467" t="s">
        <v>2462</v>
      </c>
      <c r="M2132" s="467" t="s">
        <v>1489</v>
      </c>
      <c r="N2132" s="470"/>
      <c r="O2132" s="471">
        <f t="shared" si="73"/>
        <v>320</v>
      </c>
      <c r="P2132" s="472" t="str">
        <f t="shared" si="74"/>
        <v/>
      </c>
      <c r="Q2132" s="472" t="str">
        <f t="shared" si="75"/>
        <v/>
      </c>
      <c r="R2132" s="473" t="str">
        <f t="shared" si="76"/>
        <v/>
      </c>
      <c r="S2132" s="467" t="str">
        <f t="shared" si="78"/>
        <v>Leasehold (non-mineral; excluded from mineral NMA). Gross=tract-map basis.</v>
      </c>
      <c r="T2132" s="490"/>
      <c r="U2132" s="490"/>
      <c r="V2132" s="450"/>
      <c r="W2132" s="450"/>
      <c r="X2132" s="450"/>
      <c r="Y2132" s="450"/>
      <c r="Z2132" s="450"/>
    </row>
    <row r="2133" spans="1:26" x14ac:dyDescent="0.25">
      <c r="A2133" s="467" t="s">
        <v>2463</v>
      </c>
      <c r="B2133" s="467"/>
      <c r="C2133" s="467" t="s">
        <v>1160</v>
      </c>
      <c r="D2133" s="467" t="s">
        <v>2464</v>
      </c>
      <c r="E2133" s="468">
        <v>44126</v>
      </c>
      <c r="F2133" s="468">
        <v>44133</v>
      </c>
      <c r="G2133" s="467" t="s">
        <v>2465</v>
      </c>
      <c r="H2133" s="467" t="s">
        <v>2466</v>
      </c>
      <c r="I2133" s="467" t="s">
        <v>1280</v>
      </c>
      <c r="J2133" s="467" t="s">
        <v>2467</v>
      </c>
      <c r="K2133" s="469" t="str">
        <f>HYPERLINK("https://okcountyrecords.com/detail/roger+mills/2020-001650","OKCountyRecords: 2020-001650")</f>
        <v>OKCountyRecords: 2020-001650</v>
      </c>
      <c r="L2133" s="467">
        <v>2</v>
      </c>
      <c r="M2133" s="467" t="s">
        <v>404</v>
      </c>
      <c r="N2133" s="470">
        <v>1</v>
      </c>
      <c r="O2133" s="471">
        <f t="shared" si="73"/>
        <v>160</v>
      </c>
      <c r="P2133" s="472">
        <f t="shared" si="74"/>
        <v>1</v>
      </c>
      <c r="Q2133" s="472">
        <f t="shared" si="75"/>
        <v>-1</v>
      </c>
      <c r="R2133" s="473">
        <f t="shared" si="76"/>
        <v>160</v>
      </c>
      <c r="S2133" s="467" t="str">
        <f t="shared" si="78"/>
        <v>Mineral; basis Conv Amt(dec). Gross=tract-map basis.</v>
      </c>
      <c r="T2133" s="490"/>
      <c r="U2133" s="490"/>
      <c r="V2133" s="450"/>
      <c r="W2133" s="450"/>
      <c r="X2133" s="450"/>
      <c r="Y2133" s="450"/>
      <c r="Z2133" s="450"/>
    </row>
    <row r="2134" spans="1:26" x14ac:dyDescent="0.25">
      <c r="A2134" s="467" t="s">
        <v>2468</v>
      </c>
      <c r="B2134" s="467">
        <v>58</v>
      </c>
      <c r="C2134" s="467" t="s">
        <v>2469</v>
      </c>
      <c r="D2134" s="478" t="s">
        <v>2470</v>
      </c>
      <c r="E2134" s="468">
        <v>44136</v>
      </c>
      <c r="F2134" s="468">
        <v>44144</v>
      </c>
      <c r="G2134" s="467" t="s">
        <v>2471</v>
      </c>
      <c r="H2134" s="467" t="s">
        <v>2472</v>
      </c>
      <c r="I2134" s="467" t="s">
        <v>569</v>
      </c>
      <c r="J2134" s="467" t="s">
        <v>2473</v>
      </c>
      <c r="K2134" s="469" t="str">
        <f>HYPERLINK("https://okcountyrecords.com/detail/roger+mills/2020-001708","63e8b9a8d056433a9994fe46ca85076b.pdf | OKCountyRecords: 2020-001708")</f>
        <v>63e8b9a8d056433a9994fe46ca85076b.pdf | OKCountyRecords: 2020-001708</v>
      </c>
      <c r="L2134" s="467" t="s">
        <v>502</v>
      </c>
      <c r="M2134" s="467" t="s">
        <v>404</v>
      </c>
      <c r="N2134" s="470">
        <v>1</v>
      </c>
      <c r="O2134" s="471">
        <f t="shared" si="73"/>
        <v>640</v>
      </c>
      <c r="P2134" s="472">
        <f t="shared" si="74"/>
        <v>1</v>
      </c>
      <c r="Q2134" s="472">
        <f t="shared" si="75"/>
        <v>-1</v>
      </c>
      <c r="R2134" s="473">
        <f t="shared" si="76"/>
        <v>640</v>
      </c>
      <c r="S2134" s="467" t="str">
        <f t="shared" si="78"/>
        <v>Mineral; basis Conv Amt(dec). All-section coverage. Gross=tract-map basis.</v>
      </c>
      <c r="T2134" s="489"/>
      <c r="U2134" s="490"/>
      <c r="V2134" s="450"/>
      <c r="W2134" s="450"/>
      <c r="X2134" s="450"/>
      <c r="Y2134" s="450"/>
      <c r="Z2134" s="450"/>
    </row>
    <row r="2135" spans="1:26" x14ac:dyDescent="0.25">
      <c r="A2135" s="467" t="s">
        <v>2474</v>
      </c>
      <c r="B2135" s="467">
        <v>52</v>
      </c>
      <c r="C2135" s="467" t="s">
        <v>1456</v>
      </c>
      <c r="D2135" s="467" t="s">
        <v>2475</v>
      </c>
      <c r="E2135" s="468">
        <v>44136</v>
      </c>
      <c r="F2135" s="468">
        <v>44175</v>
      </c>
      <c r="G2135" s="467" t="s">
        <v>2476</v>
      </c>
      <c r="H2135" s="467" t="s">
        <v>2477</v>
      </c>
      <c r="I2135" s="467" t="s">
        <v>2478</v>
      </c>
      <c r="J2135" s="467" t="s">
        <v>2479</v>
      </c>
      <c r="K2135" s="469" t="str">
        <f>HYPERLINK("https://okcountyrecords.com/detail/roger+mills/2020-001954/26392975","OKCountyRecords: 2020-001954")</f>
        <v>OKCountyRecords: 2020-001954</v>
      </c>
      <c r="L2135" s="467" t="s">
        <v>502</v>
      </c>
      <c r="M2135" s="467" t="s">
        <v>1489</v>
      </c>
      <c r="N2135" s="470"/>
      <c r="O2135" s="471">
        <f t="shared" si="73"/>
        <v>640</v>
      </c>
      <c r="P2135" s="472" t="str">
        <f t="shared" si="74"/>
        <v/>
      </c>
      <c r="Q2135" s="472" t="str">
        <f t="shared" si="75"/>
        <v/>
      </c>
      <c r="R2135" s="473" t="str">
        <f t="shared" si="76"/>
        <v/>
      </c>
      <c r="S2135" s="467" t="str">
        <f t="shared" si="78"/>
        <v>Leasehold (non-mineral; excluded from mineral NMA). All-section coverage. Gross=tract-map basis.</v>
      </c>
      <c r="T2135" s="489"/>
      <c r="U2135" s="490"/>
      <c r="V2135" s="450"/>
      <c r="W2135" s="450"/>
      <c r="X2135" s="450"/>
      <c r="Y2135" s="450"/>
      <c r="Z2135" s="450"/>
    </row>
    <row r="2136" spans="1:26" x14ac:dyDescent="0.25">
      <c r="A2136" s="467" t="s">
        <v>2480</v>
      </c>
      <c r="B2136" s="467">
        <v>60</v>
      </c>
      <c r="C2136" s="467" t="s">
        <v>2481</v>
      </c>
      <c r="D2136" s="478" t="s">
        <v>2482</v>
      </c>
      <c r="E2136" s="468">
        <v>44182</v>
      </c>
      <c r="F2136" s="468">
        <v>44314</v>
      </c>
      <c r="G2136" s="467" t="s">
        <v>2283</v>
      </c>
      <c r="H2136" s="467" t="s">
        <v>2483</v>
      </c>
      <c r="I2136" s="467" t="s">
        <v>569</v>
      </c>
      <c r="J2136" s="467" t="s">
        <v>2484</v>
      </c>
      <c r="K2136" s="469" t="str">
        <f>HYPERLINK("https://okcountyrecords.com/detail/roger+mills/2021-000697","63e8b9a8d056433a9994fe46ca85076b.pdf | OKCountyRecords: 2021-000697")</f>
        <v>63e8b9a8d056433a9994fe46ca85076b.pdf | OKCountyRecords: 2021-000697</v>
      </c>
      <c r="L2136" s="467" t="s">
        <v>502</v>
      </c>
      <c r="M2136" s="467" t="s">
        <v>465</v>
      </c>
      <c r="N2136" s="470"/>
      <c r="O2136" s="471">
        <f t="shared" si="73"/>
        <v>640</v>
      </c>
      <c r="P2136" s="472" t="str">
        <f t="shared" si="74"/>
        <v/>
      </c>
      <c r="Q2136" s="472" t="str">
        <f t="shared" si="75"/>
        <v/>
      </c>
      <c r="R2136" s="473" t="str">
        <f t="shared" si="76"/>
        <v/>
      </c>
      <c r="S2136" s="467" t="str">
        <f t="shared" si="78"/>
        <v>Other (non-mineral; excluded from mineral NMA). All-section coverage. Gross=tract-map basis.</v>
      </c>
      <c r="T2136" s="489"/>
      <c r="U2136" s="490"/>
      <c r="V2136" s="450"/>
      <c r="W2136" s="450"/>
      <c r="X2136" s="450"/>
      <c r="Y2136" s="450"/>
      <c r="Z2136" s="450"/>
    </row>
    <row r="2137" spans="1:26" x14ac:dyDescent="0.25">
      <c r="A2137" s="467" t="s">
        <v>2485</v>
      </c>
      <c r="B2137" s="467">
        <v>63</v>
      </c>
      <c r="C2137" s="467" t="s">
        <v>1456</v>
      </c>
      <c r="D2137" s="478" t="s">
        <v>2486</v>
      </c>
      <c r="E2137" s="468">
        <v>44348</v>
      </c>
      <c r="F2137" s="468">
        <v>44463</v>
      </c>
      <c r="G2137" s="467" t="s">
        <v>8576</v>
      </c>
      <c r="H2137" s="467" t="s">
        <v>2448</v>
      </c>
      <c r="I2137" s="467" t="s">
        <v>2488</v>
      </c>
      <c r="J2137" s="467" t="s">
        <v>2489</v>
      </c>
      <c r="K2137" s="469" t="str">
        <f>HYPERLINK("https://okcountyrecords.com/detail/roger+mills/2021-001561","63e8b9a8d056433a9994fe46ca85076b.pdf | OKCountyRecords: 2021-001561")</f>
        <v>63e8b9a8d056433a9994fe46ca85076b.pdf | OKCountyRecords: 2021-001561</v>
      </c>
      <c r="L2137" s="467" t="s">
        <v>2490</v>
      </c>
      <c r="M2137" s="467" t="s">
        <v>1489</v>
      </c>
      <c r="N2137" s="476"/>
      <c r="O2137" s="471">
        <f t="shared" si="73"/>
        <v>280</v>
      </c>
      <c r="P2137" s="472" t="str">
        <f t="shared" si="74"/>
        <v/>
      </c>
      <c r="Q2137" s="472" t="str">
        <f t="shared" si="75"/>
        <v/>
      </c>
      <c r="R2137" s="473" t="str">
        <f t="shared" si="76"/>
        <v/>
      </c>
      <c r="S2137" s="467" t="str">
        <f t="shared" si="78"/>
        <v>Leasehold (non-mineral; excluded from mineral NMA). Gross=tract-map basis.</v>
      </c>
      <c r="T2137" s="489"/>
      <c r="U2137" s="490"/>
      <c r="V2137" s="450"/>
      <c r="W2137" s="450"/>
      <c r="X2137" s="450"/>
      <c r="Y2137" s="450"/>
      <c r="Z2137" s="450"/>
    </row>
    <row r="2138" spans="1:26" x14ac:dyDescent="0.25">
      <c r="A2138" s="467" t="s">
        <v>2491</v>
      </c>
      <c r="B2138" s="467"/>
      <c r="C2138" s="467" t="s">
        <v>619</v>
      </c>
      <c r="D2138" s="467" t="s">
        <v>2492</v>
      </c>
      <c r="E2138" s="468">
        <v>44348</v>
      </c>
      <c r="F2138" s="468">
        <v>44377</v>
      </c>
      <c r="G2138" s="467" t="s">
        <v>2493</v>
      </c>
      <c r="H2138" s="467" t="s">
        <v>2494</v>
      </c>
      <c r="I2138" s="467" t="s">
        <v>1256</v>
      </c>
      <c r="J2138" s="467" t="s">
        <v>2495</v>
      </c>
      <c r="K2138" s="469" t="str">
        <f>HYPERLINK("https://okcountyrecords.com/detail/roger+mills/2021-001068","OKCountyRecords: 2021-001068")</f>
        <v>OKCountyRecords: 2021-001068</v>
      </c>
      <c r="L2138" s="467" t="s">
        <v>625</v>
      </c>
      <c r="M2138" s="467" t="s">
        <v>404</v>
      </c>
      <c r="N2138" s="476">
        <v>1</v>
      </c>
      <c r="O2138" s="471">
        <f t="shared" si="73"/>
        <v>280</v>
      </c>
      <c r="P2138" s="472">
        <f t="shared" si="74"/>
        <v>1</v>
      </c>
      <c r="Q2138" s="472">
        <f t="shared" si="75"/>
        <v>-1</v>
      </c>
      <c r="R2138" s="473">
        <f t="shared" si="76"/>
        <v>280</v>
      </c>
      <c r="S2138" s="467" t="str">
        <f t="shared" si="78"/>
        <v>Mineral; basis Conv Amt(dec). Gross=tract-map basis.</v>
      </c>
      <c r="T2138" s="489"/>
      <c r="U2138" s="490"/>
      <c r="V2138" s="450"/>
      <c r="W2138" s="450"/>
      <c r="X2138" s="450"/>
      <c r="Y2138" s="450"/>
      <c r="Z2138" s="450"/>
    </row>
    <row r="2139" spans="1:26" x14ac:dyDescent="0.25">
      <c r="A2139" s="467" t="s">
        <v>2496</v>
      </c>
      <c r="B2139" s="467">
        <v>61</v>
      </c>
      <c r="C2139" s="467" t="s">
        <v>2497</v>
      </c>
      <c r="D2139" s="478" t="s">
        <v>2498</v>
      </c>
      <c r="E2139" s="468">
        <v>44407</v>
      </c>
      <c r="F2139" s="468">
        <v>44462</v>
      </c>
      <c r="G2139" s="467" t="s">
        <v>2499</v>
      </c>
      <c r="H2139" s="467" t="s">
        <v>102</v>
      </c>
      <c r="I2139" s="467" t="s">
        <v>569</v>
      </c>
      <c r="J2139" s="467" t="s">
        <v>8649</v>
      </c>
      <c r="K2139" s="469" t="str">
        <f>HYPERLINK("https://okcountyrecords.com/detail/roger+mills/2021-001557","63e8b9a8d056433a9994fe46ca85076b.pdf | OKCountyRecords: 2021-001557")</f>
        <v>63e8b9a8d056433a9994fe46ca85076b.pdf | OKCountyRecords: 2021-001557</v>
      </c>
      <c r="L2139" s="467" t="s">
        <v>502</v>
      </c>
      <c r="M2139" s="467" t="s">
        <v>465</v>
      </c>
      <c r="N2139" s="470"/>
      <c r="O2139" s="471">
        <f t="shared" si="73"/>
        <v>640</v>
      </c>
      <c r="P2139" s="472" t="str">
        <f t="shared" si="74"/>
        <v/>
      </c>
      <c r="Q2139" s="472" t="str">
        <f t="shared" si="75"/>
        <v/>
      </c>
      <c r="R2139" s="473" t="str">
        <f t="shared" si="76"/>
        <v/>
      </c>
      <c r="S2139" s="467" t="s">
        <v>503</v>
      </c>
      <c r="T2139" s="489" t="s">
        <v>467</v>
      </c>
      <c r="U2139" s="490" t="s">
        <v>504</v>
      </c>
      <c r="V2139" s="450"/>
      <c r="W2139" s="450"/>
      <c r="X2139" s="450"/>
      <c r="Y2139" s="450"/>
      <c r="Z2139" s="450"/>
    </row>
    <row r="2140" spans="1:26" x14ac:dyDescent="0.25">
      <c r="A2140" s="467" t="s">
        <v>2500</v>
      </c>
      <c r="B2140" s="467">
        <v>62</v>
      </c>
      <c r="C2140" s="467" t="s">
        <v>98</v>
      </c>
      <c r="D2140" s="478" t="s">
        <v>100</v>
      </c>
      <c r="E2140" s="468">
        <v>44407</v>
      </c>
      <c r="F2140" s="468">
        <v>44462</v>
      </c>
      <c r="G2140" s="467" t="s">
        <v>105</v>
      </c>
      <c r="H2140" s="467" t="s">
        <v>8577</v>
      </c>
      <c r="I2140" s="467" t="s">
        <v>569</v>
      </c>
      <c r="J2140" s="467" t="s">
        <v>8578</v>
      </c>
      <c r="K2140" s="469" t="str">
        <f>HYPERLINK("https://okcountyrecords.com/detail/roger+mills/2021-001559","63e8b9a8d056433a9994fe46ca85076b.pdf | OKCountyRecords: 2021-001559")</f>
        <v>63e8b9a8d056433a9994fe46ca85076b.pdf | OKCountyRecords: 2021-001559</v>
      </c>
      <c r="L2140" s="467" t="s">
        <v>502</v>
      </c>
      <c r="M2140" s="467" t="s">
        <v>465</v>
      </c>
      <c r="N2140" s="470"/>
      <c r="O2140" s="471">
        <f t="shared" si="73"/>
        <v>640</v>
      </c>
      <c r="P2140" s="472" t="str">
        <f t="shared" si="74"/>
        <v/>
      </c>
      <c r="Q2140" s="472" t="str">
        <f t="shared" si="75"/>
        <v/>
      </c>
      <c r="R2140" s="473" t="str">
        <f t="shared" si="76"/>
        <v/>
      </c>
      <c r="S2140" s="467"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89"/>
      <c r="U2140" s="490"/>
      <c r="V2140" s="450"/>
      <c r="W2140" s="450"/>
      <c r="X2140" s="450"/>
      <c r="Y2140" s="450"/>
      <c r="Z2140" s="450"/>
    </row>
    <row r="2141" spans="1:26" x14ac:dyDescent="0.25">
      <c r="A2141" s="467" t="s">
        <v>8260</v>
      </c>
      <c r="B2141" s="467"/>
      <c r="C2141" s="467" t="s">
        <v>1907</v>
      </c>
      <c r="D2141" s="467" t="s">
        <v>2502</v>
      </c>
      <c r="E2141" s="468">
        <v>44440</v>
      </c>
      <c r="F2141" s="468">
        <v>44476</v>
      </c>
      <c r="G2141" s="467" t="s">
        <v>2503</v>
      </c>
      <c r="H2141" s="467" t="s">
        <v>8491</v>
      </c>
      <c r="I2141" s="467" t="s">
        <v>569</v>
      </c>
      <c r="J2141" s="467" t="s">
        <v>1912</v>
      </c>
      <c r="K2141" s="469" t="str">
        <f>HYPERLINK("https://okcountyrecords.com/detail/roger+mills/2021-001669","OKCountyRecords: 2021-001669")</f>
        <v>OKCountyRecords: 2021-001669</v>
      </c>
      <c r="L2141" s="467" t="s">
        <v>502</v>
      </c>
      <c r="M2141" s="467" t="s">
        <v>1912</v>
      </c>
      <c r="N2141" s="470"/>
      <c r="O2141" s="471">
        <f t="shared" si="73"/>
        <v>640</v>
      </c>
      <c r="P2141" s="472" t="str">
        <f t="shared" si="74"/>
        <v/>
      </c>
      <c r="Q2141" s="472" t="str">
        <f t="shared" si="75"/>
        <v/>
      </c>
      <c r="R2141" s="473" t="str">
        <f t="shared" si="76"/>
        <v/>
      </c>
      <c r="S2141" s="467" t="str">
        <f t="shared" si="79"/>
        <v>ORRI (non-mineral; excluded from mineral NMA). All-section coverage. Gross=tract-map basis.</v>
      </c>
      <c r="T2141" s="489"/>
      <c r="U2141" s="490"/>
      <c r="V2141" s="450"/>
      <c r="W2141" s="450"/>
      <c r="X2141" s="450"/>
      <c r="Y2141" s="450"/>
      <c r="Z2141" s="450"/>
    </row>
    <row r="2142" spans="1:26" x14ac:dyDescent="0.25">
      <c r="A2142" s="467" t="s">
        <v>2501</v>
      </c>
      <c r="B2142" s="467">
        <v>64</v>
      </c>
      <c r="C2142" s="467" t="s">
        <v>1456</v>
      </c>
      <c r="D2142" s="478" t="s">
        <v>2502</v>
      </c>
      <c r="E2142" s="468">
        <v>44440</v>
      </c>
      <c r="F2142" s="468">
        <v>44476</v>
      </c>
      <c r="G2142" s="467" t="s">
        <v>2503</v>
      </c>
      <c r="H2142" s="467" t="s">
        <v>2504</v>
      </c>
      <c r="I2142" s="467" t="s">
        <v>2505</v>
      </c>
      <c r="J2142" s="467" t="s">
        <v>2489</v>
      </c>
      <c r="K2142" s="469" t="str">
        <f>HYPERLINK("https://okcountyrecords.com/detail/roger+mills/2021-001605","63e8b9a8d056433a9994fe46ca85076b.pdf | OKCountyRecords: 2021-001605")</f>
        <v>63e8b9a8d056433a9994fe46ca85076b.pdf | OKCountyRecords: 2021-001605</v>
      </c>
      <c r="L2142" s="467" t="s">
        <v>502</v>
      </c>
      <c r="M2142" s="467" t="s">
        <v>1489</v>
      </c>
      <c r="N2142" s="470"/>
      <c r="O2142" s="471">
        <f t="shared" si="73"/>
        <v>640</v>
      </c>
      <c r="P2142" s="472" t="str">
        <f t="shared" si="74"/>
        <v/>
      </c>
      <c r="Q2142" s="472" t="str">
        <f t="shared" si="75"/>
        <v/>
      </c>
      <c r="R2142" s="473" t="str">
        <f t="shared" si="76"/>
        <v/>
      </c>
      <c r="S2142" s="467" t="str">
        <f t="shared" si="79"/>
        <v>Leasehold (non-mineral; excluded from mineral NMA). All-section coverage. Gross=tract-map basis.</v>
      </c>
      <c r="T2142" s="489"/>
      <c r="U2142" s="490"/>
      <c r="V2142" s="450"/>
      <c r="W2142" s="450"/>
      <c r="X2142" s="450"/>
      <c r="Y2142" s="450"/>
      <c r="Z2142" s="450"/>
    </row>
    <row r="2143" spans="1:26" x14ac:dyDescent="0.25">
      <c r="A2143" s="467" t="s">
        <v>2506</v>
      </c>
      <c r="B2143" s="467"/>
      <c r="C2143" s="467" t="s">
        <v>619</v>
      </c>
      <c r="D2143" s="467" t="s">
        <v>2507</v>
      </c>
      <c r="E2143" s="468">
        <v>44489</v>
      </c>
      <c r="F2143" s="468">
        <v>44491</v>
      </c>
      <c r="G2143" s="467" t="s">
        <v>2508</v>
      </c>
      <c r="H2143" s="467" t="s">
        <v>2509</v>
      </c>
      <c r="I2143" s="467" t="s">
        <v>1280</v>
      </c>
      <c r="J2143" s="467" t="s">
        <v>2510</v>
      </c>
      <c r="K2143" s="469" t="str">
        <f>HYPERLINK("https://okcountyrecords.com/detail/roger+mills/2021-001774/26955795","OKCountyRecords: 2021-001774")</f>
        <v>OKCountyRecords: 2021-001774</v>
      </c>
      <c r="L2143" s="467">
        <v>2</v>
      </c>
      <c r="M2143" s="467" t="s">
        <v>404</v>
      </c>
      <c r="N2143" s="470">
        <f>IF(O2143&gt;0,3/O2143,"")</f>
        <v>1.8749999999999999E-2</v>
      </c>
      <c r="O2143" s="471">
        <f t="shared" si="73"/>
        <v>160</v>
      </c>
      <c r="P2143" s="472">
        <f t="shared" si="74"/>
        <v>1.8749999999999999E-2</v>
      </c>
      <c r="Q2143" s="472">
        <f t="shared" si="75"/>
        <v>-1.8749999999999999E-2</v>
      </c>
      <c r="R2143" s="473">
        <f t="shared" si="76"/>
        <v>3</v>
      </c>
      <c r="S2143" s="467" t="str">
        <f t="shared" si="79"/>
        <v>Mineral; basis Conv Amt(dec). Gross=tract-map basis.</v>
      </c>
      <c r="T2143" s="489"/>
      <c r="U2143" s="490" t="s">
        <v>2167</v>
      </c>
      <c r="V2143" s="450"/>
      <c r="W2143" s="450"/>
      <c r="X2143" s="450"/>
      <c r="Y2143" s="450"/>
      <c r="Z2143" s="450"/>
    </row>
    <row r="2144" spans="1:26" x14ac:dyDescent="0.25">
      <c r="A2144" s="467" t="s">
        <v>8264</v>
      </c>
      <c r="B2144" s="467"/>
      <c r="C2144" s="467" t="s">
        <v>1907</v>
      </c>
      <c r="D2144" s="467" t="s">
        <v>8493</v>
      </c>
      <c r="E2144" s="468">
        <v>44530</v>
      </c>
      <c r="F2144" s="468">
        <v>44543</v>
      </c>
      <c r="G2144" s="467" t="s">
        <v>2503</v>
      </c>
      <c r="H2144" s="467" t="s">
        <v>8267</v>
      </c>
      <c r="I2144" s="467" t="s">
        <v>569</v>
      </c>
      <c r="J2144" s="467" t="s">
        <v>1912</v>
      </c>
      <c r="K2144" s="469" t="str">
        <f>HYPERLINK("https://okcountyrecords.com/detail/roger+mills/2021-002152","OKCountyRecords: 2021-002152")</f>
        <v>OKCountyRecords: 2021-002152</v>
      </c>
      <c r="L2144" s="467" t="s">
        <v>502</v>
      </c>
      <c r="M2144" s="467" t="s">
        <v>1912</v>
      </c>
      <c r="N2144" s="470"/>
      <c r="O2144" s="471">
        <f t="shared" si="73"/>
        <v>640</v>
      </c>
      <c r="P2144" s="472" t="str">
        <f t="shared" si="74"/>
        <v/>
      </c>
      <c r="Q2144" s="472" t="str">
        <f t="shared" si="75"/>
        <v/>
      </c>
      <c r="R2144" s="473" t="str">
        <f t="shared" si="76"/>
        <v/>
      </c>
      <c r="S2144" s="467" t="str">
        <f t="shared" si="79"/>
        <v>ORRI (non-mineral; excluded from mineral NMA). All-section coverage. Gross=tract-map basis.</v>
      </c>
      <c r="T2144" s="489"/>
      <c r="U2144" s="490"/>
      <c r="V2144" s="450"/>
      <c r="W2144" s="450"/>
      <c r="X2144" s="450"/>
      <c r="Y2144" s="450"/>
      <c r="Z2144" s="450"/>
    </row>
    <row r="2145" spans="1:26" x14ac:dyDescent="0.25">
      <c r="A2145" s="467" t="s">
        <v>2511</v>
      </c>
      <c r="B2145" s="467"/>
      <c r="C2145" s="467" t="s">
        <v>1456</v>
      </c>
      <c r="D2145" s="467" t="s">
        <v>2512</v>
      </c>
      <c r="E2145" s="468">
        <v>44562</v>
      </c>
      <c r="F2145" s="468">
        <v>44615</v>
      </c>
      <c r="G2145" s="467" t="s">
        <v>2513</v>
      </c>
      <c r="H2145" s="467" t="s">
        <v>2514</v>
      </c>
      <c r="I2145" s="467" t="s">
        <v>569</v>
      </c>
      <c r="J2145" s="467" t="s">
        <v>63</v>
      </c>
      <c r="K2145" s="469" t="str">
        <f>HYPERLINK("https://okcountyrecords.com/detail/roger+mills/2022-000354","OKCountyRecords: 2022-000354")</f>
        <v>OKCountyRecords: 2022-000354</v>
      </c>
      <c r="L2145" s="467" t="s">
        <v>502</v>
      </c>
      <c r="M2145" s="467" t="s">
        <v>1489</v>
      </c>
      <c r="N2145" s="470"/>
      <c r="O2145" s="471">
        <f t="shared" si="73"/>
        <v>640</v>
      </c>
      <c r="P2145" s="472" t="str">
        <f t="shared" si="74"/>
        <v/>
      </c>
      <c r="Q2145" s="472" t="str">
        <f t="shared" si="75"/>
        <v/>
      </c>
      <c r="R2145" s="473" t="str">
        <f t="shared" si="76"/>
        <v/>
      </c>
      <c r="S2145" s="467" t="str">
        <f t="shared" si="79"/>
        <v>Leasehold (non-mineral; excluded from mineral NMA). All-section coverage. Gross=tract-map basis.</v>
      </c>
      <c r="T2145" s="489"/>
      <c r="U2145" s="490"/>
      <c r="V2145" s="450"/>
      <c r="W2145" s="450"/>
      <c r="X2145" s="450"/>
      <c r="Y2145" s="450"/>
      <c r="Z2145" s="450"/>
    </row>
    <row r="2146" spans="1:26" x14ac:dyDescent="0.25">
      <c r="A2146" s="467" t="s">
        <v>2516</v>
      </c>
      <c r="B2146" s="467"/>
      <c r="C2146" s="467" t="s">
        <v>619</v>
      </c>
      <c r="D2146" s="467" t="s">
        <v>2517</v>
      </c>
      <c r="E2146" s="468">
        <v>44571</v>
      </c>
      <c r="F2146" s="468">
        <v>44592</v>
      </c>
      <c r="G2146" s="467" t="s">
        <v>2494</v>
      </c>
      <c r="H2146" s="467" t="s">
        <v>2518</v>
      </c>
      <c r="I2146" s="467" t="s">
        <v>569</v>
      </c>
      <c r="J2146" s="467" t="s">
        <v>2495</v>
      </c>
      <c r="K2146" s="469" t="str">
        <f>HYPERLINK("https://okcountyrecords.com/detail/roger+mills/2022-000185","OKCountyRecords: 2022-000185")</f>
        <v>OKCountyRecords: 2022-000185</v>
      </c>
      <c r="L2146" s="467" t="s">
        <v>502</v>
      </c>
      <c r="M2146" s="467" t="s">
        <v>404</v>
      </c>
      <c r="N2146" s="470">
        <v>1</v>
      </c>
      <c r="O2146" s="471">
        <f t="shared" si="73"/>
        <v>640</v>
      </c>
      <c r="P2146" s="472">
        <f t="shared" si="74"/>
        <v>1</v>
      </c>
      <c r="Q2146" s="472">
        <f t="shared" si="75"/>
        <v>-1</v>
      </c>
      <c r="R2146" s="473">
        <f t="shared" si="76"/>
        <v>640</v>
      </c>
      <c r="S2146" s="467" t="str">
        <f t="shared" si="79"/>
        <v>Mineral; basis Conv Amt(dec). All-section coverage. Gross=tract-map basis.</v>
      </c>
      <c r="T2146" s="489"/>
      <c r="U2146" s="490"/>
      <c r="V2146" s="450"/>
      <c r="W2146" s="450"/>
      <c r="X2146" s="450"/>
      <c r="Y2146" s="450"/>
      <c r="Z2146" s="450"/>
    </row>
    <row r="2147" spans="1:26" x14ac:dyDescent="0.25">
      <c r="A2147" s="467" t="s">
        <v>2519</v>
      </c>
      <c r="B2147" s="467"/>
      <c r="C2147" s="467" t="s">
        <v>2497</v>
      </c>
      <c r="D2147" s="467" t="s">
        <v>2520</v>
      </c>
      <c r="E2147" s="468">
        <v>44713</v>
      </c>
      <c r="F2147" s="468">
        <v>44715</v>
      </c>
      <c r="G2147" s="467" t="s">
        <v>2521</v>
      </c>
      <c r="H2147" s="467" t="s">
        <v>102</v>
      </c>
      <c r="I2147" s="467" t="s">
        <v>569</v>
      </c>
      <c r="J2147" s="467" t="s">
        <v>2522</v>
      </c>
      <c r="K2147" s="469" t="str">
        <f>HYPERLINK("https://okcountyrecords.com/detail/roger+mills/2022-001083","OKCountyRecords: 2022-001083")</f>
        <v>OKCountyRecords: 2022-001083</v>
      </c>
      <c r="L2147" s="467" t="s">
        <v>502</v>
      </c>
      <c r="M2147" s="467" t="s">
        <v>465</v>
      </c>
      <c r="N2147" s="470"/>
      <c r="O2147" s="471">
        <f t="shared" si="73"/>
        <v>640</v>
      </c>
      <c r="P2147" s="472" t="str">
        <f t="shared" si="74"/>
        <v/>
      </c>
      <c r="Q2147" s="472" t="str">
        <f t="shared" si="75"/>
        <v/>
      </c>
      <c r="R2147" s="473" t="str">
        <f t="shared" si="76"/>
        <v/>
      </c>
      <c r="S2147" s="467" t="s">
        <v>503</v>
      </c>
      <c r="T2147" s="489" t="s">
        <v>467</v>
      </c>
      <c r="U2147" s="490" t="s">
        <v>504</v>
      </c>
      <c r="V2147" s="450"/>
      <c r="W2147" s="450"/>
      <c r="X2147" s="450"/>
      <c r="Y2147" s="450"/>
      <c r="Z2147" s="450"/>
    </row>
    <row r="2148" spans="1:26" x14ac:dyDescent="0.25">
      <c r="A2148" s="467" t="s">
        <v>2523</v>
      </c>
      <c r="B2148" s="467"/>
      <c r="C2148" s="467" t="s">
        <v>619</v>
      </c>
      <c r="D2148" s="467" t="s">
        <v>2524</v>
      </c>
      <c r="E2148" s="468">
        <v>45061</v>
      </c>
      <c r="F2148" s="468">
        <v>45114</v>
      </c>
      <c r="G2148" s="467" t="s">
        <v>838</v>
      </c>
      <c r="H2148" s="467" t="s">
        <v>2525</v>
      </c>
      <c r="I2148" s="467" t="s">
        <v>1280</v>
      </c>
      <c r="J2148" s="467" t="s">
        <v>63</v>
      </c>
      <c r="K2148" s="469" t="str">
        <f>HYPERLINK("https://okcountyrecords.com/detail/roger+mills/2023-002269","OKCountyRecords: 2023-002269")</f>
        <v>OKCountyRecords: 2023-002269</v>
      </c>
      <c r="L2148" s="467">
        <v>2</v>
      </c>
      <c r="M2148" s="467" t="s">
        <v>404</v>
      </c>
      <c r="N2148" s="470">
        <v>1</v>
      </c>
      <c r="O2148" s="471">
        <f t="shared" si="73"/>
        <v>160</v>
      </c>
      <c r="P2148" s="472">
        <f t="shared" si="74"/>
        <v>1</v>
      </c>
      <c r="Q2148" s="472">
        <f t="shared" si="75"/>
        <v>-1</v>
      </c>
      <c r="R2148" s="473">
        <f t="shared" si="76"/>
        <v>160</v>
      </c>
      <c r="S2148" s="467"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89"/>
      <c r="U2148" s="490"/>
      <c r="V2148" s="450"/>
      <c r="W2148" s="450"/>
      <c r="X2148" s="450"/>
      <c r="Y2148" s="450"/>
      <c r="Z2148" s="450"/>
    </row>
    <row r="2149" spans="1:26" x14ac:dyDescent="0.25">
      <c r="A2149" s="467" t="s">
        <v>2526</v>
      </c>
      <c r="B2149" s="467">
        <v>69</v>
      </c>
      <c r="C2149" s="467" t="s">
        <v>1456</v>
      </c>
      <c r="D2149" s="478" t="s">
        <v>2527</v>
      </c>
      <c r="E2149" s="468">
        <v>45148</v>
      </c>
      <c r="F2149" s="468">
        <v>45509</v>
      </c>
      <c r="G2149" s="467" t="s">
        <v>2514</v>
      </c>
      <c r="H2149" s="467" t="s">
        <v>2528</v>
      </c>
      <c r="I2149" s="467" t="s">
        <v>238</v>
      </c>
      <c r="J2149" s="467" t="s">
        <v>2489</v>
      </c>
      <c r="K2149" s="469" t="str">
        <f>HYPERLINK("https://okcountyrecords.com/detail/roger+mills/2024-004916","63e8b9a8d056433a9994fe46ca85076b.pdf | OKCountyRecords: 2024-004916")</f>
        <v>63e8b9a8d056433a9994fe46ca85076b.pdf | OKCountyRecords: 2024-004916</v>
      </c>
      <c r="L2149" s="467" t="s">
        <v>502</v>
      </c>
      <c r="M2149" s="467" t="s">
        <v>1489</v>
      </c>
      <c r="N2149" s="470"/>
      <c r="O2149" s="471">
        <f t="shared" si="73"/>
        <v>640</v>
      </c>
      <c r="P2149" s="472" t="str">
        <f t="shared" si="74"/>
        <v/>
      </c>
      <c r="Q2149" s="472" t="str">
        <f t="shared" si="75"/>
        <v/>
      </c>
      <c r="R2149" s="473" t="str">
        <f t="shared" si="76"/>
        <v/>
      </c>
      <c r="S2149" s="467" t="str">
        <f t="shared" si="80"/>
        <v>Leasehold (non-mineral; excluded from mineral NMA). All-section coverage. Gross=tract-map basis.</v>
      </c>
      <c r="T2149" s="489"/>
      <c r="U2149" s="490"/>
      <c r="V2149" s="450"/>
      <c r="W2149" s="450"/>
      <c r="X2149" s="450"/>
      <c r="Y2149" s="450"/>
      <c r="Z2149" s="450"/>
    </row>
    <row r="2150" spans="1:26" x14ac:dyDescent="0.25">
      <c r="A2150" s="467" t="s">
        <v>2529</v>
      </c>
      <c r="B2150" s="467"/>
      <c r="C2150" s="467" t="s">
        <v>1690</v>
      </c>
      <c r="D2150" s="467" t="s">
        <v>2527</v>
      </c>
      <c r="E2150" s="468">
        <v>45148</v>
      </c>
      <c r="F2150" s="468">
        <v>45509</v>
      </c>
      <c r="G2150" s="467" t="s">
        <v>2514</v>
      </c>
      <c r="H2150" s="467" t="s">
        <v>2528</v>
      </c>
      <c r="I2150" s="467" t="s">
        <v>569</v>
      </c>
      <c r="J2150" s="467" t="s">
        <v>8579</v>
      </c>
      <c r="K2150" s="469" t="str">
        <f>HYPERLINK("https://okcountyrecords.com/detail/roger+mills/2024-004961","OKCountyRecords: 2024-004961")</f>
        <v>OKCountyRecords: 2024-004961</v>
      </c>
      <c r="L2150" s="467" t="s">
        <v>502</v>
      </c>
      <c r="M2150" s="467" t="s">
        <v>1489</v>
      </c>
      <c r="N2150" s="470"/>
      <c r="O2150" s="471">
        <f t="shared" si="73"/>
        <v>640</v>
      </c>
      <c r="P2150" s="472" t="str">
        <f t="shared" si="74"/>
        <v/>
      </c>
      <c r="Q2150" s="472" t="str">
        <f t="shared" si="75"/>
        <v/>
      </c>
      <c r="R2150" s="473" t="str">
        <f t="shared" si="76"/>
        <v/>
      </c>
      <c r="S2150" s="467" t="str">
        <f t="shared" si="80"/>
        <v>Leasehold (non-mineral; excluded from mineral NMA). All-section coverage. Gross=tract-map basis.</v>
      </c>
      <c r="T2150" s="489"/>
      <c r="U2150" s="490"/>
      <c r="V2150" s="450"/>
      <c r="W2150" s="450"/>
      <c r="X2150" s="450"/>
      <c r="Y2150" s="450"/>
      <c r="Z2150" s="450"/>
    </row>
    <row r="2151" spans="1:26" x14ac:dyDescent="0.25">
      <c r="A2151" s="467" t="s">
        <v>2530</v>
      </c>
      <c r="B2151" s="467">
        <v>66</v>
      </c>
      <c r="C2151" s="467" t="s">
        <v>2531</v>
      </c>
      <c r="D2151" s="478" t="s">
        <v>2532</v>
      </c>
      <c r="E2151" s="468">
        <v>45200</v>
      </c>
      <c r="F2151" s="468">
        <v>45247</v>
      </c>
      <c r="G2151" s="467" t="s">
        <v>2483</v>
      </c>
      <c r="H2151" s="467" t="s">
        <v>2533</v>
      </c>
      <c r="I2151" s="467" t="s">
        <v>569</v>
      </c>
      <c r="J2151" s="467" t="s">
        <v>2534</v>
      </c>
      <c r="K2151" s="469" t="str">
        <f>HYPERLINK("https://okcountyrecords.com/detail/roger+mills/2023-003590","63e8b9a8d056433a9994fe46ca85076b.pdf | OKCountyRecords: 2023-003590")</f>
        <v>63e8b9a8d056433a9994fe46ca85076b.pdf | OKCountyRecords: 2023-003590</v>
      </c>
      <c r="L2151" s="467" t="s">
        <v>502</v>
      </c>
      <c r="M2151" s="467" t="s">
        <v>1489</v>
      </c>
      <c r="N2151" s="470"/>
      <c r="O2151" s="471">
        <f t="shared" si="73"/>
        <v>640</v>
      </c>
      <c r="P2151" s="472" t="str">
        <f t="shared" si="74"/>
        <v/>
      </c>
      <c r="Q2151" s="472" t="str">
        <f t="shared" si="75"/>
        <v/>
      </c>
      <c r="R2151" s="473" t="str">
        <f t="shared" si="76"/>
        <v/>
      </c>
      <c r="S2151" s="467" t="str">
        <f t="shared" si="80"/>
        <v>Leasehold (non-mineral; excluded from mineral NMA). All-section coverage. Gross=tract-map basis.</v>
      </c>
      <c r="T2151" s="489"/>
      <c r="U2151" s="490"/>
      <c r="V2151" s="450"/>
      <c r="W2151" s="450"/>
      <c r="X2151" s="450"/>
      <c r="Y2151" s="450"/>
      <c r="Z2151" s="450"/>
    </row>
    <row r="2152" spans="1:26" x14ac:dyDescent="0.25">
      <c r="A2152" s="467" t="s">
        <v>8286</v>
      </c>
      <c r="B2152" s="467"/>
      <c r="C2152" s="467" t="s">
        <v>2156</v>
      </c>
      <c r="D2152" s="467" t="s">
        <v>4170</v>
      </c>
      <c r="E2152" s="468">
        <v>45225</v>
      </c>
      <c r="F2152" s="468">
        <v>45247</v>
      </c>
      <c r="G2152" s="467" t="s">
        <v>8495</v>
      </c>
      <c r="H2152" s="467" t="s">
        <v>8496</v>
      </c>
      <c r="I2152" s="467" t="s">
        <v>569</v>
      </c>
      <c r="J2152" s="467" t="s">
        <v>8580</v>
      </c>
      <c r="K2152" s="469" t="str">
        <f>HYPERLINK("https://okcountyrecords.com/detail/roger+mills/2023-003594","63e8b9a8d056433a9994fe46ca85076b.pdf | OKCountyRecords: 2023-003594")</f>
        <v>63e8b9a8d056433a9994fe46ca85076b.pdf | OKCountyRecords: 2023-003594</v>
      </c>
      <c r="L2152" s="467" t="s">
        <v>502</v>
      </c>
      <c r="M2152" s="467" t="s">
        <v>8581</v>
      </c>
      <c r="N2152" s="470"/>
      <c r="O2152" s="471">
        <f t="shared" si="73"/>
        <v>640</v>
      </c>
      <c r="P2152" s="472" t="str">
        <f t="shared" si="74"/>
        <v/>
      </c>
      <c r="Q2152" s="472" t="str">
        <f t="shared" si="75"/>
        <v/>
      </c>
      <c r="R2152" s="473" t="str">
        <f t="shared" si="76"/>
        <v/>
      </c>
      <c r="S2152" s="467" t="str">
        <f t="shared" si="80"/>
        <v>other (non-mineral; excluded from mineral NMA). All-section coverage. Gross=tract-map basis.</v>
      </c>
      <c r="T2152" s="489"/>
      <c r="U2152" s="490"/>
      <c r="V2152" s="450"/>
      <c r="W2152" s="450"/>
      <c r="X2152" s="450"/>
      <c r="Y2152" s="450"/>
      <c r="Z2152" s="450"/>
    </row>
    <row r="2153" spans="1:26" x14ac:dyDescent="0.25">
      <c r="A2153" s="467" t="s">
        <v>8291</v>
      </c>
      <c r="B2153" s="467"/>
      <c r="C2153" s="467" t="s">
        <v>2156</v>
      </c>
      <c r="D2153" s="467" t="s">
        <v>4173</v>
      </c>
      <c r="E2153" s="468">
        <v>45250</v>
      </c>
      <c r="F2153" s="468">
        <v>45250</v>
      </c>
      <c r="G2153" s="467" t="s">
        <v>2483</v>
      </c>
      <c r="H2153" s="467" t="s">
        <v>3344</v>
      </c>
      <c r="I2153" s="467" t="s">
        <v>569</v>
      </c>
      <c r="J2153" s="467" t="s">
        <v>8582</v>
      </c>
      <c r="K2153" s="469" t="str">
        <f>HYPERLINK("https://okcountyrecords.com/detail/roger+mills/2023-003598","63e8b9a8d056433a9994fe46ca85076b.pdf | OKCountyRecords: 2023-003598")</f>
        <v>63e8b9a8d056433a9994fe46ca85076b.pdf | OKCountyRecords: 2023-003598</v>
      </c>
      <c r="L2153" s="467" t="s">
        <v>502</v>
      </c>
      <c r="M2153" s="467" t="s">
        <v>8581</v>
      </c>
      <c r="N2153" s="470"/>
      <c r="O2153" s="471">
        <f t="shared" si="73"/>
        <v>640</v>
      </c>
      <c r="P2153" s="472" t="str">
        <f t="shared" si="74"/>
        <v/>
      </c>
      <c r="Q2153" s="472" t="str">
        <f t="shared" si="75"/>
        <v/>
      </c>
      <c r="R2153" s="473" t="str">
        <f t="shared" si="76"/>
        <v/>
      </c>
      <c r="S2153" s="467" t="str">
        <f t="shared" si="80"/>
        <v>other (non-mineral; excluded from mineral NMA). All-section coverage. Gross=tract-map basis.</v>
      </c>
      <c r="T2153" s="489"/>
      <c r="U2153" s="490"/>
      <c r="V2153" s="450"/>
      <c r="W2153" s="450"/>
      <c r="X2153" s="450"/>
      <c r="Y2153" s="450"/>
      <c r="Z2153" s="450"/>
    </row>
    <row r="2154" spans="1:26" x14ac:dyDescent="0.25">
      <c r="A2154" s="467" t="s">
        <v>2535</v>
      </c>
      <c r="B2154" s="467"/>
      <c r="C2154" s="467" t="s">
        <v>1062</v>
      </c>
      <c r="D2154" s="467" t="s">
        <v>2536</v>
      </c>
      <c r="E2154" s="468">
        <v>45359</v>
      </c>
      <c r="F2154" s="468">
        <v>45365</v>
      </c>
      <c r="G2154" s="467" t="s">
        <v>2537</v>
      </c>
      <c r="H2154" s="467" t="s">
        <v>102</v>
      </c>
      <c r="I2154" s="467" t="s">
        <v>722</v>
      </c>
      <c r="J2154" s="467" t="s">
        <v>2538</v>
      </c>
      <c r="K2154" s="469" t="str">
        <f>HYPERLINK("https://okcountyrecords.com/detail/roger+mills/2024-001313/31623586","OKCountyRecords: 2024-001313")</f>
        <v>OKCountyRecords: 2024-001313</v>
      </c>
      <c r="L2154" s="467">
        <v>2</v>
      </c>
      <c r="M2154" s="467" t="s">
        <v>465</v>
      </c>
      <c r="N2154" s="470"/>
      <c r="O2154" s="471">
        <f t="shared" si="73"/>
        <v>160</v>
      </c>
      <c r="P2154" s="472" t="str">
        <f t="shared" si="74"/>
        <v/>
      </c>
      <c r="Q2154" s="472" t="str">
        <f t="shared" si="75"/>
        <v/>
      </c>
      <c r="R2154" s="473" t="str">
        <f t="shared" si="76"/>
        <v/>
      </c>
      <c r="S2154" s="467" t="s">
        <v>466</v>
      </c>
      <c r="T2154" s="489" t="s">
        <v>467</v>
      </c>
      <c r="U2154" s="490" t="s">
        <v>504</v>
      </c>
      <c r="V2154" s="450"/>
      <c r="W2154" s="450"/>
      <c r="X2154" s="450"/>
      <c r="Y2154" s="450"/>
      <c r="Z2154" s="450"/>
    </row>
    <row r="2155" spans="1:26" x14ac:dyDescent="0.25">
      <c r="A2155" s="467" t="s">
        <v>3034</v>
      </c>
      <c r="B2155" s="467">
        <v>67</v>
      </c>
      <c r="C2155" s="467" t="s">
        <v>1456</v>
      </c>
      <c r="D2155" s="478" t="s">
        <v>4177</v>
      </c>
      <c r="E2155" s="468">
        <v>45391</v>
      </c>
      <c r="F2155" s="468">
        <v>45401</v>
      </c>
      <c r="G2155" s="467" t="s">
        <v>1549</v>
      </c>
      <c r="H2155" s="467" t="s">
        <v>4178</v>
      </c>
      <c r="I2155" s="467" t="s">
        <v>569</v>
      </c>
      <c r="J2155" s="467" t="s">
        <v>2489</v>
      </c>
      <c r="K2155" s="469" t="str">
        <f>HYPERLINK("https://okcountyrecords.com/detail/roger+mills/2024-002310","63e8b9a8d056433a9994fe46ca85076b.pdf | OKCountyRecords: 2024-002310")</f>
        <v>63e8b9a8d056433a9994fe46ca85076b.pdf | OKCountyRecords: 2024-002310</v>
      </c>
      <c r="L2155" s="467" t="s">
        <v>502</v>
      </c>
      <c r="M2155" s="467" t="s">
        <v>1489</v>
      </c>
      <c r="N2155" s="470"/>
      <c r="O2155" s="471">
        <f t="shared" si="73"/>
        <v>640</v>
      </c>
      <c r="P2155" s="472" t="str">
        <f t="shared" si="74"/>
        <v/>
      </c>
      <c r="Q2155" s="472" t="str">
        <f t="shared" si="75"/>
        <v/>
      </c>
      <c r="R2155" s="473" t="str">
        <f t="shared" si="76"/>
        <v/>
      </c>
      <c r="S2155" s="467"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89"/>
      <c r="U2155" s="490"/>
      <c r="V2155" s="450"/>
      <c r="W2155" s="450"/>
      <c r="X2155" s="450"/>
      <c r="Y2155" s="450"/>
      <c r="Z2155" s="450"/>
    </row>
    <row r="2156" spans="1:26" x14ac:dyDescent="0.25">
      <c r="A2156" s="467" t="s">
        <v>3035</v>
      </c>
      <c r="B2156" s="467">
        <v>68</v>
      </c>
      <c r="C2156" s="467" t="s">
        <v>1456</v>
      </c>
      <c r="D2156" s="478" t="s">
        <v>4179</v>
      </c>
      <c r="E2156" s="468">
        <v>45399</v>
      </c>
      <c r="F2156" s="468">
        <v>45432</v>
      </c>
      <c r="G2156" s="467" t="s">
        <v>1549</v>
      </c>
      <c r="H2156" s="467" t="s">
        <v>8583</v>
      </c>
      <c r="I2156" s="467" t="s">
        <v>569</v>
      </c>
      <c r="J2156" s="467" t="s">
        <v>2489</v>
      </c>
      <c r="K2156" s="469" t="str">
        <f>HYPERLINK("https://okcountyrecords.com/detail/roger+mills/2024-003107","63e8b9a8d056433a9994fe46ca85076b.pdf | OKCountyRecords: 2024-003107")</f>
        <v>63e8b9a8d056433a9994fe46ca85076b.pdf | OKCountyRecords: 2024-003107</v>
      </c>
      <c r="L2156" s="467" t="s">
        <v>502</v>
      </c>
      <c r="M2156" s="467" t="s">
        <v>1489</v>
      </c>
      <c r="N2156" s="470"/>
      <c r="O2156" s="471">
        <f t="shared" si="73"/>
        <v>640</v>
      </c>
      <c r="P2156" s="472" t="str">
        <f t="shared" si="74"/>
        <v/>
      </c>
      <c r="Q2156" s="472" t="str">
        <f t="shared" si="75"/>
        <v/>
      </c>
      <c r="R2156" s="473" t="str">
        <f t="shared" si="76"/>
        <v/>
      </c>
      <c r="S2156" s="467"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89"/>
      <c r="U2156" s="490"/>
      <c r="V2156" s="450"/>
      <c r="W2156" s="450"/>
      <c r="X2156" s="450"/>
      <c r="Y2156" s="450"/>
      <c r="Z2156" s="450"/>
    </row>
    <row r="2157" spans="1:26" x14ac:dyDescent="0.25">
      <c r="A2157" s="467" t="s">
        <v>2539</v>
      </c>
      <c r="B2157" s="467">
        <v>61</v>
      </c>
      <c r="C2157" s="467" t="s">
        <v>1456</v>
      </c>
      <c r="D2157" s="467" t="s">
        <v>2540</v>
      </c>
      <c r="E2157" s="468">
        <v>45474</v>
      </c>
      <c r="F2157" s="468">
        <v>45642</v>
      </c>
      <c r="G2157" s="467" t="s">
        <v>8584</v>
      </c>
      <c r="H2157" s="467" t="s">
        <v>2542</v>
      </c>
      <c r="I2157" s="467" t="s">
        <v>569</v>
      </c>
      <c r="J2157" s="467" t="s">
        <v>8585</v>
      </c>
      <c r="K2157" s="469" t="str">
        <f>HYPERLINK("https://okcountyrecords.com/detail/roger+mills/2024-007734/33733683","OKCountyRecords: 2024-007734")</f>
        <v>OKCountyRecords: 2024-007734</v>
      </c>
      <c r="L2157" s="467" t="s">
        <v>502</v>
      </c>
      <c r="M2157" s="467" t="s">
        <v>1489</v>
      </c>
      <c r="N2157" s="470"/>
      <c r="O2157" s="471">
        <f t="shared" si="73"/>
        <v>640</v>
      </c>
      <c r="P2157" s="472" t="str">
        <f t="shared" si="74"/>
        <v/>
      </c>
      <c r="Q2157" s="472" t="str">
        <f t="shared" si="75"/>
        <v/>
      </c>
      <c r="R2157" s="473" t="str">
        <f t="shared" si="76"/>
        <v/>
      </c>
      <c r="S2157" s="467"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89"/>
      <c r="U2157" s="490"/>
      <c r="V2157" s="450"/>
      <c r="W2157" s="450"/>
      <c r="X2157" s="450"/>
      <c r="Y2157" s="450"/>
      <c r="Z2157" s="450"/>
    </row>
    <row r="2158" spans="1:26" x14ac:dyDescent="0.25">
      <c r="A2158" s="467" t="s">
        <v>2543</v>
      </c>
      <c r="B2158" s="467">
        <v>70</v>
      </c>
      <c r="C2158" s="467" t="s">
        <v>1181</v>
      </c>
      <c r="D2158" s="478" t="s">
        <v>2544</v>
      </c>
      <c r="E2158" s="468">
        <v>45588</v>
      </c>
      <c r="F2158" s="468">
        <v>45614</v>
      </c>
      <c r="G2158" s="467" t="s">
        <v>2545</v>
      </c>
      <c r="H2158" s="467" t="s">
        <v>8650</v>
      </c>
      <c r="I2158" s="467" t="s">
        <v>569</v>
      </c>
      <c r="J2158" s="467" t="s">
        <v>2546</v>
      </c>
      <c r="K2158" s="469" t="str">
        <f>HYPERLINK("https://okcountyrecords.com/detail/roger+mills/2024-007198","63e8b9a8d056433a9994fe46ca85076b.pdf | OKCountyRecords: 2024-007198")</f>
        <v>63e8b9a8d056433a9994fe46ca85076b.pdf | OKCountyRecords: 2024-007198</v>
      </c>
      <c r="L2158" s="467" t="s">
        <v>502</v>
      </c>
      <c r="M2158" s="467" t="s">
        <v>404</v>
      </c>
      <c r="N2158" s="470">
        <v>0.34</v>
      </c>
      <c r="O2158" s="471">
        <f t="shared" si="73"/>
        <v>640</v>
      </c>
      <c r="P2158" s="472">
        <f t="shared" si="74"/>
        <v>0.34</v>
      </c>
      <c r="Q2158" s="472">
        <f t="shared" si="75"/>
        <v>-0.34</v>
      </c>
      <c r="R2158" s="473">
        <f t="shared" si="76"/>
        <v>217.60000000000002</v>
      </c>
      <c r="S2158" s="467"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90" t="s">
        <v>641</v>
      </c>
      <c r="U2158" s="490" t="s">
        <v>885</v>
      </c>
      <c r="V2158" s="450"/>
      <c r="W2158" s="450"/>
      <c r="X2158" s="450"/>
      <c r="Y2158" s="450"/>
      <c r="Z2158" s="450"/>
    </row>
    <row r="2159" spans="1:26" x14ac:dyDescent="0.25">
      <c r="A2159" s="467" t="s">
        <v>2547</v>
      </c>
      <c r="B2159" s="467">
        <v>71</v>
      </c>
      <c r="C2159" s="467" t="s">
        <v>2497</v>
      </c>
      <c r="D2159" s="478" t="s">
        <v>2548</v>
      </c>
      <c r="E2159" s="468">
        <v>45589</v>
      </c>
      <c r="F2159" s="468">
        <v>45614</v>
      </c>
      <c r="G2159" s="467" t="s">
        <v>8651</v>
      </c>
      <c r="H2159" s="467" t="s">
        <v>102</v>
      </c>
      <c r="I2159" s="467" t="s">
        <v>569</v>
      </c>
      <c r="J2159" s="467" t="s">
        <v>8652</v>
      </c>
      <c r="K2159" s="469" t="str">
        <f>HYPERLINK("https://okcountyrecords.com/detail/roger+mills/2024-007203","63e8b9a8d056433a9994fe46ca85076b.pdf | OKCountyRecords: 2024-007203")</f>
        <v>63e8b9a8d056433a9994fe46ca85076b.pdf | OKCountyRecords: 2024-007203</v>
      </c>
      <c r="L2159" s="467" t="s">
        <v>502</v>
      </c>
      <c r="M2159" s="467" t="s">
        <v>404</v>
      </c>
      <c r="N2159" s="470"/>
      <c r="O2159" s="471">
        <f t="shared" si="73"/>
        <v>640</v>
      </c>
      <c r="P2159" s="472" t="str">
        <f t="shared" si="74"/>
        <v/>
      </c>
      <c r="Q2159" s="472" t="str">
        <f t="shared" si="75"/>
        <v/>
      </c>
      <c r="R2159" s="473" t="str">
        <f t="shared" si="76"/>
        <v/>
      </c>
      <c r="S2159" s="467" t="s">
        <v>653</v>
      </c>
      <c r="T2159" s="490" t="s">
        <v>467</v>
      </c>
      <c r="U2159" s="490" t="s">
        <v>2549</v>
      </c>
      <c r="V2159" s="450"/>
      <c r="W2159" s="450"/>
      <c r="X2159" s="450"/>
      <c r="Y2159" s="450"/>
      <c r="Z2159" s="450"/>
    </row>
    <row r="2160" spans="1:26" x14ac:dyDescent="0.25">
      <c r="A2160" s="467" t="s">
        <v>2550</v>
      </c>
      <c r="B2160" s="467"/>
      <c r="C2160" s="467" t="s">
        <v>619</v>
      </c>
      <c r="D2160" s="467" t="s">
        <v>2551</v>
      </c>
      <c r="E2160" s="468">
        <v>45608</v>
      </c>
      <c r="F2160" s="468">
        <v>45621</v>
      </c>
      <c r="G2160" s="467" t="s">
        <v>204</v>
      </c>
      <c r="H2160" s="467" t="s">
        <v>2552</v>
      </c>
      <c r="I2160" s="467" t="s">
        <v>569</v>
      </c>
      <c r="J2160" s="467" t="s">
        <v>63</v>
      </c>
      <c r="K2160" s="469" t="str">
        <f>HYPERLINK("https://okcountyrecords.com/detail/roger+mills/2024-007338/32904065","OKCountyRecords: 2024-007338")</f>
        <v>OKCountyRecords: 2024-007338</v>
      </c>
      <c r="L2160" s="467" t="s">
        <v>502</v>
      </c>
      <c r="M2160" s="467" t="s">
        <v>404</v>
      </c>
      <c r="N2160" s="470">
        <v>1</v>
      </c>
      <c r="O2160" s="471">
        <f t="shared" si="73"/>
        <v>640</v>
      </c>
      <c r="P2160" s="472">
        <f t="shared" si="74"/>
        <v>1</v>
      </c>
      <c r="Q2160" s="472">
        <f t="shared" si="75"/>
        <v>-1</v>
      </c>
      <c r="R2160" s="473">
        <f t="shared" si="76"/>
        <v>640</v>
      </c>
      <c r="S2160" s="467"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89"/>
      <c r="U2160" s="490"/>
      <c r="V2160" s="450"/>
      <c r="W2160" s="450"/>
      <c r="X2160" s="450"/>
      <c r="Y2160" s="450"/>
      <c r="Z2160" s="450"/>
    </row>
    <row r="2161" spans="1:26" x14ac:dyDescent="0.25">
      <c r="A2161" s="467" t="s">
        <v>2553</v>
      </c>
      <c r="B2161" s="467"/>
      <c r="C2161" s="467" t="s">
        <v>2554</v>
      </c>
      <c r="D2161" s="467" t="s">
        <v>2555</v>
      </c>
      <c r="E2161" s="468">
        <v>45648</v>
      </c>
      <c r="F2161" s="468">
        <v>45672</v>
      </c>
      <c r="G2161" s="467" t="s">
        <v>2556</v>
      </c>
      <c r="H2161" s="467" t="s">
        <v>2448</v>
      </c>
      <c r="I2161" s="467" t="s">
        <v>569</v>
      </c>
      <c r="J2161" s="467" t="s">
        <v>63</v>
      </c>
      <c r="K2161" s="469" t="str">
        <f>HYPERLINK("https://okcountyrecords.com/detail/roger+mills/2025-000252","OKCountyRecords: 2025-000252")</f>
        <v>OKCountyRecords: 2025-000252</v>
      </c>
      <c r="L2161" s="467" t="s">
        <v>502</v>
      </c>
      <c r="M2161" s="467" t="s">
        <v>1489</v>
      </c>
      <c r="N2161" s="470"/>
      <c r="O2161" s="471">
        <f t="shared" si="73"/>
        <v>640</v>
      </c>
      <c r="P2161" s="472" t="str">
        <f t="shared" si="74"/>
        <v/>
      </c>
      <c r="Q2161" s="472" t="str">
        <f t="shared" si="75"/>
        <v/>
      </c>
      <c r="R2161" s="473" t="str">
        <f t="shared" si="76"/>
        <v/>
      </c>
      <c r="S2161" s="467"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89"/>
      <c r="U2161" s="490"/>
      <c r="V2161" s="450"/>
      <c r="W2161" s="450"/>
      <c r="X2161" s="450"/>
      <c r="Y2161" s="450"/>
      <c r="Z2161" s="450"/>
    </row>
    <row r="2162" spans="1:26" x14ac:dyDescent="0.25">
      <c r="A2162" s="467" t="s">
        <v>2557</v>
      </c>
      <c r="B2162" s="467"/>
      <c r="C2162" s="467" t="s">
        <v>2558</v>
      </c>
      <c r="D2162" s="467" t="s">
        <v>2559</v>
      </c>
      <c r="E2162" s="468">
        <v>45726</v>
      </c>
      <c r="F2162" s="468">
        <v>45728</v>
      </c>
      <c r="G2162" s="467" t="s">
        <v>2560</v>
      </c>
      <c r="H2162" s="467" t="s">
        <v>2561</v>
      </c>
      <c r="I2162" s="467" t="s">
        <v>2431</v>
      </c>
      <c r="J2162" s="467" t="s">
        <v>63</v>
      </c>
      <c r="K2162" s="469" t="str">
        <f>HYPERLINK("https://okcountyrecords.com/detail/roger+mills/2025-001343","OKCountyRecords: 2025-001343")</f>
        <v>OKCountyRecords: 2025-001343</v>
      </c>
      <c r="L2162" s="467" t="s">
        <v>613</v>
      </c>
      <c r="M2162" s="467" t="s">
        <v>404</v>
      </c>
      <c r="N2162" s="470">
        <v>1</v>
      </c>
      <c r="O2162" s="471">
        <f t="shared" si="73"/>
        <v>440</v>
      </c>
      <c r="P2162" s="472">
        <f t="shared" si="74"/>
        <v>1</v>
      </c>
      <c r="Q2162" s="472">
        <f t="shared" si="75"/>
        <v>-1</v>
      </c>
      <c r="R2162" s="473">
        <f t="shared" si="76"/>
        <v>440</v>
      </c>
      <c r="S2162" s="467"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89"/>
      <c r="U2162" s="490"/>
      <c r="V2162" s="450"/>
      <c r="W2162" s="450"/>
      <c r="X2162" s="450"/>
      <c r="Y2162" s="450"/>
      <c r="Z2162" s="450"/>
    </row>
    <row r="2163" spans="1:26" x14ac:dyDescent="0.25">
      <c r="A2163" s="467" t="s">
        <v>2562</v>
      </c>
      <c r="B2163" s="467"/>
      <c r="C2163" s="467" t="s">
        <v>545</v>
      </c>
      <c r="D2163" s="467" t="s">
        <v>2563</v>
      </c>
      <c r="E2163" s="468">
        <v>45726</v>
      </c>
      <c r="F2163" s="468">
        <v>45840</v>
      </c>
      <c r="G2163" s="467" t="s">
        <v>2564</v>
      </c>
      <c r="H2163" s="467" t="s">
        <v>2565</v>
      </c>
      <c r="I2163" s="467" t="s">
        <v>2566</v>
      </c>
      <c r="J2163" s="467" t="s">
        <v>2567</v>
      </c>
      <c r="K2163" s="469" t="str">
        <f>HYPERLINK("https://okcountyrecords.com/detail/roger+mills/2025-003963","OKCountyRecords: 2025-003963")</f>
        <v>OKCountyRecords: 2025-003963</v>
      </c>
      <c r="L2163" s="467" t="s">
        <v>1356</v>
      </c>
      <c r="M2163" s="467" t="s">
        <v>404</v>
      </c>
      <c r="N2163" s="470">
        <v>0.5</v>
      </c>
      <c r="O2163" s="471">
        <f t="shared" si="73"/>
        <v>200</v>
      </c>
      <c r="P2163" s="472">
        <f t="shared" si="74"/>
        <v>0.5</v>
      </c>
      <c r="Q2163" s="472">
        <f t="shared" si="75"/>
        <v>-0.5</v>
      </c>
      <c r="R2163" s="473">
        <f t="shared" si="76"/>
        <v>100</v>
      </c>
      <c r="S2163" s="467"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89" t="s">
        <v>641</v>
      </c>
      <c r="U2163" s="490" t="s">
        <v>885</v>
      </c>
      <c r="V2163" s="450"/>
      <c r="W2163" s="450"/>
      <c r="X2163" s="450"/>
      <c r="Y2163" s="450"/>
      <c r="Z2163" s="450"/>
    </row>
    <row r="2164" spans="1:26" x14ac:dyDescent="0.25">
      <c r="A2164" s="467" t="s">
        <v>2568</v>
      </c>
      <c r="B2164" s="467"/>
      <c r="C2164" s="467" t="s">
        <v>619</v>
      </c>
      <c r="D2164" s="467" t="s">
        <v>2569</v>
      </c>
      <c r="E2164" s="468">
        <v>45747</v>
      </c>
      <c r="F2164" s="468">
        <v>45771</v>
      </c>
      <c r="G2164" s="467" t="s">
        <v>2570</v>
      </c>
      <c r="H2164" s="467" t="s">
        <v>2571</v>
      </c>
      <c r="I2164" s="467" t="s">
        <v>1280</v>
      </c>
      <c r="J2164" s="467" t="s">
        <v>2572</v>
      </c>
      <c r="K2164" s="469" t="str">
        <f>HYPERLINK("https://okcountyrecords.com/detail/roger+mills/2025-002463/34027439","OKCountyRecords: 2025-002463")</f>
        <v>OKCountyRecords: 2025-002463</v>
      </c>
      <c r="L2164" s="467">
        <v>2</v>
      </c>
      <c r="M2164" s="467" t="s">
        <v>404</v>
      </c>
      <c r="N2164" s="470">
        <f>0.75/160</f>
        <v>4.6874999999999998E-3</v>
      </c>
      <c r="O2164" s="471">
        <f t="shared" si="73"/>
        <v>160</v>
      </c>
      <c r="P2164" s="472">
        <f t="shared" si="74"/>
        <v>4.6874999999999998E-3</v>
      </c>
      <c r="Q2164" s="472">
        <f t="shared" si="75"/>
        <v>-4.6874999999999998E-3</v>
      </c>
      <c r="R2164" s="473">
        <f t="shared" si="76"/>
        <v>0.75</v>
      </c>
      <c r="S2164" s="467"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90" t="s">
        <v>641</v>
      </c>
      <c r="U2164" s="490" t="s">
        <v>2573</v>
      </c>
      <c r="V2164" s="450"/>
      <c r="W2164" s="450"/>
      <c r="X2164" s="450"/>
      <c r="Y2164" s="450"/>
      <c r="Z2164" s="450"/>
    </row>
    <row r="2165" spans="1:26" x14ac:dyDescent="0.25">
      <c r="A2165" s="467" t="s">
        <v>2574</v>
      </c>
      <c r="B2165" s="467"/>
      <c r="C2165" s="467" t="s">
        <v>619</v>
      </c>
      <c r="D2165" s="467" t="s">
        <v>2575</v>
      </c>
      <c r="E2165" s="468">
        <v>45747</v>
      </c>
      <c r="F2165" s="468">
        <v>45771</v>
      </c>
      <c r="G2165" s="467" t="s">
        <v>2570</v>
      </c>
      <c r="H2165" s="467" t="s">
        <v>155</v>
      </c>
      <c r="I2165" s="467" t="s">
        <v>1280</v>
      </c>
      <c r="J2165" s="467" t="s">
        <v>2572</v>
      </c>
      <c r="K2165" s="469" t="str">
        <f>HYPERLINK("https://okcountyrecords.com/detail/roger+mills/2025-002464/34027438","OKCountyRecords: 2025-002464")</f>
        <v>OKCountyRecords: 2025-002464</v>
      </c>
      <c r="L2165" s="467">
        <v>2</v>
      </c>
      <c r="M2165" s="467" t="s">
        <v>404</v>
      </c>
      <c r="N2165" s="470">
        <f>0.75/160</f>
        <v>4.6874999999999998E-3</v>
      </c>
      <c r="O2165" s="471">
        <f t="shared" si="73"/>
        <v>160</v>
      </c>
      <c r="P2165" s="472">
        <f t="shared" si="74"/>
        <v>4.6874999999999998E-3</v>
      </c>
      <c r="Q2165" s="472">
        <f t="shared" si="75"/>
        <v>-4.6874999999999998E-3</v>
      </c>
      <c r="R2165" s="473">
        <f t="shared" si="76"/>
        <v>0.75</v>
      </c>
      <c r="S2165" s="467"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89" t="s">
        <v>641</v>
      </c>
      <c r="U2165" s="490" t="s">
        <v>2573</v>
      </c>
      <c r="V2165" s="450"/>
      <c r="W2165" s="450"/>
      <c r="X2165" s="450"/>
      <c r="Y2165" s="450"/>
      <c r="Z2165" s="450"/>
    </row>
    <row r="2166" spans="1:26" x14ac:dyDescent="0.25">
      <c r="A2166" s="467" t="s">
        <v>2576</v>
      </c>
      <c r="B2166" s="467">
        <v>76</v>
      </c>
      <c r="C2166" s="467" t="s">
        <v>2497</v>
      </c>
      <c r="D2166" s="478" t="s">
        <v>2577</v>
      </c>
      <c r="E2166" s="468">
        <v>45784</v>
      </c>
      <c r="F2166" s="468">
        <v>45792</v>
      </c>
      <c r="G2166" s="467" t="s">
        <v>2578</v>
      </c>
      <c r="H2166" s="467" t="s">
        <v>102</v>
      </c>
      <c r="I2166" s="467" t="s">
        <v>569</v>
      </c>
      <c r="J2166" s="467" t="s">
        <v>2579</v>
      </c>
      <c r="K2166" s="469" t="str">
        <f>HYPERLINK("https://okcountyrecords.com/detail/roger+mills/2025-002923","63e8b9a8d056433a9994fe46ca85076b.pdf | OKCountyRecords: 2025-002923")</f>
        <v>63e8b9a8d056433a9994fe46ca85076b.pdf | OKCountyRecords: 2025-002923</v>
      </c>
      <c r="L2166" s="467" t="s">
        <v>502</v>
      </c>
      <c r="M2166" s="467" t="s">
        <v>465</v>
      </c>
      <c r="N2166" s="470"/>
      <c r="O2166" s="471">
        <f t="shared" si="73"/>
        <v>640</v>
      </c>
      <c r="P2166" s="472" t="str">
        <f t="shared" si="74"/>
        <v/>
      </c>
      <c r="Q2166" s="472" t="str">
        <f t="shared" si="75"/>
        <v/>
      </c>
      <c r="R2166" s="473" t="str">
        <f t="shared" si="76"/>
        <v/>
      </c>
      <c r="S2166" s="467" t="s">
        <v>503</v>
      </c>
      <c r="T2166" s="489" t="s">
        <v>467</v>
      </c>
      <c r="U2166" s="490" t="s">
        <v>468</v>
      </c>
      <c r="V2166" s="450"/>
      <c r="W2166" s="450"/>
      <c r="X2166" s="450"/>
      <c r="Y2166" s="450"/>
      <c r="Z2166" s="450"/>
    </row>
    <row r="2167" spans="1:26" x14ac:dyDescent="0.25">
      <c r="A2167" s="467" t="s">
        <v>2580</v>
      </c>
      <c r="B2167" s="467"/>
      <c r="C2167" s="467" t="s">
        <v>619</v>
      </c>
      <c r="D2167" s="467" t="s">
        <v>2581</v>
      </c>
      <c r="E2167" s="468">
        <v>45896</v>
      </c>
      <c r="F2167" s="468">
        <v>45908</v>
      </c>
      <c r="G2167" s="467" t="s">
        <v>2466</v>
      </c>
      <c r="H2167" s="467" t="s">
        <v>2582</v>
      </c>
      <c r="I2167" s="467" t="s">
        <v>1280</v>
      </c>
      <c r="J2167" s="467" t="s">
        <v>63</v>
      </c>
      <c r="K2167" s="469" t="str">
        <f>HYPERLINK("https://okcountyrecords.com/detail/roger+mills/2025-005448","OKCountyRecords: 2025-005448")</f>
        <v>OKCountyRecords: 2025-005448</v>
      </c>
      <c r="L2167" s="467">
        <v>2</v>
      </c>
      <c r="M2167" s="467" t="s">
        <v>404</v>
      </c>
      <c r="N2167" s="470">
        <v>1</v>
      </c>
      <c r="O2167" s="471">
        <f t="shared" si="73"/>
        <v>160</v>
      </c>
      <c r="P2167" s="472">
        <f t="shared" si="74"/>
        <v>1</v>
      </c>
      <c r="Q2167" s="472">
        <f t="shared" si="75"/>
        <v>-1</v>
      </c>
      <c r="R2167" s="473">
        <f t="shared" si="76"/>
        <v>160</v>
      </c>
      <c r="S2167" s="467"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89"/>
      <c r="U2167" s="490"/>
      <c r="V2167" s="450"/>
      <c r="W2167" s="450"/>
      <c r="X2167" s="450"/>
      <c r="Y2167" s="450"/>
      <c r="Z2167" s="450"/>
    </row>
    <row r="2168" spans="1:26" x14ac:dyDescent="0.25">
      <c r="A2168" s="467" t="s">
        <v>2583</v>
      </c>
      <c r="B2168" s="467"/>
      <c r="C2168" s="467" t="s">
        <v>619</v>
      </c>
      <c r="D2168" s="467" t="s">
        <v>2584</v>
      </c>
      <c r="E2168" s="468">
        <v>45897</v>
      </c>
      <c r="F2168" s="468">
        <v>45908</v>
      </c>
      <c r="G2168" s="467" t="s">
        <v>2582</v>
      </c>
      <c r="H2168" s="467" t="s">
        <v>2585</v>
      </c>
      <c r="I2168" s="467" t="s">
        <v>1280</v>
      </c>
      <c r="J2168" s="467" t="s">
        <v>63</v>
      </c>
      <c r="K2168" s="469" t="str">
        <f>HYPERLINK("https://okcountyrecords.com/detail/roger+mills/2025-005451","OKCountyRecords: 2025-005451")</f>
        <v>OKCountyRecords: 2025-005451</v>
      </c>
      <c r="L2168" s="467">
        <v>2</v>
      </c>
      <c r="M2168" s="467" t="s">
        <v>404</v>
      </c>
      <c r="N2168" s="470">
        <v>1</v>
      </c>
      <c r="O2168" s="471">
        <f t="shared" si="73"/>
        <v>160</v>
      </c>
      <c r="P2168" s="472">
        <f t="shared" si="74"/>
        <v>1</v>
      </c>
      <c r="Q2168" s="472">
        <f t="shared" si="75"/>
        <v>-1</v>
      </c>
      <c r="R2168" s="473">
        <f t="shared" si="76"/>
        <v>160</v>
      </c>
      <c r="S2168" s="467" t="str">
        <f t="shared" si="81"/>
        <v>Mineral; basis Conv Amt(dec). Gross=tract-map basis.</v>
      </c>
      <c r="T2168" s="489"/>
      <c r="U2168" s="490"/>
      <c r="V2168" s="450"/>
      <c r="W2168" s="450"/>
      <c r="X2168" s="450"/>
      <c r="Y2168" s="450"/>
      <c r="Z2168" s="450"/>
    </row>
    <row r="2169" spans="1:26" x14ac:dyDescent="0.25">
      <c r="A2169" s="467" t="s">
        <v>2586</v>
      </c>
      <c r="B2169" s="467">
        <v>77</v>
      </c>
      <c r="C2169" s="467" t="s">
        <v>2587</v>
      </c>
      <c r="D2169" s="478" t="s">
        <v>2588</v>
      </c>
      <c r="E2169" s="468">
        <v>45926</v>
      </c>
      <c r="F2169" s="468">
        <v>45954</v>
      </c>
      <c r="G2169" s="467" t="s">
        <v>2589</v>
      </c>
      <c r="H2169" s="467" t="s">
        <v>2589</v>
      </c>
      <c r="I2169" s="467" t="s">
        <v>569</v>
      </c>
      <c r="J2169" s="467" t="s">
        <v>2194</v>
      </c>
      <c r="K2169" s="469" t="str">
        <f>HYPERLINK("https://okcountyrecords.com/detail/roger+mills/2025-006541","63e8b9a8d056433a9994fe46ca85076b.pdf | OKCountyRecords: 2025-006541")</f>
        <v>63e8b9a8d056433a9994fe46ca85076b.pdf | OKCountyRecords: 2025-006541</v>
      </c>
      <c r="L2169" s="467" t="s">
        <v>502</v>
      </c>
      <c r="M2169" s="467" t="s">
        <v>1489</v>
      </c>
      <c r="N2169" s="470"/>
      <c r="O2169" s="471">
        <f t="shared" si="73"/>
        <v>640</v>
      </c>
      <c r="P2169" s="472" t="str">
        <f t="shared" si="74"/>
        <v/>
      </c>
      <c r="Q2169" s="472" t="str">
        <f t="shared" si="75"/>
        <v/>
      </c>
      <c r="R2169" s="473" t="str">
        <f t="shared" si="76"/>
        <v/>
      </c>
      <c r="S2169" s="467" t="str">
        <f t="shared" si="81"/>
        <v>Leasehold (non-mineral; excluded from mineral NMA). All-section coverage. Gross=tract-map basis.</v>
      </c>
      <c r="T2169" s="490"/>
      <c r="U2169" s="490"/>
      <c r="V2169" s="450"/>
      <c r="W2169" s="450"/>
      <c r="X2169" s="450"/>
      <c r="Y2169" s="450"/>
      <c r="Z2169" s="450"/>
    </row>
    <row r="2170" spans="1:26" x14ac:dyDescent="0.25">
      <c r="A2170" s="467" t="s">
        <v>2590</v>
      </c>
      <c r="B2170" s="467">
        <v>78</v>
      </c>
      <c r="C2170" s="467" t="s">
        <v>2531</v>
      </c>
      <c r="D2170" s="478" t="s">
        <v>2591</v>
      </c>
      <c r="E2170" s="468">
        <v>45931</v>
      </c>
      <c r="F2170" s="468">
        <v>45975</v>
      </c>
      <c r="G2170" s="467" t="s">
        <v>2592</v>
      </c>
      <c r="H2170" s="467" t="s">
        <v>2593</v>
      </c>
      <c r="I2170" s="467" t="s">
        <v>569</v>
      </c>
      <c r="J2170" s="467" t="s">
        <v>2534</v>
      </c>
      <c r="K2170" s="469" t="str">
        <f>HYPERLINK("https://okcountyrecords.com/detail/roger+mills/2025-006987","63e8b9a8d056433a9994fe46ca85076b.pdf | OKCountyRecords: 2025-006987")</f>
        <v>63e8b9a8d056433a9994fe46ca85076b.pdf | OKCountyRecords: 2025-006987</v>
      </c>
      <c r="L2170" s="467" t="s">
        <v>502</v>
      </c>
      <c r="M2170" s="467" t="s">
        <v>1489</v>
      </c>
      <c r="N2170" s="470"/>
      <c r="O2170" s="471">
        <f t="shared" si="73"/>
        <v>640</v>
      </c>
      <c r="P2170" s="472" t="str">
        <f t="shared" si="74"/>
        <v/>
      </c>
      <c r="Q2170" s="472" t="str">
        <f t="shared" si="75"/>
        <v/>
      </c>
      <c r="R2170" s="473" t="str">
        <f t="shared" si="76"/>
        <v/>
      </c>
      <c r="S2170" s="467" t="str">
        <f t="shared" si="81"/>
        <v>Leasehold (non-mineral; excluded from mineral NMA). All-section coverage. Gross=tract-map basis.</v>
      </c>
      <c r="T2170" s="489"/>
      <c r="U2170" s="490"/>
      <c r="V2170" s="450"/>
      <c r="W2170" s="450"/>
      <c r="X2170" s="450"/>
      <c r="Y2170" s="450"/>
      <c r="Z2170" s="450"/>
    </row>
    <row r="2171" spans="1:26" x14ac:dyDescent="0.25">
      <c r="A2171" s="467" t="s">
        <v>2595</v>
      </c>
      <c r="B2171" s="467"/>
      <c r="C2171" s="467" t="s">
        <v>619</v>
      </c>
      <c r="D2171" s="467" t="s">
        <v>2596</v>
      </c>
      <c r="E2171" s="468">
        <v>45971</v>
      </c>
      <c r="F2171" s="468">
        <v>46062</v>
      </c>
      <c r="G2171" s="467" t="s">
        <v>2597</v>
      </c>
      <c r="H2171" s="467" t="s">
        <v>2598</v>
      </c>
      <c r="I2171" s="467" t="s">
        <v>2599</v>
      </c>
      <c r="J2171" s="467" t="s">
        <v>2600</v>
      </c>
      <c r="K2171" s="469" t="str">
        <f>HYPERLINK("https://okcountyrecords.com/detail/roger+mills/2026-000691","OKCountyRecords: 2026-000691")</f>
        <v>OKCountyRecords: 2026-000691</v>
      </c>
      <c r="L2171" s="467" t="s">
        <v>613</v>
      </c>
      <c r="M2171" s="467" t="s">
        <v>404</v>
      </c>
      <c r="N2171" s="470">
        <v>1</v>
      </c>
      <c r="O2171" s="471">
        <f t="shared" si="73"/>
        <v>440</v>
      </c>
      <c r="P2171" s="472">
        <f t="shared" si="74"/>
        <v>1</v>
      </c>
      <c r="Q2171" s="472">
        <f t="shared" si="75"/>
        <v>-1</v>
      </c>
      <c r="R2171" s="473">
        <f t="shared" si="76"/>
        <v>440</v>
      </c>
      <c r="S2171" s="467" t="str">
        <f t="shared" si="81"/>
        <v>Mineral; basis Conv Amt(dec). Gross=tract-map basis.</v>
      </c>
      <c r="T2171" s="489"/>
      <c r="U2171" s="490"/>
      <c r="V2171" s="450"/>
      <c r="W2171" s="450"/>
      <c r="X2171" s="450"/>
      <c r="Y2171" s="450"/>
      <c r="Z2171" s="450"/>
    </row>
    <row r="2172" spans="1:26" x14ac:dyDescent="0.25">
      <c r="A2172" s="467" t="s">
        <v>2601</v>
      </c>
      <c r="B2172" s="467">
        <v>98</v>
      </c>
      <c r="C2172" s="467" t="s">
        <v>2531</v>
      </c>
      <c r="D2172" s="478" t="s">
        <v>2602</v>
      </c>
      <c r="E2172" s="468">
        <v>46023</v>
      </c>
      <c r="F2172" s="468">
        <v>46146</v>
      </c>
      <c r="G2172" s="467" t="s">
        <v>4597</v>
      </c>
      <c r="H2172" s="467" t="s">
        <v>2604</v>
      </c>
      <c r="I2172" s="467" t="s">
        <v>2605</v>
      </c>
      <c r="J2172" s="467" t="s">
        <v>2534</v>
      </c>
      <c r="K2172" s="469" t="str">
        <f>HYPERLINK("https://okcountyrecords.com/detail/roger+mills/2026-002547/35349405","OKCountyRecords: 2026-002547")</f>
        <v>OKCountyRecords: 2026-002547</v>
      </c>
      <c r="L2172" s="467">
        <v>5</v>
      </c>
      <c r="M2172" s="467" t="s">
        <v>1489</v>
      </c>
      <c r="N2172" s="470"/>
      <c r="O2172" s="471">
        <f t="shared" si="73"/>
        <v>120</v>
      </c>
      <c r="P2172" s="472" t="str">
        <f t="shared" si="74"/>
        <v/>
      </c>
      <c r="Q2172" s="472" t="str">
        <f t="shared" si="75"/>
        <v/>
      </c>
      <c r="R2172" s="473" t="str">
        <f t="shared" si="76"/>
        <v/>
      </c>
      <c r="S2172" s="467" t="str">
        <f t="shared" si="81"/>
        <v>Leasehold (non-mineral; excluded from mineral NMA). Gross=tract-map basis.</v>
      </c>
      <c r="T2172" s="489"/>
      <c r="U2172" s="490"/>
      <c r="V2172" s="450"/>
      <c r="W2172" s="450"/>
      <c r="X2172" s="450"/>
      <c r="Y2172" s="450"/>
      <c r="Z2172" s="450"/>
    </row>
    <row r="2173" spans="1:26" x14ac:dyDescent="0.25">
      <c r="A2173" s="467" t="s">
        <v>2607</v>
      </c>
      <c r="B2173" s="467"/>
      <c r="C2173" s="467" t="s">
        <v>2608</v>
      </c>
      <c r="D2173" s="467" t="s">
        <v>2609</v>
      </c>
      <c r="E2173" s="468">
        <v>46041</v>
      </c>
      <c r="F2173" s="468">
        <v>46052</v>
      </c>
      <c r="G2173" s="467" t="s">
        <v>2610</v>
      </c>
      <c r="H2173" s="467" t="s">
        <v>102</v>
      </c>
      <c r="I2173" s="467" t="s">
        <v>569</v>
      </c>
      <c r="J2173" s="467" t="s">
        <v>2611</v>
      </c>
      <c r="K2173" s="469" t="str">
        <f>HYPERLINK("https://okcountyrecords.com/detail/roger+mills/2026-000506","63e8b9a8d056433a9994fe46ca85076b.pdf | OKCountyRecords: 2026-000506")</f>
        <v>63e8b9a8d056433a9994fe46ca85076b.pdf | OKCountyRecords: 2026-000506</v>
      </c>
      <c r="L2173" s="467" t="s">
        <v>502</v>
      </c>
      <c r="M2173" s="467" t="s">
        <v>1489</v>
      </c>
      <c r="N2173" s="470"/>
      <c r="O2173" s="471">
        <f t="shared" si="73"/>
        <v>640</v>
      </c>
      <c r="P2173" s="472" t="str">
        <f t="shared" si="74"/>
        <v/>
      </c>
      <c r="Q2173" s="472" t="str">
        <f t="shared" si="75"/>
        <v/>
      </c>
      <c r="R2173" s="473" t="str">
        <f t="shared" si="76"/>
        <v/>
      </c>
      <c r="S2173" s="467" t="s">
        <v>1490</v>
      </c>
      <c r="T2173" s="490" t="s">
        <v>467</v>
      </c>
      <c r="U2173" s="490" t="s">
        <v>468</v>
      </c>
      <c r="V2173" s="450"/>
      <c r="W2173" s="450"/>
      <c r="X2173" s="450"/>
      <c r="Y2173" s="450"/>
      <c r="Z2173" s="450"/>
    </row>
    <row r="2174" spans="1:26" x14ac:dyDescent="0.25">
      <c r="A2174" s="467" t="s">
        <v>2612</v>
      </c>
      <c r="B2174" s="467">
        <v>68</v>
      </c>
      <c r="C2174" s="467" t="s">
        <v>202</v>
      </c>
      <c r="D2174" s="467" t="s">
        <v>390</v>
      </c>
      <c r="E2174" s="468">
        <v>46064</v>
      </c>
      <c r="F2174" s="468">
        <v>46170</v>
      </c>
      <c r="G2174" s="467" t="s">
        <v>2613</v>
      </c>
      <c r="H2174" s="467" t="s">
        <v>384</v>
      </c>
      <c r="I2174" s="467" t="s">
        <v>2614</v>
      </c>
      <c r="J2174" s="467" t="s">
        <v>2615</v>
      </c>
      <c r="K2174" s="469" t="str">
        <f>HYPERLINK("https://okcountyrecords.com/detail/roger+mills/2026-003145/35404151","OKCountyRecords: 2026-003145")</f>
        <v>OKCountyRecords: 2026-003145</v>
      </c>
      <c r="L2174" s="467" t="s">
        <v>502</v>
      </c>
      <c r="M2174" s="467" t="s">
        <v>1489</v>
      </c>
      <c r="N2174" s="476"/>
      <c r="O2174" s="471">
        <f t="shared" si="73"/>
        <v>640</v>
      </c>
      <c r="P2174" s="472" t="str">
        <f t="shared" si="74"/>
        <v/>
      </c>
      <c r="Q2174" s="472" t="str">
        <f t="shared" si="75"/>
        <v/>
      </c>
      <c r="R2174" s="473" t="str">
        <f t="shared" si="76"/>
        <v/>
      </c>
      <c r="S2174" s="467"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89"/>
      <c r="U2174" s="490"/>
      <c r="V2174" s="450"/>
      <c r="W2174" s="450"/>
      <c r="X2174" s="450"/>
      <c r="Y2174" s="450"/>
      <c r="Z2174" s="450"/>
    </row>
    <row r="2175" spans="1:26" x14ac:dyDescent="0.25">
      <c r="A2175" s="467" t="s">
        <v>2616</v>
      </c>
      <c r="B2175" s="467">
        <v>67</v>
      </c>
      <c r="C2175" s="467" t="s">
        <v>202</v>
      </c>
      <c r="D2175" s="467" t="s">
        <v>393</v>
      </c>
      <c r="E2175" s="468">
        <v>46070</v>
      </c>
      <c r="F2175" s="468">
        <v>46143</v>
      </c>
      <c r="G2175" s="467" t="s">
        <v>8659</v>
      </c>
      <c r="H2175" s="467" t="s">
        <v>384</v>
      </c>
      <c r="I2175" s="467" t="s">
        <v>2617</v>
      </c>
      <c r="J2175" s="467" t="s">
        <v>2621</v>
      </c>
      <c r="K2175" s="469" t="str">
        <f>HYPERLINK("https://okcountyrecords.com/detail/roger+mills/2026-002511/35346711","OKCountyRecords: 2026-002511")</f>
        <v>OKCountyRecords: 2026-002511</v>
      </c>
      <c r="L2175" s="467" t="s">
        <v>625</v>
      </c>
      <c r="M2175" s="467" t="s">
        <v>1489</v>
      </c>
      <c r="N2175" s="476"/>
      <c r="O2175" s="471">
        <f t="shared" si="73"/>
        <v>280</v>
      </c>
      <c r="P2175" s="472" t="str">
        <f t="shared" si="74"/>
        <v/>
      </c>
      <c r="Q2175" s="472" t="str">
        <f t="shared" si="75"/>
        <v/>
      </c>
      <c r="R2175" s="473" t="str">
        <f t="shared" si="76"/>
        <v/>
      </c>
      <c r="S2175" s="467" t="str">
        <f t="shared" si="82"/>
        <v>Leasehold (non-mineral; excluded from mineral NMA). Gross=tract-map basis.</v>
      </c>
      <c r="T2175" s="490"/>
      <c r="U2175" s="490"/>
      <c r="V2175" s="450"/>
      <c r="W2175" s="450"/>
      <c r="X2175" s="450"/>
      <c r="Y2175" s="450"/>
      <c r="Z2175" s="450"/>
    </row>
    <row r="2176" spans="1:26" x14ac:dyDescent="0.25">
      <c r="A2176" s="467" t="s">
        <v>2616</v>
      </c>
      <c r="B2176" s="467">
        <v>86</v>
      </c>
      <c r="C2176" s="467" t="s">
        <v>202</v>
      </c>
      <c r="D2176" s="478" t="s">
        <v>393</v>
      </c>
      <c r="E2176" s="468">
        <v>46070</v>
      </c>
      <c r="F2176" s="468">
        <v>46143</v>
      </c>
      <c r="G2176" s="467" t="s">
        <v>2619</v>
      </c>
      <c r="H2176" s="467" t="s">
        <v>384</v>
      </c>
      <c r="I2176" s="467" t="s">
        <v>2617</v>
      </c>
      <c r="J2176" s="467" t="s">
        <v>8586</v>
      </c>
      <c r="K2176" s="491" t="s">
        <v>2618</v>
      </c>
      <c r="L2176" s="467" t="s">
        <v>625</v>
      </c>
      <c r="M2176" s="467" t="s">
        <v>1489</v>
      </c>
      <c r="N2176" s="476"/>
      <c r="O2176" s="471">
        <f t="shared" si="73"/>
        <v>280</v>
      </c>
      <c r="P2176" s="472" t="str">
        <f t="shared" si="74"/>
        <v/>
      </c>
      <c r="Q2176" s="472" t="str">
        <f t="shared" si="75"/>
        <v/>
      </c>
      <c r="R2176" s="473" t="str">
        <f t="shared" si="76"/>
        <v/>
      </c>
      <c r="S2176" s="467" t="str">
        <f t="shared" si="82"/>
        <v>Leasehold (non-mineral; excluded from mineral NMA). Gross=tract-map basis.</v>
      </c>
      <c r="T2176" s="490"/>
      <c r="U2176" s="490"/>
      <c r="V2176" s="450"/>
      <c r="W2176" s="450"/>
      <c r="X2176" s="450"/>
      <c r="Y2176" s="450"/>
      <c r="Z2176" s="450"/>
    </row>
    <row r="2177" spans="1:26" x14ac:dyDescent="0.25">
      <c r="A2177" s="467" t="s">
        <v>2620</v>
      </c>
      <c r="B2177" s="467">
        <v>66</v>
      </c>
      <c r="C2177" s="467" t="s">
        <v>202</v>
      </c>
      <c r="D2177" s="467" t="s">
        <v>395</v>
      </c>
      <c r="E2177" s="468">
        <v>46076</v>
      </c>
      <c r="F2177" s="468">
        <v>46122</v>
      </c>
      <c r="G2177" s="467" t="s">
        <v>170</v>
      </c>
      <c r="H2177" s="467" t="s">
        <v>384</v>
      </c>
      <c r="I2177" s="467" t="s">
        <v>2617</v>
      </c>
      <c r="J2177" s="467" t="s">
        <v>2621</v>
      </c>
      <c r="K2177" s="469" t="str">
        <f>HYPERLINK("https://okcountyrecords.com/detail/roger+mills/2026-001952/35274563","OKCountyRecords: 2026-001952")</f>
        <v>OKCountyRecords: 2026-001952</v>
      </c>
      <c r="L2177" s="467" t="s">
        <v>625</v>
      </c>
      <c r="M2177" s="467" t="s">
        <v>1489</v>
      </c>
      <c r="N2177" s="476"/>
      <c r="O2177" s="471">
        <f t="shared" si="73"/>
        <v>280</v>
      </c>
      <c r="P2177" s="472" t="str">
        <f t="shared" si="74"/>
        <v/>
      </c>
      <c r="Q2177" s="472" t="str">
        <f t="shared" si="75"/>
        <v/>
      </c>
      <c r="R2177" s="473" t="str">
        <f t="shared" si="76"/>
        <v/>
      </c>
      <c r="S2177" s="467" t="str">
        <f t="shared" si="82"/>
        <v>Leasehold (non-mineral; excluded from mineral NMA). Gross=tract-map basis.</v>
      </c>
      <c r="T2177" s="489"/>
      <c r="U2177" s="490"/>
      <c r="V2177" s="450"/>
      <c r="W2177" s="450"/>
      <c r="X2177" s="450"/>
      <c r="Y2177" s="450"/>
      <c r="Z2177" s="450"/>
    </row>
    <row r="2178" spans="1:26" x14ac:dyDescent="0.25">
      <c r="A2178" s="467" t="s">
        <v>2622</v>
      </c>
      <c r="B2178" s="467">
        <v>64</v>
      </c>
      <c r="C2178" s="467" t="s">
        <v>202</v>
      </c>
      <c r="D2178" s="467" t="s">
        <v>382</v>
      </c>
      <c r="E2178" s="468">
        <v>46076</v>
      </c>
      <c r="F2178" s="468">
        <v>46122</v>
      </c>
      <c r="G2178" s="467" t="s">
        <v>2623</v>
      </c>
      <c r="H2178" s="467" t="s">
        <v>197</v>
      </c>
      <c r="I2178" s="467" t="s">
        <v>385</v>
      </c>
      <c r="J2178" s="467" t="s">
        <v>2624</v>
      </c>
      <c r="K2178" s="469" t="str">
        <f>HYPERLINK("https://okcountyrecords.com/detail/roger+mills/2026-001949/35274564","OKCountyRecords: 2026-001949")</f>
        <v>OKCountyRecords: 2026-001949</v>
      </c>
      <c r="L2178" s="467" t="s">
        <v>635</v>
      </c>
      <c r="M2178" s="467" t="s">
        <v>1489</v>
      </c>
      <c r="N2178" s="476"/>
      <c r="O2178" s="471">
        <f t="shared" si="73"/>
        <v>480</v>
      </c>
      <c r="P2178" s="472" t="str">
        <f t="shared" si="74"/>
        <v/>
      </c>
      <c r="Q2178" s="472" t="str">
        <f t="shared" si="75"/>
        <v/>
      </c>
      <c r="R2178" s="473" t="str">
        <f t="shared" si="76"/>
        <v/>
      </c>
      <c r="S2178" s="467" t="str">
        <f t="shared" si="82"/>
        <v>Leasehold (non-mineral; excluded from mineral NMA). Gross=tract-map basis.</v>
      </c>
      <c r="T2178" s="490"/>
      <c r="U2178" s="490"/>
      <c r="V2178" s="450"/>
      <c r="W2178" s="450"/>
      <c r="X2178" s="450"/>
      <c r="Y2178" s="450"/>
      <c r="Z2178" s="450"/>
    </row>
    <row r="2179" spans="1:26" x14ac:dyDescent="0.25">
      <c r="A2179" s="467" t="s">
        <v>2625</v>
      </c>
      <c r="B2179" s="467">
        <v>65</v>
      </c>
      <c r="C2179" s="467" t="s">
        <v>202</v>
      </c>
      <c r="D2179" s="467" t="s">
        <v>397</v>
      </c>
      <c r="E2179" s="468">
        <v>46080</v>
      </c>
      <c r="F2179" s="468">
        <v>46122</v>
      </c>
      <c r="G2179" s="467" t="s">
        <v>152</v>
      </c>
      <c r="H2179" s="467" t="s">
        <v>384</v>
      </c>
      <c r="I2179" s="467" t="s">
        <v>2617</v>
      </c>
      <c r="J2179" s="467" t="s">
        <v>2621</v>
      </c>
      <c r="K2179" s="469" t="str">
        <f>HYPERLINK("https://okcountyrecords.com/detail/roger+mills/2026-001951/35274565","OKCountyRecords: 2026-001951")</f>
        <v>OKCountyRecords: 2026-001951</v>
      </c>
      <c r="L2179" s="467" t="s">
        <v>625</v>
      </c>
      <c r="M2179" s="467" t="s">
        <v>1489</v>
      </c>
      <c r="N2179" s="476"/>
      <c r="O2179" s="471">
        <f t="shared" si="73"/>
        <v>280</v>
      </c>
      <c r="P2179" s="472" t="str">
        <f t="shared" si="74"/>
        <v/>
      </c>
      <c r="Q2179" s="472" t="str">
        <f t="shared" si="75"/>
        <v/>
      </c>
      <c r="R2179" s="473" t="str">
        <f t="shared" si="76"/>
        <v/>
      </c>
      <c r="S2179" s="467" t="str">
        <f t="shared" si="82"/>
        <v>Leasehold (non-mineral; excluded from mineral NMA). Gross=tract-map basis.</v>
      </c>
      <c r="T2179" s="489"/>
      <c r="U2179" s="490"/>
      <c r="V2179" s="450"/>
      <c r="W2179" s="450"/>
      <c r="X2179" s="450"/>
      <c r="Y2179" s="450"/>
      <c r="Z2179" s="450"/>
    </row>
    <row r="2180" spans="1:26" x14ac:dyDescent="0.25">
      <c r="A2180" s="467" t="s">
        <v>2626</v>
      </c>
      <c r="B2180" s="467"/>
      <c r="C2180" s="467" t="s">
        <v>619</v>
      </c>
      <c r="D2180" s="467" t="s">
        <v>2627</v>
      </c>
      <c r="E2180" s="468">
        <v>46084</v>
      </c>
      <c r="F2180" s="468">
        <v>46092</v>
      </c>
      <c r="G2180" s="467" t="s">
        <v>2598</v>
      </c>
      <c r="H2180" s="467" t="s">
        <v>185</v>
      </c>
      <c r="I2180" s="467" t="s">
        <v>2628</v>
      </c>
      <c r="J2180" s="467" t="s">
        <v>2629</v>
      </c>
      <c r="K2180" s="469" t="str">
        <f>HYPERLINK("https://okcountyrecords.com/detail/roger+mills/2026-001374","OKCountyRecords: 2026-001374")</f>
        <v>OKCountyRecords: 2026-001374</v>
      </c>
      <c r="L2180" s="467" t="s">
        <v>438</v>
      </c>
      <c r="M2180" s="467" t="s">
        <v>404</v>
      </c>
      <c r="N2180" s="470">
        <f>IF(O2180&gt;0,1.25/O2180,"")</f>
        <v>5.208333333333333E-3</v>
      </c>
      <c r="O2180" s="471">
        <f t="shared" ref="O2180:O2197" si="83">IF($L2180="","",IF(ISNUMBER(SEARCH("all",$L2180)),640,(ISNUMBER(SEARCH("1",$L2180)))*80+(ISNUMBER(SEARCH("2",$L2180)))*160+(ISNUMBER(SEARCH("3",$L2180)))*40+(ISNUMBER(SEARCH("4",$L2180)))*80+(ISNUMBER(SEARCH("5",$L2180)))*120+(ISNUMBER(SEARCH("6",$L2180)))*80+(ISNUMBER(SEARCH("7",$L2180)))*40+(ISNUMBER(SEARCH("8",$L2180)))*40))</f>
        <v>240</v>
      </c>
      <c r="P2180" s="472">
        <f t="shared" si="74"/>
        <v>5.208333333333333E-3</v>
      </c>
      <c r="Q2180" s="472">
        <f t="shared" si="75"/>
        <v>-5.208333333333333E-3</v>
      </c>
      <c r="R2180" s="473">
        <f t="shared" si="76"/>
        <v>1.25</v>
      </c>
      <c r="S2180" s="467" t="str">
        <f t="shared" si="82"/>
        <v>Mineral; basis Conv Amt(dec). Gross=tract-map basis.</v>
      </c>
      <c r="T2180" s="489"/>
      <c r="U2180" s="490" t="s">
        <v>2630</v>
      </c>
      <c r="V2180" s="450"/>
      <c r="W2180" s="450"/>
      <c r="X2180" s="450"/>
      <c r="Y2180" s="450"/>
      <c r="Z2180" s="450"/>
    </row>
    <row r="2181" spans="1:26" x14ac:dyDescent="0.25">
      <c r="A2181" s="467" t="s">
        <v>2631</v>
      </c>
      <c r="B2181" s="467"/>
      <c r="C2181" s="467" t="s">
        <v>2010</v>
      </c>
      <c r="D2181" s="467" t="s">
        <v>2632</v>
      </c>
      <c r="E2181" s="468">
        <v>46106</v>
      </c>
      <c r="F2181" s="468">
        <v>46143</v>
      </c>
      <c r="G2181" s="467" t="s">
        <v>204</v>
      </c>
      <c r="H2181" s="467" t="s">
        <v>2633</v>
      </c>
      <c r="I2181" s="467" t="s">
        <v>569</v>
      </c>
      <c r="J2181" s="467" t="s">
        <v>8653</v>
      </c>
      <c r="K2181" s="469" t="str">
        <f>HYPERLINK("https://okcountyrecords.com/detail/roger+mills/2026-002509/35346709","OKCountyRecords: 2026-002509")</f>
        <v>OKCountyRecords: 2026-002509</v>
      </c>
      <c r="L2181" s="467" t="s">
        <v>502</v>
      </c>
      <c r="M2181" s="467" t="s">
        <v>404</v>
      </c>
      <c r="N2181" s="470">
        <v>1</v>
      </c>
      <c r="O2181" s="471">
        <f t="shared" si="83"/>
        <v>640</v>
      </c>
      <c r="P2181" s="472">
        <f t="shared" si="74"/>
        <v>1</v>
      </c>
      <c r="Q2181" s="472">
        <f t="shared" si="75"/>
        <v>-1</v>
      </c>
      <c r="R2181" s="473">
        <f t="shared" si="76"/>
        <v>640</v>
      </c>
      <c r="S2181" s="467"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89" t="s">
        <v>641</v>
      </c>
      <c r="U2181" s="490" t="s">
        <v>1021</v>
      </c>
      <c r="V2181" s="450"/>
      <c r="W2181" s="450"/>
      <c r="X2181" s="450"/>
      <c r="Y2181" s="450"/>
      <c r="Z2181" s="450"/>
    </row>
    <row r="2182" spans="1:26" x14ac:dyDescent="0.25">
      <c r="A2182" s="467" t="s">
        <v>2634</v>
      </c>
      <c r="B2182" s="467">
        <v>97</v>
      </c>
      <c r="C2182" s="467" t="s">
        <v>202</v>
      </c>
      <c r="D2182" s="478" t="s">
        <v>387</v>
      </c>
      <c r="E2182" s="468">
        <v>46112</v>
      </c>
      <c r="F2182" s="468">
        <v>46143</v>
      </c>
      <c r="G2182" s="467" t="s">
        <v>2635</v>
      </c>
      <c r="H2182" s="467" t="s">
        <v>384</v>
      </c>
      <c r="I2182" s="467" t="s">
        <v>8587</v>
      </c>
      <c r="J2182" s="467" t="s">
        <v>8600</v>
      </c>
      <c r="K2182" s="469" t="str">
        <f>HYPERLINK("https://okcountyrecords.com/detail/roger+mills/2026-002512/35346712","OKCountyRecords: 2026-002512")</f>
        <v>OKCountyRecords: 2026-002512</v>
      </c>
      <c r="L2182" s="467" t="s">
        <v>502</v>
      </c>
      <c r="M2182" s="467" t="s">
        <v>1489</v>
      </c>
      <c r="N2182" s="476"/>
      <c r="O2182" s="471">
        <f t="shared" si="83"/>
        <v>640</v>
      </c>
      <c r="P2182" s="472" t="str">
        <f t="shared" si="74"/>
        <v/>
      </c>
      <c r="Q2182" s="472" t="str">
        <f t="shared" si="75"/>
        <v/>
      </c>
      <c r="R2182" s="473" t="str">
        <f t="shared" si="76"/>
        <v/>
      </c>
      <c r="S2182" s="467"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89"/>
      <c r="U2182" s="490"/>
      <c r="V2182" s="450"/>
      <c r="W2182" s="450"/>
      <c r="X2182" s="450"/>
      <c r="Y2182" s="450"/>
      <c r="Z2182" s="450"/>
    </row>
    <row r="2183" spans="1:26" x14ac:dyDescent="0.25">
      <c r="A2183" s="467" t="s">
        <v>2637</v>
      </c>
      <c r="B2183" s="467">
        <v>80</v>
      </c>
      <c r="C2183" s="467" t="s">
        <v>2638</v>
      </c>
      <c r="D2183" s="467" t="s">
        <v>2639</v>
      </c>
      <c r="E2183" s="468">
        <v>46113</v>
      </c>
      <c r="F2183" s="468">
        <v>46119</v>
      </c>
      <c r="G2183" s="467" t="s">
        <v>2640</v>
      </c>
      <c r="H2183" s="467" t="s">
        <v>102</v>
      </c>
      <c r="I2183" s="467" t="s">
        <v>569</v>
      </c>
      <c r="J2183" s="467" t="s">
        <v>2641</v>
      </c>
      <c r="K2183" s="469" t="str">
        <f>HYPERLINK("https://okcountyrecords.com/detail/roger+mills/2026-001845","OKCountyRecords: 2026-001845")</f>
        <v>OKCountyRecords: 2026-001845</v>
      </c>
      <c r="L2183" s="467" t="s">
        <v>502</v>
      </c>
      <c r="M2183" s="467" t="s">
        <v>465</v>
      </c>
      <c r="N2183" s="470"/>
      <c r="O2183" s="471">
        <f t="shared" si="83"/>
        <v>640</v>
      </c>
      <c r="P2183" s="472" t="str">
        <f t="shared" si="74"/>
        <v/>
      </c>
      <c r="Q2183" s="472" t="str">
        <f t="shared" si="75"/>
        <v/>
      </c>
      <c r="R2183" s="473" t="str">
        <f t="shared" si="76"/>
        <v/>
      </c>
      <c r="S2183" s="467" t="s">
        <v>503</v>
      </c>
      <c r="T2183" s="489" t="s">
        <v>467</v>
      </c>
      <c r="U2183" s="490" t="s">
        <v>468</v>
      </c>
      <c r="V2183" s="450"/>
      <c r="W2183" s="450"/>
      <c r="X2183" s="450"/>
      <c r="Y2183" s="450"/>
      <c r="Z2183" s="450"/>
    </row>
    <row r="2184" spans="1:26" x14ac:dyDescent="0.25">
      <c r="A2184" s="467" t="s">
        <v>2642</v>
      </c>
      <c r="B2184" s="467">
        <v>79</v>
      </c>
      <c r="C2184" s="467" t="s">
        <v>2643</v>
      </c>
      <c r="D2184" s="467" t="s">
        <v>2644</v>
      </c>
      <c r="E2184" s="468">
        <v>46113</v>
      </c>
      <c r="F2184" s="468">
        <v>46119</v>
      </c>
      <c r="G2184" s="467" t="s">
        <v>2640</v>
      </c>
      <c r="H2184" s="467" t="s">
        <v>102</v>
      </c>
      <c r="I2184" s="467" t="s">
        <v>569</v>
      </c>
      <c r="J2184" s="467" t="s">
        <v>2645</v>
      </c>
      <c r="K2184" s="469" t="str">
        <f>HYPERLINK("https://okcountyrecords.com/detail/roger+mills/2026-001844","OKCountyRecords: 2026-001844")</f>
        <v>OKCountyRecords: 2026-001844</v>
      </c>
      <c r="L2184" s="467" t="s">
        <v>502</v>
      </c>
      <c r="M2184" s="467" t="s">
        <v>465</v>
      </c>
      <c r="N2184" s="470"/>
      <c r="O2184" s="471">
        <f t="shared" si="83"/>
        <v>640</v>
      </c>
      <c r="P2184" s="472" t="str">
        <f t="shared" si="74"/>
        <v/>
      </c>
      <c r="Q2184" s="472" t="str">
        <f t="shared" si="75"/>
        <v/>
      </c>
      <c r="R2184" s="473" t="str">
        <f t="shared" si="76"/>
        <v/>
      </c>
      <c r="S2184" s="467" t="s">
        <v>503</v>
      </c>
      <c r="T2184" s="489" t="s">
        <v>467</v>
      </c>
      <c r="U2184" s="490" t="s">
        <v>468</v>
      </c>
      <c r="V2184" s="450"/>
      <c r="W2184" s="450"/>
      <c r="X2184" s="450"/>
      <c r="Y2184" s="450"/>
      <c r="Z2184" s="450"/>
    </row>
    <row r="2185" spans="1:26" x14ac:dyDescent="0.25">
      <c r="A2185" s="467" t="s">
        <v>2646</v>
      </c>
      <c r="B2185" s="467">
        <v>85</v>
      </c>
      <c r="C2185" s="467" t="s">
        <v>2134</v>
      </c>
      <c r="D2185" s="478" t="s">
        <v>2647</v>
      </c>
      <c r="E2185" s="468">
        <v>46125</v>
      </c>
      <c r="F2185" s="468">
        <v>46143</v>
      </c>
      <c r="G2185" s="467" t="s">
        <v>2648</v>
      </c>
      <c r="H2185" s="467" t="s">
        <v>102</v>
      </c>
      <c r="I2185" s="467" t="s">
        <v>2649</v>
      </c>
      <c r="J2185" s="467" t="s">
        <v>8654</v>
      </c>
      <c r="K2185" s="491" t="s">
        <v>2650</v>
      </c>
      <c r="L2185" s="467" t="s">
        <v>625</v>
      </c>
      <c r="M2185" s="467" t="s">
        <v>465</v>
      </c>
      <c r="N2185" s="476"/>
      <c r="O2185" s="471">
        <f t="shared" si="83"/>
        <v>280</v>
      </c>
      <c r="P2185" s="472" t="str">
        <f t="shared" si="74"/>
        <v/>
      </c>
      <c r="Q2185" s="472" t="str">
        <f t="shared" si="75"/>
        <v/>
      </c>
      <c r="R2185" s="473" t="str">
        <f t="shared" si="76"/>
        <v/>
      </c>
      <c r="S2185" s="467" t="s">
        <v>466</v>
      </c>
      <c r="T2185" s="490" t="s">
        <v>467</v>
      </c>
      <c r="U2185" s="490" t="s">
        <v>504</v>
      </c>
      <c r="V2185" s="450"/>
      <c r="W2185" s="450"/>
      <c r="X2185" s="450"/>
      <c r="Y2185" s="450"/>
      <c r="Z2185" s="450"/>
    </row>
    <row r="2186" spans="1:26" x14ac:dyDescent="0.25">
      <c r="A2186" s="467"/>
      <c r="B2186" s="467"/>
      <c r="C2186" s="467" t="s">
        <v>1062</v>
      </c>
      <c r="D2186" s="467" t="s">
        <v>2651</v>
      </c>
      <c r="E2186" s="468">
        <v>46147</v>
      </c>
      <c r="F2186" s="468">
        <v>46160</v>
      </c>
      <c r="G2186" s="467" t="s">
        <v>2652</v>
      </c>
      <c r="H2186" s="467" t="s">
        <v>102</v>
      </c>
      <c r="I2186" s="467" t="s">
        <v>2653</v>
      </c>
      <c r="J2186" s="467" t="s">
        <v>8655</v>
      </c>
      <c r="K2186" s="469" t="str">
        <f>HYPERLINK("https://okcountyrecords.com/search/roger%20mills","OKCountyRecords search: Change of Address 2700/0268")</f>
        <v>OKCountyRecords search: Change of Address 2700/0268</v>
      </c>
      <c r="L2186" s="467" t="s">
        <v>542</v>
      </c>
      <c r="M2186" s="467" t="s">
        <v>465</v>
      </c>
      <c r="N2186" s="470"/>
      <c r="O2186" s="471">
        <f t="shared" si="83"/>
        <v>0</v>
      </c>
      <c r="P2186" s="472" t="str">
        <f t="shared" ref="P2186:P2197" si="84">IF($M2186&lt;&gt;"Mineral","",IF(ISNUMBER($N2186),$N2186,IF(OR(ISNUMBER(SEARCH("surface",$J2186)),ISNUMBER(SEARCH("reserv",$J2186)),ISNUMBER(SEARCH("less and except",$J2186))),0,"")))</f>
        <v/>
      </c>
      <c r="Q2186" s="472" t="str">
        <f t="shared" ref="Q2186:Q2197" si="85">IF($P2186="","",-$P2186)</f>
        <v/>
      </c>
      <c r="R2186" s="473" t="str">
        <f t="shared" ref="R2186:R2197" si="86">IF($P2186="","",$O2186*$P2186)</f>
        <v/>
      </c>
      <c r="S2186" s="467" t="s">
        <v>2654</v>
      </c>
      <c r="T2186" s="489" t="s">
        <v>467</v>
      </c>
      <c r="U2186" s="490" t="s">
        <v>2655</v>
      </c>
      <c r="V2186" s="450"/>
      <c r="W2186" s="450"/>
      <c r="X2186" s="450"/>
      <c r="Y2186" s="450"/>
      <c r="Z2186" s="450"/>
    </row>
    <row r="2187" spans="1:26" x14ac:dyDescent="0.25">
      <c r="A2187" s="467" t="s">
        <v>2656</v>
      </c>
      <c r="B2187" s="467"/>
      <c r="C2187" s="467" t="s">
        <v>2657</v>
      </c>
      <c r="D2187" s="467" t="s">
        <v>2658</v>
      </c>
      <c r="E2187" s="468">
        <v>46162</v>
      </c>
      <c r="F2187" s="468">
        <v>46170</v>
      </c>
      <c r="G2187" s="467" t="s">
        <v>204</v>
      </c>
      <c r="H2187" s="467" t="s">
        <v>2659</v>
      </c>
      <c r="I2187" s="467" t="s">
        <v>569</v>
      </c>
      <c r="J2187" s="467" t="s">
        <v>63</v>
      </c>
      <c r="K2187" s="469" t="str">
        <f>HYPERLINK("https://okcountyrecords.com/detail/roger+mills/2026-003142/35404150","OKCountyRecords: 2026-003142")</f>
        <v>OKCountyRecords: 2026-003142</v>
      </c>
      <c r="L2187" s="467" t="s">
        <v>502</v>
      </c>
      <c r="M2187" s="467" t="s">
        <v>404</v>
      </c>
      <c r="N2187" s="470">
        <v>1</v>
      </c>
      <c r="O2187" s="471">
        <f t="shared" si="83"/>
        <v>640</v>
      </c>
      <c r="P2187" s="472">
        <f t="shared" si="84"/>
        <v>1</v>
      </c>
      <c r="Q2187" s="472">
        <f t="shared" si="85"/>
        <v>-1</v>
      </c>
      <c r="R2187" s="473">
        <f t="shared" si="86"/>
        <v>640</v>
      </c>
      <c r="S2187" s="467"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90" t="s">
        <v>641</v>
      </c>
      <c r="U2187" s="490" t="s">
        <v>1021</v>
      </c>
      <c r="V2187" s="450"/>
      <c r="W2187" s="450"/>
      <c r="X2187" s="450"/>
      <c r="Y2187" s="450"/>
      <c r="Z2187" s="450"/>
    </row>
    <row r="2188" spans="1:26" x14ac:dyDescent="0.25">
      <c r="A2188" s="467" t="s">
        <v>2660</v>
      </c>
      <c r="B2188" s="467"/>
      <c r="C2188" s="467" t="s">
        <v>2657</v>
      </c>
      <c r="D2188" s="467" t="s">
        <v>2661</v>
      </c>
      <c r="E2188" s="468">
        <v>46162</v>
      </c>
      <c r="F2188" s="468">
        <v>46170</v>
      </c>
      <c r="G2188" s="467" t="s">
        <v>204</v>
      </c>
      <c r="H2188" s="467" t="s">
        <v>2662</v>
      </c>
      <c r="I2188" s="467" t="s">
        <v>569</v>
      </c>
      <c r="J2188" s="467" t="s">
        <v>63</v>
      </c>
      <c r="K2188" s="491" t="str">
        <f>HYPERLINK("https://okcountyrecords.com/detail/roger+mills/2026-003143/35404149","OKCountyRecords: 2026-003143")</f>
        <v>OKCountyRecords: 2026-003143</v>
      </c>
      <c r="L2188" s="467" t="s">
        <v>502</v>
      </c>
      <c r="M2188" s="467" t="s">
        <v>404</v>
      </c>
      <c r="N2188" s="470">
        <v>1</v>
      </c>
      <c r="O2188" s="471">
        <f t="shared" si="83"/>
        <v>640</v>
      </c>
      <c r="P2188" s="472">
        <f t="shared" si="84"/>
        <v>1</v>
      </c>
      <c r="Q2188" s="472">
        <f t="shared" si="85"/>
        <v>-1</v>
      </c>
      <c r="R2188" s="473">
        <f t="shared" si="86"/>
        <v>640</v>
      </c>
      <c r="S2188" s="467"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90" t="s">
        <v>641</v>
      </c>
      <c r="U2188" s="490" t="s">
        <v>1021</v>
      </c>
      <c r="V2188" s="450"/>
      <c r="W2188" s="450"/>
      <c r="X2188" s="450"/>
      <c r="Y2188" s="450"/>
      <c r="Z2188" s="450"/>
    </row>
    <row r="2189" spans="1:26" x14ac:dyDescent="0.25">
      <c r="A2189" s="467" t="s">
        <v>2663</v>
      </c>
      <c r="B2189" s="467"/>
      <c r="C2189" s="467" t="s">
        <v>2134</v>
      </c>
      <c r="D2189" s="467" t="s">
        <v>2664</v>
      </c>
      <c r="E2189" s="468">
        <v>46170</v>
      </c>
      <c r="F2189" s="468">
        <v>46170</v>
      </c>
      <c r="G2189" s="467" t="s">
        <v>2665</v>
      </c>
      <c r="H2189" s="467" t="s">
        <v>102</v>
      </c>
      <c r="I2189" s="467" t="s">
        <v>2666</v>
      </c>
      <c r="J2189" s="467" t="s">
        <v>8656</v>
      </c>
      <c r="K2189" s="469" t="str">
        <f>HYPERLINK("https://okcountyrecords.com/detail/roger+mills/2026-003144/35404152","OKCountyRecords: 2026-003144")</f>
        <v>OKCountyRecords: 2026-003144</v>
      </c>
      <c r="L2189" s="467" t="s">
        <v>502</v>
      </c>
      <c r="M2189" s="467" t="s">
        <v>465</v>
      </c>
      <c r="N2189" s="476"/>
      <c r="O2189" s="471">
        <f t="shared" si="83"/>
        <v>640</v>
      </c>
      <c r="P2189" s="472" t="str">
        <f t="shared" si="84"/>
        <v/>
      </c>
      <c r="Q2189" s="472" t="str">
        <f t="shared" si="85"/>
        <v/>
      </c>
      <c r="R2189" s="473" t="str">
        <f t="shared" si="86"/>
        <v/>
      </c>
      <c r="S2189" s="467" t="s">
        <v>503</v>
      </c>
      <c r="T2189" s="490" t="s">
        <v>467</v>
      </c>
      <c r="U2189" s="490" t="s">
        <v>504</v>
      </c>
      <c r="V2189" s="450"/>
      <c r="W2189" s="450"/>
      <c r="X2189" s="450"/>
      <c r="Y2189" s="450"/>
      <c r="Z2189" s="450"/>
    </row>
    <row r="2190" spans="1:26" x14ac:dyDescent="0.25">
      <c r="A2190" s="467" t="s">
        <v>2667</v>
      </c>
      <c r="B2190" s="467"/>
      <c r="C2190" s="467" t="s">
        <v>2668</v>
      </c>
      <c r="D2190" s="467" t="s">
        <v>143</v>
      </c>
      <c r="E2190" s="468">
        <v>46175</v>
      </c>
      <c r="F2190" s="468">
        <v>46178</v>
      </c>
      <c r="G2190" s="467" t="s">
        <v>2669</v>
      </c>
      <c r="H2190" s="467" t="s">
        <v>8657</v>
      </c>
      <c r="I2190" s="467" t="s">
        <v>1280</v>
      </c>
      <c r="J2190" s="467" t="s">
        <v>63</v>
      </c>
      <c r="K2190" s="469" t="str">
        <f>HYPERLINK("https://okcountyrecords.com/detail/roger+mills/2026-003315/35464678","OKCountyRecords: 2026-003315")</f>
        <v>OKCountyRecords: 2026-003315</v>
      </c>
      <c r="L2190" s="467">
        <v>2</v>
      </c>
      <c r="M2190" s="467" t="s">
        <v>404</v>
      </c>
      <c r="N2190" s="470">
        <v>1</v>
      </c>
      <c r="O2190" s="471">
        <f t="shared" si="83"/>
        <v>160</v>
      </c>
      <c r="P2190" s="472">
        <f t="shared" si="84"/>
        <v>1</v>
      </c>
      <c r="Q2190" s="472">
        <f t="shared" si="85"/>
        <v>-1</v>
      </c>
      <c r="R2190" s="473">
        <f t="shared" si="86"/>
        <v>160</v>
      </c>
      <c r="S2190" s="467"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89" t="s">
        <v>2670</v>
      </c>
      <c r="U2190" s="490" t="s">
        <v>2671</v>
      </c>
      <c r="V2190" s="450"/>
      <c r="W2190" s="450"/>
      <c r="X2190" s="450"/>
      <c r="Y2190" s="450"/>
      <c r="Z2190" s="450"/>
    </row>
    <row r="2191" spans="1:26" x14ac:dyDescent="0.25">
      <c r="A2191" s="467" t="s">
        <v>2672</v>
      </c>
      <c r="B2191" s="467"/>
      <c r="C2191" s="467" t="s">
        <v>756</v>
      </c>
      <c r="D2191" s="467" t="s">
        <v>2673</v>
      </c>
      <c r="E2191" s="468"/>
      <c r="F2191" s="468">
        <v>18321</v>
      </c>
      <c r="G2191" s="467" t="s">
        <v>2674</v>
      </c>
      <c r="H2191" s="467" t="s">
        <v>2675</v>
      </c>
      <c r="I2191" s="467" t="s">
        <v>231</v>
      </c>
      <c r="J2191" s="467" t="s">
        <v>760</v>
      </c>
      <c r="K2191" s="469" t="str">
        <f>HYPERLINK("https://okcountyrecords.com/detail/roger+mills/1950-001326","OKCountyRecords: 1950-001326")</f>
        <v>OKCountyRecords: 1950-001326</v>
      </c>
      <c r="L2191" s="467" t="s">
        <v>502</v>
      </c>
      <c r="M2191" s="467" t="s">
        <v>465</v>
      </c>
      <c r="N2191" s="470"/>
      <c r="O2191" s="471">
        <f t="shared" si="83"/>
        <v>640</v>
      </c>
      <c r="P2191" s="472" t="str">
        <f t="shared" si="84"/>
        <v/>
      </c>
      <c r="Q2191" s="472" t="str">
        <f t="shared" si="85"/>
        <v/>
      </c>
      <c r="R2191" s="473" t="str">
        <f t="shared" si="86"/>
        <v/>
      </c>
      <c r="S2191" s="467"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90"/>
      <c r="U2191" s="490"/>
      <c r="V2191" s="450"/>
      <c r="W2191" s="450"/>
      <c r="X2191" s="450"/>
      <c r="Y2191" s="450"/>
      <c r="Z2191" s="450"/>
    </row>
    <row r="2192" spans="1:26" x14ac:dyDescent="0.25">
      <c r="A2192" s="467" t="s">
        <v>2676</v>
      </c>
      <c r="B2192" s="467"/>
      <c r="C2192" s="467" t="s">
        <v>756</v>
      </c>
      <c r="D2192" s="467" t="s">
        <v>2677</v>
      </c>
      <c r="E2192" s="468"/>
      <c r="F2192" s="468">
        <v>6902</v>
      </c>
      <c r="G2192" s="467" t="s">
        <v>2678</v>
      </c>
      <c r="H2192" s="467" t="s">
        <v>484</v>
      </c>
      <c r="I2192" s="467" t="s">
        <v>231</v>
      </c>
      <c r="J2192" s="467" t="s">
        <v>760</v>
      </c>
      <c r="K2192" s="469" t="str">
        <f>HYPERLINK("https://okcountyrecords.com/detail/roger+mills/1918-001215","OKCountyRecords: 1918-001215")</f>
        <v>OKCountyRecords: 1918-001215</v>
      </c>
      <c r="L2192" s="467" t="s">
        <v>502</v>
      </c>
      <c r="M2192" s="467" t="s">
        <v>465</v>
      </c>
      <c r="N2192" s="470"/>
      <c r="O2192" s="471">
        <f t="shared" si="83"/>
        <v>640</v>
      </c>
      <c r="P2192" s="472" t="str">
        <f t="shared" si="84"/>
        <v/>
      </c>
      <c r="Q2192" s="472" t="str">
        <f t="shared" si="85"/>
        <v/>
      </c>
      <c r="R2192" s="473" t="str">
        <f t="shared" si="86"/>
        <v/>
      </c>
      <c r="S2192" s="467"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4"/>
      <c r="U2192" s="474"/>
      <c r="V2192" s="450"/>
      <c r="W2192" s="450"/>
      <c r="X2192" s="450"/>
      <c r="Y2192" s="450"/>
      <c r="Z2192" s="450"/>
    </row>
    <row r="2193" spans="1:26" x14ac:dyDescent="0.25">
      <c r="A2193" s="467" t="s">
        <v>2679</v>
      </c>
      <c r="B2193" s="467"/>
      <c r="C2193" s="467" t="s">
        <v>756</v>
      </c>
      <c r="D2193" s="467" t="s">
        <v>2680</v>
      </c>
      <c r="E2193" s="468"/>
      <c r="F2193" s="468">
        <v>11139</v>
      </c>
      <c r="G2193" s="467" t="s">
        <v>2681</v>
      </c>
      <c r="H2193" s="467" t="s">
        <v>102</v>
      </c>
      <c r="I2193" s="467" t="s">
        <v>530</v>
      </c>
      <c r="J2193" s="467" t="s">
        <v>760</v>
      </c>
      <c r="K2193" s="469" t="str">
        <f>HYPERLINK("https://okcountyrecords.com/detail/roger+mills/1930-001678","OKCountyRecords: 1930-001678")</f>
        <v>OKCountyRecords: 1930-001678</v>
      </c>
      <c r="L2193" s="467" t="s">
        <v>502</v>
      </c>
      <c r="M2193" s="467" t="s">
        <v>465</v>
      </c>
      <c r="N2193" s="470"/>
      <c r="O2193" s="471">
        <f t="shared" si="83"/>
        <v>640</v>
      </c>
      <c r="P2193" s="472" t="str">
        <f t="shared" si="84"/>
        <v/>
      </c>
      <c r="Q2193" s="472" t="str">
        <f t="shared" si="85"/>
        <v/>
      </c>
      <c r="R2193" s="473" t="str">
        <f t="shared" si="86"/>
        <v/>
      </c>
      <c r="S2193" s="467" t="s">
        <v>503</v>
      </c>
      <c r="T2193" s="489" t="s">
        <v>467</v>
      </c>
      <c r="U2193" s="489" t="s">
        <v>504</v>
      </c>
      <c r="V2193" s="450"/>
      <c r="W2193" s="450"/>
      <c r="X2193" s="450"/>
      <c r="Y2193" s="450"/>
      <c r="Z2193" s="450"/>
    </row>
    <row r="2194" spans="1:26" x14ac:dyDescent="0.25">
      <c r="A2194" s="467" t="s">
        <v>2682</v>
      </c>
      <c r="B2194" s="467"/>
      <c r="C2194" s="467" t="s">
        <v>756</v>
      </c>
      <c r="D2194" s="467" t="s">
        <v>2683</v>
      </c>
      <c r="E2194" s="468"/>
      <c r="F2194" s="468">
        <v>11164</v>
      </c>
      <c r="G2194" s="467" t="s">
        <v>524</v>
      </c>
      <c r="H2194" s="467" t="s">
        <v>102</v>
      </c>
      <c r="I2194" s="467" t="s">
        <v>530</v>
      </c>
      <c r="J2194" s="467" t="s">
        <v>2684</v>
      </c>
      <c r="K2194" s="469" t="str">
        <f>HYPERLINK("https://okcountyrecords.com/detail/roger+mills/1930-001681","OKCountyRecords: 1930-001681")</f>
        <v>OKCountyRecords: 1930-001681</v>
      </c>
      <c r="L2194" s="467" t="s">
        <v>502</v>
      </c>
      <c r="M2194" s="467" t="s">
        <v>465</v>
      </c>
      <c r="N2194" s="470"/>
      <c r="O2194" s="471">
        <f t="shared" si="83"/>
        <v>640</v>
      </c>
      <c r="P2194" s="472" t="str">
        <f t="shared" si="84"/>
        <v/>
      </c>
      <c r="Q2194" s="472" t="str">
        <f t="shared" si="85"/>
        <v/>
      </c>
      <c r="R2194" s="473" t="str">
        <f t="shared" si="86"/>
        <v/>
      </c>
      <c r="S2194" s="467" t="s">
        <v>503</v>
      </c>
      <c r="T2194" s="489" t="s">
        <v>467</v>
      </c>
      <c r="U2194" s="489" t="s">
        <v>504</v>
      </c>
      <c r="V2194" s="450"/>
      <c r="W2194" s="450"/>
      <c r="X2194" s="450"/>
      <c r="Y2194" s="450"/>
      <c r="Z2194" s="450"/>
    </row>
    <row r="2195" spans="1:26" x14ac:dyDescent="0.25">
      <c r="A2195" s="467" t="s">
        <v>2685</v>
      </c>
      <c r="B2195" s="467"/>
      <c r="C2195" s="467" t="s">
        <v>756</v>
      </c>
      <c r="D2195" s="467" t="s">
        <v>2686</v>
      </c>
      <c r="E2195" s="468"/>
      <c r="F2195" s="468">
        <v>21696</v>
      </c>
      <c r="G2195" s="467" t="s">
        <v>2687</v>
      </c>
      <c r="H2195" s="467" t="s">
        <v>102</v>
      </c>
      <c r="I2195" s="467" t="s">
        <v>530</v>
      </c>
      <c r="J2195" s="467" t="s">
        <v>760</v>
      </c>
      <c r="K2195" s="469" t="str">
        <f>HYPERLINK("https://okcountyrecords.com/detail/roger+mills/1959-001270","OKCountyRecords: 1959-001270")</f>
        <v>OKCountyRecords: 1959-001270</v>
      </c>
      <c r="L2195" s="467" t="s">
        <v>502</v>
      </c>
      <c r="M2195" s="467" t="s">
        <v>465</v>
      </c>
      <c r="N2195" s="470"/>
      <c r="O2195" s="471">
        <f t="shared" si="83"/>
        <v>640</v>
      </c>
      <c r="P2195" s="472" t="str">
        <f t="shared" si="84"/>
        <v/>
      </c>
      <c r="Q2195" s="472" t="str">
        <f t="shared" si="85"/>
        <v/>
      </c>
      <c r="R2195" s="473" t="str">
        <f t="shared" si="86"/>
        <v/>
      </c>
      <c r="S2195" s="467" t="s">
        <v>503</v>
      </c>
      <c r="T2195" s="490" t="s">
        <v>467</v>
      </c>
      <c r="U2195" s="490" t="s">
        <v>504</v>
      </c>
      <c r="V2195" s="450"/>
      <c r="W2195" s="450"/>
      <c r="X2195" s="450"/>
      <c r="Y2195" s="450"/>
      <c r="Z2195" s="450"/>
    </row>
    <row r="2196" spans="1:26" x14ac:dyDescent="0.25">
      <c r="A2196" s="467" t="s">
        <v>2688</v>
      </c>
      <c r="B2196" s="467"/>
      <c r="C2196" s="467" t="s">
        <v>2689</v>
      </c>
      <c r="D2196" s="467" t="s">
        <v>2690</v>
      </c>
      <c r="E2196" s="468"/>
      <c r="F2196" s="468"/>
      <c r="G2196" s="467"/>
      <c r="H2196" s="467"/>
      <c r="I2196" s="467" t="s">
        <v>2691</v>
      </c>
      <c r="J2196" s="467" t="s">
        <v>2692</v>
      </c>
      <c r="K2196" s="479" t="s">
        <v>2693</v>
      </c>
      <c r="L2196" s="467">
        <v>1</v>
      </c>
      <c r="M2196" s="467" t="s">
        <v>404</v>
      </c>
      <c r="N2196" s="470"/>
      <c r="O2196" s="467">
        <f t="shared" si="83"/>
        <v>80</v>
      </c>
      <c r="P2196" s="472" t="str">
        <f t="shared" si="84"/>
        <v/>
      </c>
      <c r="Q2196" s="472" t="str">
        <f t="shared" si="85"/>
        <v/>
      </c>
      <c r="R2196" s="473" t="str">
        <f t="shared" si="86"/>
        <v/>
      </c>
      <c r="S2196" s="467"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89" t="s">
        <v>845</v>
      </c>
      <c r="U2196" s="490" t="s">
        <v>2694</v>
      </c>
      <c r="V2196" s="450"/>
      <c r="W2196" s="450"/>
      <c r="X2196" s="450"/>
      <c r="Y2196" s="450"/>
      <c r="Z2196" s="450"/>
    </row>
    <row r="2197" spans="1:26" x14ac:dyDescent="0.25">
      <c r="A2197" s="467" t="s">
        <v>2695</v>
      </c>
      <c r="B2197" s="467"/>
      <c r="C2197" s="467" t="s">
        <v>2689</v>
      </c>
      <c r="D2197" s="467" t="s">
        <v>2696</v>
      </c>
      <c r="E2197" s="468"/>
      <c r="F2197" s="468"/>
      <c r="G2197" s="467"/>
      <c r="H2197" s="467"/>
      <c r="I2197" s="467" t="s">
        <v>2691</v>
      </c>
      <c r="J2197" s="467" t="s">
        <v>2697</v>
      </c>
      <c r="K2197" s="479" t="s">
        <v>2698</v>
      </c>
      <c r="L2197" s="467">
        <v>1</v>
      </c>
      <c r="M2197" s="467" t="s">
        <v>404</v>
      </c>
      <c r="N2197" s="470"/>
      <c r="O2197" s="467">
        <f t="shared" si="83"/>
        <v>80</v>
      </c>
      <c r="P2197" s="472" t="str">
        <f t="shared" si="84"/>
        <v/>
      </c>
      <c r="Q2197" s="472" t="str">
        <f t="shared" si="85"/>
        <v/>
      </c>
      <c r="R2197" s="473" t="str">
        <f t="shared" si="86"/>
        <v/>
      </c>
      <c r="S2197" s="467"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89" t="s">
        <v>845</v>
      </c>
      <c r="U2197" s="490" t="s">
        <v>2699</v>
      </c>
      <c r="V2197" s="450"/>
      <c r="W2197" s="450"/>
      <c r="X2197" s="450"/>
      <c r="Y2197" s="450"/>
      <c r="Z2197" s="450"/>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2026-07-03T17:18:42Z</dcterms:modified>
</cp:coreProperties>
</file>